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ЭтаКнига" defaultThemeVersion="124226"/>
  <bookViews>
    <workbookView xWindow="0" yWindow="0" windowWidth="28800" windowHeight="11895" tabRatio="935" firstSheet="3" activeTab="3"/>
  </bookViews>
  <sheets>
    <sheet name="Д12" sheetId="28" state="hidden" r:id="rId1"/>
    <sheet name="Д12 _ДАНІ (фінал)" sheetId="52" state="hidden" r:id="rId2"/>
    <sheet name="Reestr" sheetId="35" state="hidden" r:id="rId3"/>
    <sheet name="Структура" sheetId="58" r:id="rId4"/>
    <sheet name="ТЕ_2ст_вих" sheetId="46" state="hidden" r:id="rId5"/>
  </sheets>
  <externalReferences>
    <externalReference r:id="rId6"/>
    <externalReference r:id="rId7"/>
  </externalReferences>
  <definedNames>
    <definedName name="_wrn2" localSheetId="3" hidden="1">{#N/A,#N/A,FALSE,"9PS0"}</definedName>
    <definedName name="_wrn2" hidden="1">{#N/A,#N/A,FALSE,"9PS0"}</definedName>
    <definedName name="_xlnm._FilterDatabase" localSheetId="1" hidden="1">'Д12 _ДАНІ (фінал)'!#REF!</definedName>
    <definedName name="aaa" localSheetId="3" hidden="1">{#N/A,#N/A,FALSE,"9PS0"}</definedName>
    <definedName name="aaa" hidden="1">{#N/A,#N/A,FALSE,"9PS0"}</definedName>
    <definedName name="ab" localSheetId="3" hidden="1">{#N/A,#N/A,FALSE,"9PS0"}</definedName>
    <definedName name="ab" hidden="1">{#N/A,#N/A,FALSE,"9PS0"}</definedName>
    <definedName name="AccessDatabase" hidden="1">"C:\WINDOWS\Рабочий стол\Робота Лутчина\Ltke2new\Ltke22.mdb"</definedName>
    <definedName name="bbb" localSheetId="3" hidden="1">{#N/A,#N/A,FALSE,"9PS0"}</definedName>
    <definedName name="bbb" hidden="1">{#N/A,#N/A,FALSE,"9PS0"}</definedName>
    <definedName name="f" hidden="1">'[1]3 утв.'!$F$1:$H$65536,'[1]3 утв.'!$P$1:$AQ$65536</definedName>
    <definedName name="kot" localSheetId="3" hidden="1">{#N/A,#N/A,FALSE,"9PS0"}</definedName>
    <definedName name="kot" hidden="1">{#N/A,#N/A,FALSE,"9PS0"}</definedName>
    <definedName name="s" localSheetId="3" hidden="1">{#N/A,#N/A,FALSE,"9PS0"}</definedName>
    <definedName name="s" hidden="1">{#N/A,#N/A,FALSE,"9PS0"}</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localSheetId="3" hidden="1">#REF!</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mp" hidden="1">#NULL!</definedName>
    <definedName name="solver_tol" hidden="1">0.05</definedName>
    <definedName name="solver_typ" hidden="1">1</definedName>
    <definedName name="solver_val" hidden="1">0</definedName>
    <definedName name="t" localSheetId="3" hidden="1">{#N/A,#N/A,FALSE,"9PS0"}</definedName>
    <definedName name="t" hidden="1">{#N/A,#N/A,FALSE,"9PS0"}</definedName>
    <definedName name="ver" localSheetId="3" hidden="1">{#N/A,#N/A,FALSE,"9PS0"}</definedName>
    <definedName name="ver" hidden="1">{#N/A,#N/A,FALSE,"9PS0"}</definedName>
    <definedName name="wrn.r1." localSheetId="3" hidden="1">{#N/A,#N/A,FALSE,"9PS0"}</definedName>
    <definedName name="wrn.r1." hidden="1">{#N/A,#N/A,FALSE,"9PS0"}</definedName>
    <definedName name="Z_2B9BA360_C094_11D4_BCAF_00C026C07CB6_.wvu.Cols" hidden="1">'[2]0'!$C$1:$L$65536,'[2]0'!$P$1:$AI$65536</definedName>
    <definedName name="Z_2B9BA361_C094_11D4_BCAF_00C026C07CB6_.wvu.Cols" hidden="1">'[2]1'!$D$1:$F$65536,'[2]1'!$L$1:$AQ$65536</definedName>
    <definedName name="Z_2B9BA362_C094_11D4_BCAF_00C026C07CB6_.wvu.Cols" hidden="1">'[2]1 кв'!$C$1:$E$65536,'[2]1 кв'!$N$1:$AX$65536</definedName>
    <definedName name="Z_2B9BA363_C094_11D4_BCAF_00C026C07CB6_.wvu.Cols" hidden="1">'[2]10'!$F$1:$H$65536,'[2]10'!$P$1:$AR$65536</definedName>
    <definedName name="Z_2B9BA364_C094_11D4_BCAF_00C026C07CB6_.wvu.Cols" hidden="1">'[2]10 міс.'!$C$1:$E$65536,'[2]10 міс.'!$N$1:$AX$65536</definedName>
    <definedName name="Z_2B9BA365_C094_11D4_BCAF_00C026C07CB6_.wvu.Cols" hidden="1">'[2]11'!$F$1:$H$65536,'[2]11'!$P$1:$AR$65536</definedName>
    <definedName name="Z_2B9BA366_C094_11D4_BCAF_00C026C07CB6_.wvu.Cols" hidden="1">'[2]11 міс.'!$C$1:$E$65536,'[2]11 міс.'!$N$1:$AX$65536</definedName>
    <definedName name="Z_2B9BA367_C094_11D4_BCAF_00C026C07CB6_.wvu.Cols" hidden="1">'[2]12'!$F$1:$H$65536,'[2]12'!$P$1:$AR$65536</definedName>
    <definedName name="Z_2B9BA368_C094_11D4_BCAF_00C026C07CB6_.wvu.Cols" hidden="1">'[2]12 міс.'!$C$1:$E$65536,'[2]12 міс.'!$N$1:$AX$65536</definedName>
    <definedName name="Z_2B9BA369_C094_11D4_BCAF_00C026C07CB6_.wvu.Cols" hidden="1">'[2]1998'!$C$1:$E$65536,'[2]1998'!$I$1:$AC$65536</definedName>
    <definedName name="Z_2B9BA36A_C094_11D4_BCAF_00C026C07CB6_.wvu.Cols" hidden="1">'[2]1півр'!$C$1:$E$65536,'[2]1півр'!$N$1:$AX$65536</definedName>
    <definedName name="Z_2B9BA36B_C094_11D4_BCAF_00C026C07CB6_.wvu.Cols" hidden="1">'[2]2'!$F$1:$H$65536,'[2]2'!$P$1:$AQ$65536</definedName>
    <definedName name="Z_2B9BA36C_C094_11D4_BCAF_00C026C07CB6_.wvu.Cols" hidden="1">'[2]2 кв'!$C$1:$E$65536,'[2]2 кв'!$M$1:$AW$65536</definedName>
    <definedName name="Z_2B9BA36D_C094_11D4_BCAF_00C026C07CB6_.wvu.Cols" hidden="1">'[2]2 утв'!$F$1:$H$65536,'[2]2 утв'!$P$1:$AM$65536</definedName>
    <definedName name="Z_2B9BA36E_C094_11D4_BCAF_00C026C07CB6_.wvu.Cols" hidden="1">'[2]3 не сокр.'!$F$1:$H$65536,'[2]3 не сокр.'!$P$1:$AQ$65536</definedName>
    <definedName name="Z_2B9BA36F_C094_11D4_BCAF_00C026C07CB6_.wvu.Cols" hidden="1">'[2]3 тар.'!$C$1:$E$65536,'[2]3 тар.'!$I$1:$AO$65536</definedName>
    <definedName name="Z_2B9BA370_C094_11D4_BCAF_00C026C07CB6_.wvu.Cols" hidden="1">'[2]3 утв.'!$F$1:$H$65536,'[2]3 утв.'!$P$1:$AQ$65536</definedName>
    <definedName name="Z_2B9BA371_C094_11D4_BCAF_00C026C07CB6_.wvu.Cols" hidden="1">'[2]3кв'!$C$1:$E$65536,'[2]3кв'!$N$1:$AX$65536</definedName>
    <definedName name="Z_2B9BA372_C094_11D4_BCAF_00C026C07CB6_.wvu.Cols" hidden="1">'[2]3кв '!$C$1:$E$65536,'[2]3кв '!$I$1:$AA$65536</definedName>
    <definedName name="Z_2B9BA373_C094_11D4_BCAF_00C026C07CB6_.wvu.Cols" hidden="1">'[2]4 утв'!$F$1:$H$65536,'[2]4 утв'!$P$1:$AR$65536</definedName>
    <definedName name="Z_2B9BA374_C094_11D4_BCAF_00C026C07CB6_.wvu.Cols" hidden="1">'[2]5'!$F$1:$H$65536,'[2]5'!$P$1:$AR$65536</definedName>
    <definedName name="Z_2B9BA375_C094_11D4_BCAF_00C026C07CB6_.wvu.Cols" hidden="1">'[2]6'!$F$1:$H$65536,'[2]6'!$P$1:$AR$65536</definedName>
    <definedName name="Z_2B9BA376_C094_11D4_BCAF_00C026C07CB6_.wvu.Cols" hidden="1">'[2]7'!$F$1:$H$65536,'[2]7'!$P$1:$AR$65536</definedName>
    <definedName name="Z_2B9BA377_C094_11D4_BCAF_00C026C07CB6_.wvu.Cols" hidden="1">'[2]7 міс'!$C$1:$E$65536,'[2]7 міс'!$N$1:$AX$65536</definedName>
    <definedName name="Z_2B9BA378_C094_11D4_BCAF_00C026C07CB6_.wvu.Cols" hidden="1">'[2]8'!$F$1:$H$65536,'[2]8'!$P$1:$AR$65536</definedName>
    <definedName name="Z_2B9BA379_C094_11D4_BCAF_00C026C07CB6_.wvu.Cols" hidden="1">'[2]8 міс.'!$C$1:$E$65536,'[2]8 міс.'!$N$1:$AX$65536</definedName>
    <definedName name="Z_2B9BA37A_C094_11D4_BCAF_00C026C07CB6_.wvu.Cols" hidden="1">'[2]812'!$F$1:$H$65536,'[2]812'!$P$1:$AM$65536</definedName>
    <definedName name="Z_2B9BA37B_C094_11D4_BCAF_00C026C07CB6_.wvu.Cols" hidden="1">'[2]812 (2)'!$F$1:$H$65536,'[2]812 (2)'!$P$1:$AL$65536</definedName>
    <definedName name="Z_2B9BA37C_C094_11D4_BCAF_00C026C07CB6_.wvu.Cols" hidden="1">'[2]9'!$F$1:$H$65536,'[2]9'!$P$1:$AP$65536</definedName>
    <definedName name="Z_2B9BA37D_C094_11D4_BCAF_00C026C07CB6_.wvu.Cols" hidden="1">'[2]9 (2)'!$C$1:$E$65536,'[2]9 (2)'!$I$1:$AF$65536</definedName>
    <definedName name="Z_2B9BA37E_C094_11D4_BCAF_00C026C07CB6_.wvu.Cols" hidden="1">'[2]9 міс.'!$C$1:$E$65536,'[2]9 міс.'!$N$1:$AX$65536</definedName>
    <definedName name="Z_F5654560_D292_11D4_BCAF_00C026C07CB6_.wvu.Cols" hidden="1">'[2]0'!$C$1:$L$65536,'[2]0'!$P$1:$AI$65536</definedName>
    <definedName name="Z_F5654561_D292_11D4_BCAF_00C026C07CB6_.wvu.Cols" hidden="1">'[2]1'!$D$1:$F$65536,'[2]1'!$L$1:$AQ$65536</definedName>
    <definedName name="Z_F5654562_D292_11D4_BCAF_00C026C07CB6_.wvu.Cols" hidden="1">'[2]1 кв'!$C$1:$E$65536,'[2]1 кв'!$N$1:$AX$65536</definedName>
    <definedName name="Z_F5654563_D292_11D4_BCAF_00C026C07CB6_.wvu.Cols" hidden="1">'[2]10'!$F$1:$H$65536,'[2]10'!$P$1:$AR$65536</definedName>
    <definedName name="Z_F5654564_D292_11D4_BCAF_00C026C07CB6_.wvu.Cols" hidden="1">'[2]10 міс.'!$C$1:$E$65536,'[2]10 міс.'!$N$1:$AX$65536</definedName>
    <definedName name="Z_F5654565_D292_11D4_BCAF_00C026C07CB6_.wvu.Cols" hidden="1">'[2]11'!$F$1:$H$65536,'[2]11'!$P$1:$AR$65536</definedName>
    <definedName name="Z_F5654566_D292_11D4_BCAF_00C026C07CB6_.wvu.Cols" hidden="1">'[2]11 міс.'!$C$1:$E$65536,'[2]11 міс.'!$N$1:$AX$65536</definedName>
    <definedName name="Z_F5654567_D292_11D4_BCAF_00C026C07CB6_.wvu.Cols" hidden="1">'[2]12'!$F$1:$H$65536,'[2]12'!$P$1:$AR$65536</definedName>
    <definedName name="Z_F5654568_D292_11D4_BCAF_00C026C07CB6_.wvu.Cols" hidden="1">'[2]12 міс.'!$C$1:$E$65536,'[2]12 міс.'!$N$1:$AX$65536</definedName>
    <definedName name="Z_F5654569_D292_11D4_BCAF_00C026C07CB6_.wvu.Cols" hidden="1">'[2]1998'!$C$1:$E$65536,'[2]1998'!$I$1:$AC$65536</definedName>
    <definedName name="Z_F565456A_D292_11D4_BCAF_00C026C07CB6_.wvu.Cols" hidden="1">'[2]1півр'!$C$1:$E$65536,'[2]1півр'!$N$1:$AX$65536</definedName>
    <definedName name="Z_F565456B_D292_11D4_BCAF_00C026C07CB6_.wvu.Cols" hidden="1">'[2]2'!$F$1:$H$65536,'[2]2'!$P$1:$AQ$65536</definedName>
    <definedName name="Z_F565456C_D292_11D4_BCAF_00C026C07CB6_.wvu.Cols" hidden="1">'[2]2 кв'!$C$1:$E$65536,'[2]2 кв'!$M$1:$AW$65536</definedName>
    <definedName name="Z_F565456D_D292_11D4_BCAF_00C026C07CB6_.wvu.Cols" hidden="1">'[2]2 утв'!$F$1:$H$65536,'[2]2 утв'!$P$1:$AM$65536</definedName>
    <definedName name="Z_F565456E_D292_11D4_BCAF_00C026C07CB6_.wvu.Cols" hidden="1">'[2]3 не сокр.'!$F$1:$H$65536,'[2]3 не сокр.'!$P$1:$AQ$65536</definedName>
    <definedName name="Z_F565456F_D292_11D4_BCAF_00C026C07CB6_.wvu.Cols" hidden="1">'[2]3 тар.'!$C$1:$E$65536,'[2]3 тар.'!$I$1:$AO$65536</definedName>
    <definedName name="Z_F5654570_D292_11D4_BCAF_00C026C07CB6_.wvu.Cols" hidden="1">'[2]3 утв.'!$F$1:$H$65536,'[2]3 утв.'!$P$1:$AQ$65536</definedName>
    <definedName name="Z_F5654571_D292_11D4_BCAF_00C026C07CB6_.wvu.Cols" hidden="1">'[2]3кв'!$C$1:$E$65536,'[2]3кв'!$N$1:$AX$65536</definedName>
    <definedName name="Z_F5654572_D292_11D4_BCAF_00C026C07CB6_.wvu.Cols" hidden="1">'[2]3кв '!$C$1:$E$65536,'[2]3кв '!$I$1:$AA$65536</definedName>
    <definedName name="Z_F5654573_D292_11D4_BCAF_00C026C07CB6_.wvu.Cols" hidden="1">'[2]4 утв'!$F$1:$H$65536,'[2]4 утв'!$P$1:$AR$65536</definedName>
    <definedName name="Z_F5654574_D292_11D4_BCAF_00C026C07CB6_.wvu.Cols" hidden="1">'[2]5'!$F$1:$H$65536,'[2]5'!$P$1:$AR$65536</definedName>
    <definedName name="Z_F5654575_D292_11D4_BCAF_00C026C07CB6_.wvu.Cols" hidden="1">'[2]6'!$F$1:$H$65536,'[2]6'!$P$1:$AR$65536</definedName>
    <definedName name="Z_F5654576_D292_11D4_BCAF_00C026C07CB6_.wvu.Cols" hidden="1">'[2]7'!$F$1:$H$65536,'[2]7'!$P$1:$AR$65536</definedName>
    <definedName name="Z_F5654577_D292_11D4_BCAF_00C026C07CB6_.wvu.Cols" hidden="1">'[2]7 міс'!$C$1:$E$65536,'[2]7 міс'!$N$1:$AX$65536</definedName>
    <definedName name="Z_F5654578_D292_11D4_BCAF_00C026C07CB6_.wvu.Cols" hidden="1">'[2]8'!$F$1:$H$65536,'[2]8'!$P$1:$AR$65536</definedName>
    <definedName name="Z_F5654579_D292_11D4_BCAF_00C026C07CB6_.wvu.Cols" hidden="1">'[2]8 міс.'!$C$1:$E$65536,'[2]8 міс.'!$N$1:$AX$65536</definedName>
    <definedName name="Z_F565457A_D292_11D4_BCAF_00C026C07CB6_.wvu.Cols" hidden="1">'[2]812'!$F$1:$H$65536,'[2]812'!$P$1:$AM$65536</definedName>
    <definedName name="Z_F565457B_D292_11D4_BCAF_00C026C07CB6_.wvu.Cols" hidden="1">'[2]812 (2)'!$F$1:$H$65536,'[2]812 (2)'!$P$1:$AL$65536</definedName>
    <definedName name="Z_F565457C_D292_11D4_BCAF_00C026C07CB6_.wvu.Cols" hidden="1">'[2]9'!$F$1:$H$65536,'[2]9'!$P$1:$AP$65536</definedName>
    <definedName name="Z_F565457D_D292_11D4_BCAF_00C026C07CB6_.wvu.Cols" hidden="1">'[2]9 (2)'!$C$1:$E$65536,'[2]9 (2)'!$I$1:$AF$65536</definedName>
    <definedName name="Z_F565457E_D292_11D4_BCAF_00C026C07CB6_.wvu.Cols" hidden="1">'[2]9 міс.'!$C$1:$E$65536,'[2]9 міс.'!$N$1:$AX$65536</definedName>
    <definedName name="ГРУДЕНЬ" localSheetId="3" hidden="1">{#N/A,#N/A,FALSE,"9PS0"}</definedName>
    <definedName name="ГРУДЕНЬ" hidden="1">{#N/A,#N/A,FALSE,"9PS0"}</definedName>
    <definedName name="ДепЕЗ" localSheetId="3" hidden="1">{#N/A,#N/A,FALSE,"9PS0"}</definedName>
    <definedName name="ДепЕЗ" hidden="1">{#N/A,#N/A,FALSE,"9PS0"}</definedName>
    <definedName name="жовтень" localSheetId="3" hidden="1">{#N/A,#N/A,FALSE,"9PS0"}</definedName>
    <definedName name="жовтень" hidden="1">{#N/A,#N/A,FALSE,"9PS0"}</definedName>
    <definedName name="зарплатаБ" localSheetId="3" hidden="1">{#N/A,#N/A,FALSE,"9PS0"}</definedName>
    <definedName name="зарплатаБ" hidden="1">{#N/A,#N/A,FALSE,"9PS0"}</definedName>
    <definedName name="ло" localSheetId="3" hidden="1">{#N/A,#N/A,FALSE,"9PS0"}</definedName>
    <definedName name="ло" hidden="1">{#N/A,#N/A,FALSE,"9PS0"}</definedName>
    <definedName name="лютий" localSheetId="3" hidden="1">{#N/A,#N/A,FALSE,"9PS0"}</definedName>
    <definedName name="лютий" hidden="1">{#N/A,#N/A,FALSE,"9PS0"}</definedName>
    <definedName name="план" localSheetId="3" hidden="1">{#N/A,#N/A,FALSE,"9PS0"}</definedName>
    <definedName name="план" hidden="1">{#N/A,#N/A,FALSE,"9PS0"}</definedName>
    <definedName name="рік" localSheetId="3" hidden="1">{#N/A,#N/A,FALSE,"9PS0"}</definedName>
    <definedName name="рік" hidden="1">{#N/A,#N/A,FALSE,"9PS0"}</definedName>
    <definedName name="рое" localSheetId="3" hidden="1">{#N/A,#N/A,FALSE,"9PS0"}</definedName>
    <definedName name="рое" hidden="1">{#N/A,#N/A,FALSE,"9PS0"}</definedName>
    <definedName name="СЕРПЕНЬ" localSheetId="3" hidden="1">{#N/A,#N/A,FALSE,"9PS0"}</definedName>
    <definedName name="СЕРПЕНЬ" hidden="1">{#N/A,#N/A,FALSE,"9PS0"}</definedName>
    <definedName name="травень" localSheetId="3" hidden="1">{#N/A,#N/A,FALSE,"9PS0"}</definedName>
    <definedName name="травень" hidden="1">{#N/A,#N/A,FALSE,"9PS0"}</definedName>
  </definedNames>
  <calcPr calcId="162913"/>
</workbook>
</file>

<file path=xl/calcChain.xml><?xml version="1.0" encoding="utf-8"?>
<calcChain xmlns="http://schemas.openxmlformats.org/spreadsheetml/2006/main">
  <c r="F230" i="58" l="1"/>
  <c r="F243" i="58" s="1"/>
  <c r="D243" i="58" s="1"/>
  <c r="F229" i="58"/>
  <c r="F242" i="58" s="1"/>
  <c r="D242" i="58" s="1"/>
  <c r="F228" i="58"/>
  <c r="F241" i="58" s="1"/>
  <c r="F227" i="58"/>
  <c r="D230" i="58"/>
  <c r="D229" i="58"/>
  <c r="D228" i="58"/>
  <c r="D227" i="58"/>
  <c r="F166" i="58"/>
  <c r="D166" i="58"/>
  <c r="F163" i="58"/>
  <c r="D163" i="58" s="1"/>
  <c r="D162" i="58"/>
  <c r="E130" i="58"/>
  <c r="E151" i="58" s="1"/>
  <c r="F141" i="58"/>
  <c r="D141" i="58" s="1"/>
  <c r="F137" i="58"/>
  <c r="D137" i="58" s="1"/>
  <c r="F133" i="58"/>
  <c r="D133" i="58" s="1"/>
  <c r="D131" i="58"/>
  <c r="D132" i="58"/>
  <c r="D134" i="58"/>
  <c r="D135" i="58"/>
  <c r="D136" i="58"/>
  <c r="D138" i="58"/>
  <c r="D139" i="58"/>
  <c r="D140" i="58"/>
  <c r="D142" i="58"/>
  <c r="D143" i="58"/>
  <c r="D144" i="58"/>
  <c r="D145" i="58"/>
  <c r="D146" i="58"/>
  <c r="D147" i="58"/>
  <c r="D148" i="58"/>
  <c r="D149" i="58"/>
  <c r="D150" i="58"/>
  <c r="D152" i="58"/>
  <c r="D153" i="58"/>
  <c r="D154" i="58"/>
  <c r="D155" i="58"/>
  <c r="D156" i="58"/>
  <c r="D157" i="58"/>
  <c r="D158" i="58"/>
  <c r="F127" i="58"/>
  <c r="D127" i="58" s="1"/>
  <c r="F124" i="58"/>
  <c r="F233" i="58" s="1"/>
  <c r="D123" i="58"/>
  <c r="F103" i="58"/>
  <c r="F99" i="58"/>
  <c r="F95" i="58"/>
  <c r="D124" i="58" l="1"/>
  <c r="E159" i="58"/>
  <c r="F240" i="58"/>
  <c r="D241" i="58"/>
  <c r="F246" i="58"/>
  <c r="D246" i="58" s="1"/>
  <c r="D233" i="58"/>
  <c r="F130" i="58"/>
  <c r="F167" i="58"/>
  <c r="D167" i="58" s="1"/>
  <c r="F234" i="58"/>
  <c r="F128" i="58"/>
  <c r="D128" i="58" s="1"/>
  <c r="D240" i="58"/>
  <c r="F247" i="58" l="1"/>
  <c r="D247" i="58" s="1"/>
  <c r="D234" i="58"/>
  <c r="F151" i="58"/>
  <c r="D130" i="58"/>
  <c r="F159" i="58" l="1"/>
  <c r="D159" i="58" s="1"/>
  <c r="D151" i="58"/>
  <c r="F91" i="58" l="1"/>
  <c r="E91" i="58"/>
  <c r="F84" i="58"/>
  <c r="F83" i="58" s="1"/>
  <c r="F109" i="58" s="1"/>
  <c r="F118" i="58" s="1"/>
  <c r="E84" i="58"/>
  <c r="E83" i="58" s="1"/>
  <c r="E109" i="58" s="1"/>
  <c r="E118" i="58" s="1"/>
  <c r="D85" i="58"/>
  <c r="D86" i="58"/>
  <c r="D87" i="58"/>
  <c r="D88" i="58"/>
  <c r="D89" i="58"/>
  <c r="D90" i="58"/>
  <c r="D92" i="58"/>
  <c r="D93" i="58"/>
  <c r="D94" i="58"/>
  <c r="D95" i="58"/>
  <c r="D96" i="58"/>
  <c r="D97" i="58"/>
  <c r="D98" i="58"/>
  <c r="D99" i="58"/>
  <c r="D100" i="58"/>
  <c r="D101" i="58"/>
  <c r="D102" i="58"/>
  <c r="D103" i="58"/>
  <c r="D104" i="58"/>
  <c r="D105" i="58"/>
  <c r="D106" i="58"/>
  <c r="D107" i="58"/>
  <c r="D108" i="58"/>
  <c r="D111" i="58"/>
  <c r="D112" i="58"/>
  <c r="D113" i="58"/>
  <c r="D114" i="58"/>
  <c r="D115" i="58"/>
  <c r="D116" i="58"/>
  <c r="D117" i="58"/>
  <c r="F80" i="58"/>
  <c r="D80" i="58" s="1"/>
  <c r="D76" i="58"/>
  <c r="F77" i="58"/>
  <c r="F232" i="58" s="1"/>
  <c r="F64" i="58"/>
  <c r="E64" i="58"/>
  <c r="D65" i="58"/>
  <c r="D66" i="58"/>
  <c r="D67" i="58"/>
  <c r="D68" i="58"/>
  <c r="D69" i="58"/>
  <c r="D62" i="58"/>
  <c r="F43" i="58"/>
  <c r="D43" i="58" s="1"/>
  <c r="F55" i="58"/>
  <c r="D55" i="58" s="1"/>
  <c r="F51" i="58"/>
  <c r="F47" i="58"/>
  <c r="D47" i="58" s="1"/>
  <c r="D33" i="58"/>
  <c r="D34" i="58"/>
  <c r="D35" i="58"/>
  <c r="D36" i="58"/>
  <c r="D37" i="58"/>
  <c r="D38" i="58"/>
  <c r="D39" i="58"/>
  <c r="D40" i="58"/>
  <c r="D41" i="58"/>
  <c r="D42" i="58"/>
  <c r="D44" i="58"/>
  <c r="D45" i="58"/>
  <c r="D46" i="58"/>
  <c r="D48" i="58"/>
  <c r="D49" i="58"/>
  <c r="D50" i="58"/>
  <c r="D51" i="58"/>
  <c r="D52" i="58"/>
  <c r="D53" i="58"/>
  <c r="D54" i="58"/>
  <c r="D56" i="58"/>
  <c r="D57" i="58"/>
  <c r="D58" i="58"/>
  <c r="D59" i="58"/>
  <c r="D60" i="58"/>
  <c r="F32" i="58"/>
  <c r="F31" i="58" s="1"/>
  <c r="F30" i="58" s="1"/>
  <c r="F61" i="58" s="1"/>
  <c r="F70" i="58" s="1"/>
  <c r="E32" i="58"/>
  <c r="E31" i="58" s="1"/>
  <c r="E30" i="58" s="1"/>
  <c r="D23" i="58"/>
  <c r="D22" i="58"/>
  <c r="D20" i="58"/>
  <c r="D15" i="58"/>
  <c r="D16" i="58"/>
  <c r="D17" i="58"/>
  <c r="D18" i="58"/>
  <c r="D19" i="58"/>
  <c r="D14" i="58"/>
  <c r="D13" i="58"/>
  <c r="D30" i="58" l="1"/>
  <c r="E61" i="58"/>
  <c r="F231" i="58"/>
  <c r="D231" i="58" s="1"/>
  <c r="F245" i="58"/>
  <c r="D232" i="58"/>
  <c r="D77" i="58"/>
  <c r="F81" i="58"/>
  <c r="D81" i="58" s="1"/>
  <c r="D109" i="58"/>
  <c r="D118" i="58"/>
  <c r="E122" i="58"/>
  <c r="D91" i="58"/>
  <c r="D84" i="58"/>
  <c r="D83" i="58"/>
  <c r="D64" i="58"/>
  <c r="D31" i="58"/>
  <c r="D32" i="58"/>
  <c r="E233" i="58"/>
  <c r="E246" i="58" s="1"/>
  <c r="E230" i="58"/>
  <c r="E243" i="58" s="1"/>
  <c r="E229" i="58"/>
  <c r="E242" i="58" s="1"/>
  <c r="E228" i="58"/>
  <c r="E241" i="58" s="1"/>
  <c r="E226" i="58"/>
  <c r="E239" i="58" s="1"/>
  <c r="F226" i="58"/>
  <c r="F239" i="58" s="1"/>
  <c r="D226" i="58"/>
  <c r="D239" i="58" s="1"/>
  <c r="F225" i="58"/>
  <c r="F238" i="58" s="1"/>
  <c r="F224" i="58"/>
  <c r="F237" i="58" s="1"/>
  <c r="E225" i="58" l="1"/>
  <c r="E126" i="58"/>
  <c r="D126" i="58" s="1"/>
  <c r="D122" i="58"/>
  <c r="D245" i="58"/>
  <c r="F244" i="58"/>
  <c r="D244" i="58" s="1"/>
  <c r="D61" i="58"/>
  <c r="E70" i="58"/>
  <c r="E244" i="58"/>
  <c r="E240" i="58"/>
  <c r="F236" i="58"/>
  <c r="F235" i="58"/>
  <c r="E235" i="58"/>
  <c r="D235" i="58"/>
  <c r="F223" i="58"/>
  <c r="F222" i="58"/>
  <c r="E222" i="58"/>
  <c r="D222" i="58"/>
  <c r="E216" i="58"/>
  <c r="E209" i="58"/>
  <c r="E208" i="58"/>
  <c r="E207" i="58"/>
  <c r="E206" i="58"/>
  <c r="E205" i="58"/>
  <c r="E203" i="58"/>
  <c r="E201" i="58"/>
  <c r="E200" i="58"/>
  <c r="E199" i="58"/>
  <c r="E198" i="58"/>
  <c r="E197" i="58"/>
  <c r="E195" i="58"/>
  <c r="E194" i="58"/>
  <c r="E193" i="58"/>
  <c r="E191" i="58"/>
  <c r="E190" i="58"/>
  <c r="E189" i="58"/>
  <c r="E187" i="58"/>
  <c r="E186" i="58"/>
  <c r="E185" i="58"/>
  <c r="E184" i="58"/>
  <c r="E183" i="58"/>
  <c r="E182" i="58"/>
  <c r="E181" i="58"/>
  <c r="E180" i="58"/>
  <c r="F179" i="58"/>
  <c r="E179" i="58"/>
  <c r="D179" i="58"/>
  <c r="F178" i="58"/>
  <c r="E178" i="58"/>
  <c r="D178" i="58"/>
  <c r="F177" i="58"/>
  <c r="E177" i="58"/>
  <c r="D177" i="58"/>
  <c r="F176" i="58"/>
  <c r="E176" i="58"/>
  <c r="F175" i="58"/>
  <c r="E163" i="58"/>
  <c r="E234" i="58" s="1"/>
  <c r="E247" i="58" s="1"/>
  <c r="E124" i="58"/>
  <c r="E196" i="58"/>
  <c r="E192" i="58"/>
  <c r="E188" i="58"/>
  <c r="E81" i="58"/>
  <c r="E77" i="58"/>
  <c r="E232" i="58" s="1"/>
  <c r="E245" i="58" s="1"/>
  <c r="D176" i="58"/>
  <c r="F173" i="58"/>
  <c r="E75" i="58" l="1"/>
  <c r="D70" i="58"/>
  <c r="E238" i="58"/>
  <c r="D238" i="58" s="1"/>
  <c r="D225" i="58"/>
  <c r="F172" i="58"/>
  <c r="F198" i="58"/>
  <c r="D198" i="58"/>
  <c r="E174" i="58"/>
  <c r="E204" i="58"/>
  <c r="F199" i="58"/>
  <c r="F197" i="58"/>
  <c r="D197" i="58"/>
  <c r="E224" i="58" l="1"/>
  <c r="E79" i="58"/>
  <c r="D79" i="58" s="1"/>
  <c r="D75" i="58"/>
  <c r="D199" i="58"/>
  <c r="E223" i="58" l="1"/>
  <c r="D223" i="58" s="1"/>
  <c r="E237" i="58"/>
  <c r="D224" i="58"/>
  <c r="F203" i="58"/>
  <c r="E236" i="58" l="1"/>
  <c r="D236" i="58" s="1"/>
  <c r="D237" i="58"/>
  <c r="D203" i="58"/>
  <c r="F183" i="58" l="1"/>
  <c r="D183" i="58"/>
  <c r="D180" i="58"/>
  <c r="F180" i="58"/>
  <c r="D186" i="58"/>
  <c r="F186" i="58"/>
  <c r="F185" i="58" l="1"/>
  <c r="D185" i="58" l="1"/>
  <c r="F187" i="58" l="1"/>
  <c r="D187" i="58" l="1"/>
  <c r="N3" i="52" l="1"/>
  <c r="S3" i="52"/>
  <c r="A4" i="52"/>
  <c r="A5" i="52" s="1"/>
  <c r="A6" i="52" s="1"/>
  <c r="A7" i="52" s="1"/>
  <c r="A8" i="52" s="1"/>
  <c r="A9" i="52" s="1"/>
  <c r="A10" i="52" s="1"/>
  <c r="A11" i="52" s="1"/>
  <c r="A12" i="52" s="1"/>
  <c r="A13" i="52" s="1"/>
  <c r="A14" i="52" s="1"/>
  <c r="A15" i="52" s="1"/>
  <c r="A16" i="52" s="1"/>
  <c r="A17" i="52" s="1"/>
  <c r="A18" i="52" s="1"/>
  <c r="A19" i="52" s="1"/>
  <c r="A20" i="52" s="1"/>
  <c r="A21" i="52" s="1"/>
  <c r="A22" i="52" s="1"/>
  <c r="A23" i="52" s="1"/>
  <c r="A24" i="52" s="1"/>
  <c r="A25" i="52" s="1"/>
  <c r="A26" i="52" s="1"/>
  <c r="A27" i="52" s="1"/>
  <c r="A28" i="52" s="1"/>
  <c r="A29" i="52" s="1"/>
  <c r="A30" i="52" s="1"/>
  <c r="A31" i="52" s="1"/>
  <c r="A32" i="52" s="1"/>
  <c r="A33" i="52" s="1"/>
  <c r="A34" i="52" s="1"/>
  <c r="A35" i="52" s="1"/>
  <c r="A36" i="52" s="1"/>
  <c r="A37" i="52" s="1"/>
  <c r="A38" i="52" s="1"/>
  <c r="A39" i="52" s="1"/>
  <c r="A40" i="52" s="1"/>
  <c r="A41" i="52" s="1"/>
  <c r="A42" i="52" s="1"/>
  <c r="A43" i="52" s="1"/>
  <c r="A44" i="52" s="1"/>
  <c r="A45" i="52" s="1"/>
  <c r="A46" i="52" s="1"/>
  <c r="A47" i="52" s="1"/>
  <c r="A48" i="52" s="1"/>
  <c r="A49" i="52" s="1"/>
  <c r="A50" i="52" s="1"/>
  <c r="A51" i="52" s="1"/>
  <c r="A52" i="52" s="1"/>
  <c r="A53" i="52" s="1"/>
  <c r="A54" i="52" s="1"/>
  <c r="A55" i="52" s="1"/>
  <c r="A56" i="52" s="1"/>
  <c r="A57" i="52" s="1"/>
  <c r="A58" i="52" s="1"/>
  <c r="A59" i="52" s="1"/>
  <c r="A60" i="52" s="1"/>
  <c r="A61" i="52" s="1"/>
  <c r="A62" i="52" s="1"/>
  <c r="A63" i="52" s="1"/>
  <c r="A64" i="52" s="1"/>
  <c r="A65" i="52" s="1"/>
  <c r="A66" i="52" s="1"/>
  <c r="A67" i="52" s="1"/>
  <c r="A68" i="52" s="1"/>
  <c r="A69" i="52" s="1"/>
  <c r="A70" i="52" s="1"/>
  <c r="A71" i="52" s="1"/>
  <c r="A72" i="52" s="1"/>
  <c r="A73" i="52" s="1"/>
  <c r="A74" i="52" s="1"/>
  <c r="A75" i="52" s="1"/>
  <c r="A76" i="52" s="1"/>
  <c r="A77" i="52" s="1"/>
  <c r="A78" i="52" s="1"/>
  <c r="A79" i="52" s="1"/>
  <c r="A80" i="52" s="1"/>
  <c r="A81" i="52" s="1"/>
  <c r="A82" i="52" s="1"/>
  <c r="A83" i="52" s="1"/>
  <c r="A84" i="52" s="1"/>
  <c r="A85" i="52" s="1"/>
  <c r="A86" i="52" s="1"/>
  <c r="A87" i="52" s="1"/>
  <c r="A88" i="52" s="1"/>
  <c r="A89" i="52" s="1"/>
  <c r="A90" i="52" s="1"/>
  <c r="A91" i="52" s="1"/>
  <c r="A92" i="52" s="1"/>
  <c r="A93" i="52" s="1"/>
  <c r="A94" i="52" s="1"/>
  <c r="A95" i="52" s="1"/>
  <c r="A96" i="52" s="1"/>
  <c r="A97" i="52" s="1"/>
  <c r="A98" i="52" s="1"/>
  <c r="A99" i="52" s="1"/>
  <c r="A100" i="52" s="1"/>
  <c r="A101" i="52" s="1"/>
  <c r="A102" i="52" s="1"/>
  <c r="A103" i="52" s="1"/>
  <c r="A104" i="52" s="1"/>
  <c r="A105" i="52" s="1"/>
  <c r="A106" i="52" s="1"/>
  <c r="A107" i="52" s="1"/>
  <c r="A108" i="52" s="1"/>
  <c r="A109" i="52" s="1"/>
  <c r="A110" i="52" s="1"/>
  <c r="A111" i="52" s="1"/>
  <c r="A112" i="52" s="1"/>
  <c r="A113" i="52" s="1"/>
  <c r="A114" i="52" s="1"/>
  <c r="A115" i="52" s="1"/>
  <c r="A116" i="52" s="1"/>
  <c r="A117" i="52" s="1"/>
  <c r="A118" i="52" s="1"/>
  <c r="A119" i="52" s="1"/>
  <c r="A120" i="52" s="1"/>
  <c r="A121" i="52" s="1"/>
  <c r="A122" i="52" s="1"/>
  <c r="A123" i="52" s="1"/>
  <c r="A124" i="52" s="1"/>
  <c r="A125" i="52" s="1"/>
  <c r="A126" i="52" s="1"/>
  <c r="A127" i="52" s="1"/>
  <c r="A128" i="52" s="1"/>
  <c r="A129" i="52" s="1"/>
  <c r="A130" i="52" s="1"/>
  <c r="A131" i="52" s="1"/>
  <c r="A132" i="52" s="1"/>
  <c r="A133" i="52" s="1"/>
  <c r="A134" i="52" s="1"/>
  <c r="A135" i="52" s="1"/>
  <c r="A136" i="52" s="1"/>
  <c r="A137" i="52" s="1"/>
  <c r="A138" i="52" s="1"/>
  <c r="A139" i="52" s="1"/>
  <c r="A140" i="52" s="1"/>
  <c r="A141" i="52" s="1"/>
  <c r="A142" i="52" s="1"/>
  <c r="A143" i="52" s="1"/>
  <c r="A144" i="52" s="1"/>
  <c r="A145" i="52" s="1"/>
  <c r="A146" i="52" s="1"/>
  <c r="A147" i="52" s="1"/>
  <c r="A148" i="52" s="1"/>
  <c r="A149" i="52" s="1"/>
  <c r="A150" i="52" s="1"/>
  <c r="A151" i="52" s="1"/>
  <c r="A152" i="52" s="1"/>
  <c r="A153" i="52" s="1"/>
  <c r="A154" i="52" s="1"/>
  <c r="A155" i="52" s="1"/>
  <c r="A156" i="52" s="1"/>
  <c r="A157" i="52" s="1"/>
  <c r="A158" i="52" s="1"/>
  <c r="A159" i="52" s="1"/>
  <c r="A160" i="52" s="1"/>
  <c r="A161" i="52" s="1"/>
  <c r="A162" i="52" s="1"/>
  <c r="A163" i="52" s="1"/>
  <c r="A164" i="52" s="1"/>
  <c r="A165" i="52" s="1"/>
  <c r="A166" i="52" s="1"/>
  <c r="A167" i="52" s="1"/>
  <c r="A168" i="52" s="1"/>
  <c r="A169" i="52" s="1"/>
  <c r="A170" i="52" s="1"/>
  <c r="A171" i="52" s="1"/>
  <c r="A172" i="52" s="1"/>
  <c r="A173" i="52" s="1"/>
  <c r="A174" i="52" s="1"/>
  <c r="A175" i="52" s="1"/>
  <c r="A176" i="52" s="1"/>
  <c r="A177" i="52" s="1"/>
  <c r="A178" i="52" s="1"/>
  <c r="A179" i="52" s="1"/>
  <c r="A180" i="52" s="1"/>
  <c r="A181" i="52" s="1"/>
  <c r="A182" i="52" s="1"/>
  <c r="A183" i="52" s="1"/>
  <c r="A184" i="52" s="1"/>
  <c r="A185" i="52" s="1"/>
  <c r="A186" i="52" s="1"/>
  <c r="A187" i="52" s="1"/>
  <c r="A188" i="52" s="1"/>
  <c r="A189" i="52" s="1"/>
  <c r="A190" i="52" s="1"/>
  <c r="A191" i="52" s="1"/>
  <c r="A192" i="52" s="1"/>
  <c r="A193" i="52" s="1"/>
  <c r="A194" i="52" s="1"/>
  <c r="A195" i="52" s="1"/>
  <c r="A196" i="52" s="1"/>
  <c r="A197" i="52" s="1"/>
  <c r="A198" i="52" s="1"/>
  <c r="A199" i="52" s="1"/>
  <c r="A200" i="52" s="1"/>
  <c r="A201" i="52" s="1"/>
  <c r="A202" i="52" s="1"/>
  <c r="A203" i="52" s="1"/>
  <c r="A204" i="52" s="1"/>
  <c r="A205" i="52" s="1"/>
  <c r="A206" i="52" s="1"/>
  <c r="A207" i="52" s="1"/>
  <c r="A208" i="52" s="1"/>
  <c r="A209" i="52" s="1"/>
  <c r="A210" i="52" s="1"/>
  <c r="A211" i="52" s="1"/>
  <c r="A212" i="52" s="1"/>
  <c r="A213" i="52" s="1"/>
  <c r="A214" i="52" s="1"/>
  <c r="A215" i="52" s="1"/>
  <c r="A216" i="52" s="1"/>
  <c r="A217" i="52" s="1"/>
  <c r="A218" i="52" s="1"/>
  <c r="A219" i="52" s="1"/>
  <c r="A220" i="52" s="1"/>
  <c r="A221" i="52" s="1"/>
  <c r="A222" i="52" s="1"/>
  <c r="A223" i="52" s="1"/>
  <c r="A224" i="52" s="1"/>
  <c r="A225" i="52" s="1"/>
  <c r="A226" i="52" s="1"/>
  <c r="A227" i="52" s="1"/>
  <c r="A228" i="52" s="1"/>
  <c r="A229" i="52" s="1"/>
  <c r="A230" i="52" s="1"/>
  <c r="A231" i="52" s="1"/>
  <c r="A232" i="52" s="1"/>
  <c r="A233" i="52" s="1"/>
  <c r="A234" i="52" s="1"/>
  <c r="A235" i="52" s="1"/>
  <c r="A236" i="52" s="1"/>
  <c r="A237" i="52" s="1"/>
  <c r="A238" i="52" s="1"/>
  <c r="A239" i="52" s="1"/>
  <c r="A240" i="52" s="1"/>
  <c r="A241" i="52" s="1"/>
  <c r="A242" i="52" s="1"/>
  <c r="A243" i="52" s="1"/>
  <c r="A244" i="52" s="1"/>
  <c r="A245" i="52" s="1"/>
  <c r="A246" i="52" s="1"/>
  <c r="A247" i="52" s="1"/>
  <c r="A248" i="52" s="1"/>
  <c r="A249" i="52" s="1"/>
  <c r="A250" i="52" s="1"/>
  <c r="A251" i="52" s="1"/>
  <c r="A252" i="52" s="1"/>
  <c r="A253" i="52" s="1"/>
  <c r="A254" i="52" s="1"/>
  <c r="A255" i="52" s="1"/>
  <c r="A256" i="52" s="1"/>
  <c r="A257" i="52" s="1"/>
  <c r="A258" i="52" s="1"/>
  <c r="A259" i="52" s="1"/>
  <c r="A260" i="52" s="1"/>
  <c r="A261" i="52" s="1"/>
  <c r="A262" i="52" s="1"/>
  <c r="A263" i="52" s="1"/>
  <c r="A264" i="52" s="1"/>
  <c r="A265" i="52" s="1"/>
  <c r="A266" i="52" s="1"/>
  <c r="A267" i="52" s="1"/>
  <c r="A268" i="52" s="1"/>
  <c r="A269" i="52" s="1"/>
  <c r="A270" i="52" s="1"/>
  <c r="A271" i="52" s="1"/>
  <c r="A272" i="52" s="1"/>
  <c r="A273" i="52" s="1"/>
  <c r="A274" i="52" s="1"/>
  <c r="A275" i="52" s="1"/>
  <c r="A276" i="52" s="1"/>
  <c r="A277" i="52" s="1"/>
  <c r="A278" i="52" s="1"/>
  <c r="A279" i="52" s="1"/>
  <c r="A280" i="52" s="1"/>
  <c r="A281" i="52" s="1"/>
  <c r="A282" i="52" s="1"/>
  <c r="A283" i="52" s="1"/>
  <c r="A284" i="52" s="1"/>
  <c r="A285" i="52" s="1"/>
  <c r="A286" i="52" s="1"/>
  <c r="A287" i="52" s="1"/>
  <c r="A288" i="52" s="1"/>
  <c r="A289" i="52" s="1"/>
  <c r="A290" i="52" s="1"/>
  <c r="A291" i="52" s="1"/>
  <c r="A292" i="52" s="1"/>
  <c r="A293" i="52" s="1"/>
  <c r="A294" i="52" s="1"/>
  <c r="A295" i="52" s="1"/>
  <c r="A296" i="52" s="1"/>
  <c r="A297" i="52" s="1"/>
  <c r="A298" i="52" s="1"/>
  <c r="A299" i="52" s="1"/>
  <c r="A300" i="52" s="1"/>
  <c r="A301" i="52" s="1"/>
  <c r="A302" i="52" s="1"/>
  <c r="A303" i="52" s="1"/>
  <c r="A304" i="52" s="1"/>
  <c r="A305" i="52" s="1"/>
  <c r="A306" i="52" s="1"/>
  <c r="A307" i="52" s="1"/>
  <c r="A308" i="52" s="1"/>
  <c r="A309" i="52" s="1"/>
  <c r="A310" i="52" s="1"/>
  <c r="A311" i="52" s="1"/>
  <c r="A312" i="52" s="1"/>
  <c r="A313" i="52" s="1"/>
  <c r="A314" i="52" s="1"/>
  <c r="A315" i="52" s="1"/>
  <c r="A316" i="52" s="1"/>
  <c r="A317" i="52" s="1"/>
  <c r="A318" i="52" s="1"/>
  <c r="A319" i="52" s="1"/>
  <c r="A320" i="52" s="1"/>
  <c r="A321" i="52" s="1"/>
  <c r="A322" i="52" s="1"/>
  <c r="A323" i="52" s="1"/>
  <c r="A324" i="52" s="1"/>
  <c r="A325" i="52" s="1"/>
  <c r="A326" i="52" s="1"/>
  <c r="A327" i="52" s="1"/>
  <c r="A328" i="52" s="1"/>
  <c r="A329" i="52" s="1"/>
  <c r="A330" i="52" s="1"/>
  <c r="A331" i="52" s="1"/>
  <c r="A332" i="52" s="1"/>
  <c r="A333" i="52" s="1"/>
  <c r="A334" i="52" s="1"/>
  <c r="A335" i="52" s="1"/>
  <c r="A336" i="52" s="1"/>
  <c r="A337" i="52" s="1"/>
  <c r="A338" i="52" s="1"/>
  <c r="A339" i="52" s="1"/>
  <c r="A340" i="52" s="1"/>
  <c r="A341" i="52" s="1"/>
  <c r="A342" i="52" s="1"/>
  <c r="A343" i="52" s="1"/>
  <c r="A344" i="52" s="1"/>
  <c r="A345" i="52" s="1"/>
  <c r="A346" i="52" s="1"/>
  <c r="A347" i="52" s="1"/>
  <c r="A348" i="52" s="1"/>
  <c r="A349" i="52" s="1"/>
  <c r="A350" i="52" s="1"/>
  <c r="A351" i="52" s="1"/>
  <c r="A352" i="52" s="1"/>
  <c r="A353" i="52" s="1"/>
  <c r="A354" i="52" s="1"/>
  <c r="A355" i="52" s="1"/>
  <c r="A356" i="52" s="1"/>
  <c r="A357" i="52" s="1"/>
  <c r="A358" i="52" s="1"/>
  <c r="A359" i="52" s="1"/>
  <c r="A360" i="52" s="1"/>
  <c r="A361" i="52" s="1"/>
  <c r="A362" i="52" s="1"/>
  <c r="A363" i="52" s="1"/>
  <c r="A364" i="52" s="1"/>
  <c r="A365" i="52" s="1"/>
  <c r="A366" i="52" s="1"/>
  <c r="A367" i="52" s="1"/>
  <c r="A368" i="52" s="1"/>
  <c r="A369" i="52" s="1"/>
  <c r="A370" i="52" s="1"/>
  <c r="A371" i="52" s="1"/>
  <c r="A372" i="52" s="1"/>
  <c r="A373" i="52" s="1"/>
  <c r="A374" i="52" s="1"/>
  <c r="A375" i="52" s="1"/>
  <c r="A376" i="52" s="1"/>
  <c r="A377" i="52" s="1"/>
  <c r="A378" i="52" s="1"/>
  <c r="A379" i="52" s="1"/>
  <c r="A380" i="52" s="1"/>
  <c r="A381" i="52" s="1"/>
  <c r="A382" i="52" s="1"/>
  <c r="A383" i="52" s="1"/>
  <c r="A384" i="52" s="1"/>
  <c r="A385" i="52" s="1"/>
  <c r="A386" i="52" s="1"/>
  <c r="A387" i="52" s="1"/>
  <c r="A388" i="52" s="1"/>
  <c r="A389" i="52" s="1"/>
  <c r="A390" i="52" s="1"/>
  <c r="A391" i="52" s="1"/>
  <c r="A392" i="52" s="1"/>
  <c r="A393" i="52" s="1"/>
  <c r="A394" i="52" s="1"/>
  <c r="A395" i="52" s="1"/>
  <c r="A396" i="52" s="1"/>
  <c r="A397" i="52" s="1"/>
  <c r="A398" i="52" s="1"/>
  <c r="A399" i="52" s="1"/>
  <c r="A400" i="52" s="1"/>
  <c r="A401" i="52" s="1"/>
  <c r="A402" i="52" s="1"/>
  <c r="A403" i="52" s="1"/>
  <c r="A404" i="52" s="1"/>
  <c r="A405" i="52" s="1"/>
  <c r="A406" i="52" s="1"/>
  <c r="A407" i="52" s="1"/>
  <c r="A408" i="52" s="1"/>
  <c r="A409" i="52" s="1"/>
  <c r="A410" i="52" s="1"/>
  <c r="A411" i="52" s="1"/>
  <c r="A412" i="52" s="1"/>
  <c r="A413" i="52" s="1"/>
  <c r="A414" i="52" s="1"/>
  <c r="A415" i="52" s="1"/>
  <c r="A416" i="52" s="1"/>
  <c r="A417" i="52" s="1"/>
  <c r="A418" i="52" s="1"/>
  <c r="A419" i="52" s="1"/>
  <c r="A420" i="52" s="1"/>
  <c r="A421" i="52" s="1"/>
  <c r="A422" i="52" s="1"/>
  <c r="A423" i="52" s="1"/>
  <c r="A424" i="52" s="1"/>
  <c r="A425" i="52" s="1"/>
  <c r="A426" i="52" s="1"/>
  <c r="A427" i="52" s="1"/>
  <c r="A428" i="52" s="1"/>
  <c r="A429" i="52" s="1"/>
  <c r="A430" i="52" s="1"/>
  <c r="A431" i="52" s="1"/>
  <c r="A432" i="52" s="1"/>
  <c r="A433" i="52" s="1"/>
  <c r="A434" i="52" s="1"/>
  <c r="A435" i="52" s="1"/>
  <c r="A436" i="52" s="1"/>
  <c r="A437" i="52" s="1"/>
  <c r="A438" i="52" s="1"/>
  <c r="A439" i="52" s="1"/>
  <c r="A440" i="52" s="1"/>
  <c r="A441" i="52" s="1"/>
  <c r="A442" i="52" s="1"/>
  <c r="A443" i="52" s="1"/>
  <c r="A444" i="52" s="1"/>
  <c r="A445" i="52" s="1"/>
  <c r="A446" i="52" s="1"/>
  <c r="A447" i="52" s="1"/>
  <c r="A448" i="52" s="1"/>
  <c r="A449" i="52" s="1"/>
  <c r="A450" i="52" s="1"/>
  <c r="A451" i="52" s="1"/>
  <c r="A452" i="52" s="1"/>
  <c r="A453" i="52" s="1"/>
  <c r="A454" i="52" s="1"/>
  <c r="A455" i="52" s="1"/>
  <c r="A456" i="52" s="1"/>
  <c r="A457" i="52" s="1"/>
  <c r="A458" i="52" s="1"/>
  <c r="A459" i="52" s="1"/>
  <c r="A460" i="52" s="1"/>
  <c r="A461" i="52" s="1"/>
  <c r="A462" i="52" s="1"/>
  <c r="A463" i="52" s="1"/>
  <c r="A464" i="52" s="1"/>
  <c r="A465" i="52" s="1"/>
  <c r="A466" i="52" s="1"/>
  <c r="A467" i="52" s="1"/>
  <c r="A468" i="52" s="1"/>
  <c r="A469" i="52" s="1"/>
  <c r="A470" i="52" s="1"/>
  <c r="A471" i="52" s="1"/>
  <c r="A472" i="52" s="1"/>
  <c r="A473" i="52" s="1"/>
  <c r="A474" i="52" s="1"/>
  <c r="A475" i="52" s="1"/>
  <c r="A476" i="52" s="1"/>
  <c r="A477" i="52" s="1"/>
  <c r="A478" i="52" s="1"/>
  <c r="A479" i="52" s="1"/>
  <c r="A480" i="52" s="1"/>
  <c r="A481" i="52" s="1"/>
  <c r="A482" i="52" s="1"/>
  <c r="A483" i="52" s="1"/>
  <c r="A484" i="52" s="1"/>
  <c r="A485" i="52" s="1"/>
  <c r="A486" i="52" s="1"/>
  <c r="N4" i="52"/>
  <c r="S4" i="52"/>
  <c r="N5" i="52"/>
  <c r="S5" i="52"/>
  <c r="N6" i="52"/>
  <c r="S6" i="52"/>
  <c r="N7" i="52"/>
  <c r="O7" i="52"/>
  <c r="S7" i="52"/>
  <c r="N8" i="52"/>
  <c r="O8" i="52"/>
  <c r="S8" i="52"/>
  <c r="N9" i="52"/>
  <c r="O9" i="52"/>
  <c r="S9" i="52"/>
  <c r="N10" i="52"/>
  <c r="S10" i="52"/>
  <c r="N11" i="52"/>
  <c r="S11" i="52"/>
  <c r="N12" i="52"/>
  <c r="S12" i="52"/>
  <c r="N13" i="52"/>
  <c r="S13" i="52"/>
  <c r="N14" i="52"/>
  <c r="S14" i="52"/>
  <c r="N15" i="52"/>
  <c r="O15" i="52"/>
  <c r="S15" i="52"/>
  <c r="N16" i="52"/>
  <c r="S16" i="52"/>
  <c r="N17" i="52"/>
  <c r="O17" i="52"/>
  <c r="S17" i="52"/>
  <c r="N18" i="52"/>
  <c r="S18" i="52"/>
  <c r="N19" i="52"/>
  <c r="S19" i="52"/>
  <c r="N20" i="52"/>
  <c r="S20" i="52"/>
  <c r="N21" i="52"/>
  <c r="S21" i="52"/>
  <c r="N22" i="52"/>
  <c r="S22" i="52"/>
  <c r="N23" i="52"/>
  <c r="S23" i="52"/>
  <c r="N24" i="52"/>
  <c r="O24" i="52"/>
  <c r="S24" i="52"/>
  <c r="N25" i="52"/>
  <c r="S25" i="52"/>
  <c r="N26" i="52"/>
  <c r="S26" i="52"/>
  <c r="N27" i="52"/>
  <c r="S27" i="52"/>
  <c r="N28" i="52"/>
  <c r="O28" i="52"/>
  <c r="S28" i="52"/>
  <c r="N29" i="52"/>
  <c r="O29" i="52"/>
  <c r="S29" i="52"/>
  <c r="N30" i="52"/>
  <c r="S30" i="52"/>
  <c r="N31" i="52"/>
  <c r="O31" i="52"/>
  <c r="S31" i="52"/>
  <c r="N32" i="52"/>
  <c r="S32" i="52"/>
  <c r="N33" i="52"/>
  <c r="O33" i="52"/>
  <c r="S33" i="52"/>
  <c r="N34" i="52"/>
  <c r="S34" i="52"/>
  <c r="N35" i="52"/>
  <c r="S35" i="52"/>
  <c r="N36" i="52"/>
  <c r="S36" i="52"/>
  <c r="N37" i="52"/>
  <c r="S37" i="52"/>
  <c r="N38" i="52"/>
  <c r="S38" i="52"/>
  <c r="N39" i="52"/>
  <c r="S39" i="52"/>
  <c r="N40" i="52"/>
  <c r="S40" i="52"/>
  <c r="N41" i="52"/>
  <c r="S41" i="52"/>
  <c r="N42" i="52"/>
  <c r="O42" i="52"/>
  <c r="S42" i="52"/>
  <c r="N43" i="52"/>
  <c r="S43" i="52"/>
  <c r="N44" i="52"/>
  <c r="S44" i="52"/>
  <c r="N45" i="52"/>
  <c r="O45" i="52"/>
  <c r="S45" i="52"/>
  <c r="N46" i="52"/>
  <c r="S46" i="52"/>
  <c r="N47" i="52"/>
  <c r="O47" i="52"/>
  <c r="S47" i="52"/>
  <c r="N48" i="52"/>
  <c r="S48" i="52"/>
  <c r="N49" i="52"/>
  <c r="S49" i="52"/>
  <c r="N50" i="52"/>
  <c r="S50" i="52"/>
  <c r="N51" i="52"/>
  <c r="S51" i="52"/>
  <c r="N52" i="52"/>
  <c r="S52" i="52"/>
  <c r="N53" i="52"/>
  <c r="S53" i="52"/>
  <c r="N54" i="52"/>
  <c r="S54" i="52"/>
  <c r="N55" i="52"/>
  <c r="S55" i="52"/>
  <c r="N56" i="52"/>
  <c r="S56" i="52"/>
  <c r="N57" i="52"/>
  <c r="S57" i="52"/>
  <c r="N58" i="52"/>
  <c r="S58" i="52"/>
  <c r="N59" i="52"/>
  <c r="S59" i="52"/>
  <c r="N60" i="52"/>
  <c r="S60" i="52"/>
  <c r="N61" i="52"/>
  <c r="O61" i="52"/>
  <c r="S61" i="52"/>
  <c r="N62" i="52"/>
  <c r="S62" i="52"/>
  <c r="N63" i="52"/>
  <c r="S63" i="52"/>
  <c r="N64" i="52"/>
  <c r="S64" i="52"/>
  <c r="N65" i="52"/>
  <c r="S65" i="52"/>
  <c r="N66" i="52"/>
  <c r="O66" i="52"/>
  <c r="S66" i="52"/>
  <c r="N67" i="52"/>
  <c r="S67" i="52"/>
  <c r="N68" i="52"/>
  <c r="S68" i="52"/>
  <c r="N69" i="52"/>
  <c r="S69" i="52"/>
  <c r="N70" i="52"/>
  <c r="O70" i="52"/>
  <c r="S70" i="52"/>
  <c r="N71" i="52"/>
  <c r="S71" i="52"/>
  <c r="N72" i="52"/>
  <c r="S72" i="52"/>
  <c r="N73" i="52"/>
  <c r="O73" i="52"/>
  <c r="S73" i="52"/>
  <c r="N74" i="52"/>
  <c r="O74" i="52"/>
  <c r="S74" i="52"/>
  <c r="N75" i="52"/>
  <c r="S75" i="52"/>
  <c r="N76" i="52"/>
  <c r="O76" i="52"/>
  <c r="S76" i="52"/>
  <c r="N77" i="52"/>
  <c r="O77" i="52"/>
  <c r="S77" i="52"/>
  <c r="N78" i="52"/>
  <c r="S78" i="52"/>
  <c r="N79" i="52"/>
  <c r="S79" i="52"/>
  <c r="N80" i="52"/>
  <c r="S80" i="52"/>
  <c r="N81" i="52"/>
  <c r="S81" i="52"/>
  <c r="N82" i="52"/>
  <c r="S82" i="52"/>
  <c r="N83" i="52"/>
  <c r="O83" i="52"/>
  <c r="S83" i="52"/>
  <c r="N84" i="52"/>
  <c r="S84" i="52"/>
  <c r="N85" i="52"/>
  <c r="O85" i="52"/>
  <c r="S85" i="52"/>
  <c r="N86" i="52"/>
  <c r="S86" i="52"/>
  <c r="N87" i="52"/>
  <c r="S87" i="52"/>
  <c r="N88" i="52"/>
  <c r="O88" i="52"/>
  <c r="S88" i="52"/>
  <c r="N89" i="52"/>
  <c r="S89" i="52"/>
  <c r="N90" i="52"/>
  <c r="O90" i="52"/>
  <c r="S90" i="52"/>
  <c r="N91" i="52"/>
  <c r="O91" i="52"/>
  <c r="S91" i="52"/>
  <c r="N92" i="52"/>
  <c r="O92" i="52"/>
  <c r="S92" i="52"/>
  <c r="N93" i="52"/>
  <c r="S93" i="52"/>
  <c r="N94" i="52"/>
  <c r="O94" i="52"/>
  <c r="S94" i="52"/>
  <c r="N95" i="52"/>
  <c r="O95" i="52"/>
  <c r="S95" i="52"/>
  <c r="N96" i="52"/>
  <c r="O96" i="52"/>
  <c r="S96" i="52"/>
  <c r="N97" i="52"/>
  <c r="O97" i="52"/>
  <c r="S97" i="52"/>
  <c r="N98" i="52"/>
  <c r="S98" i="52"/>
  <c r="N99" i="52"/>
  <c r="S99" i="52"/>
  <c r="N100" i="52"/>
  <c r="S100" i="52"/>
  <c r="N101" i="52"/>
  <c r="O101" i="52"/>
  <c r="S101" i="52"/>
  <c r="N102" i="52"/>
  <c r="S102" i="52"/>
  <c r="N103" i="52"/>
  <c r="S103" i="52"/>
  <c r="N104" i="52"/>
  <c r="S104" i="52"/>
  <c r="N105" i="52"/>
  <c r="O105" i="52"/>
  <c r="S105" i="52"/>
  <c r="N106" i="52"/>
  <c r="S106" i="52"/>
  <c r="N107" i="52"/>
  <c r="S107" i="52"/>
  <c r="N108" i="52"/>
  <c r="S108" i="52"/>
  <c r="N109" i="52"/>
  <c r="S109" i="52"/>
  <c r="N110" i="52"/>
  <c r="O110" i="52"/>
  <c r="S110" i="52"/>
  <c r="N111" i="52"/>
  <c r="S111" i="52"/>
  <c r="N112" i="52"/>
  <c r="O112" i="52"/>
  <c r="S112" i="52"/>
  <c r="N113" i="52"/>
  <c r="S113" i="52"/>
  <c r="N114" i="52"/>
  <c r="S114" i="52"/>
  <c r="N115" i="52"/>
  <c r="O115" i="52"/>
  <c r="S115" i="52"/>
  <c r="N116" i="52"/>
  <c r="O116" i="52"/>
  <c r="S116" i="52"/>
  <c r="N117" i="52"/>
  <c r="O117" i="52"/>
  <c r="S117" i="52"/>
  <c r="N118" i="52"/>
  <c r="S118" i="52"/>
  <c r="N119" i="52"/>
  <c r="O119" i="52"/>
  <c r="S119" i="52"/>
  <c r="N120" i="52"/>
  <c r="S120" i="52"/>
  <c r="N121" i="52"/>
  <c r="S121" i="52"/>
  <c r="N122" i="52"/>
  <c r="O122" i="52"/>
  <c r="S122" i="52"/>
  <c r="N123" i="52"/>
  <c r="O123" i="52"/>
  <c r="S123" i="52"/>
  <c r="N124" i="52"/>
  <c r="S124" i="52"/>
  <c r="N125" i="52"/>
  <c r="S125" i="52"/>
  <c r="N126" i="52"/>
  <c r="S126" i="52"/>
  <c r="N127" i="52"/>
  <c r="S127" i="52"/>
  <c r="N128" i="52"/>
  <c r="O128" i="52"/>
  <c r="S128" i="52"/>
  <c r="N129" i="52"/>
  <c r="S129" i="52"/>
  <c r="N130" i="52"/>
  <c r="O130" i="52"/>
  <c r="S130" i="52"/>
  <c r="N131" i="52"/>
  <c r="S131" i="52"/>
  <c r="N132" i="52"/>
  <c r="S132" i="52"/>
  <c r="N133" i="52"/>
  <c r="O133" i="52"/>
  <c r="S133" i="52"/>
  <c r="N134" i="52"/>
  <c r="O134" i="52"/>
  <c r="S134" i="52"/>
  <c r="N135" i="52"/>
  <c r="S135" i="52"/>
  <c r="N136" i="52"/>
  <c r="O136" i="52"/>
  <c r="S136" i="52"/>
  <c r="N137" i="52"/>
  <c r="S137" i="52"/>
  <c r="N138" i="52"/>
  <c r="S138" i="52"/>
  <c r="N139" i="52"/>
  <c r="S139" i="52"/>
  <c r="N140" i="52"/>
  <c r="S140" i="52"/>
  <c r="N141" i="52"/>
  <c r="S141" i="52"/>
  <c r="N142" i="52"/>
  <c r="O142" i="52"/>
  <c r="S142" i="52"/>
  <c r="N143" i="52"/>
  <c r="O143" i="52"/>
  <c r="S143" i="52"/>
  <c r="N144" i="52"/>
  <c r="O144" i="52"/>
  <c r="S144" i="52"/>
  <c r="N145" i="52"/>
  <c r="S145" i="52"/>
  <c r="N146" i="52"/>
  <c r="O146" i="52"/>
  <c r="S146" i="52"/>
  <c r="N147" i="52"/>
  <c r="O147" i="52"/>
  <c r="S147" i="52"/>
  <c r="N148" i="52"/>
  <c r="S148" i="52"/>
  <c r="N149" i="52"/>
  <c r="O149" i="52"/>
  <c r="S149" i="52"/>
  <c r="N150" i="52"/>
  <c r="S150" i="52"/>
  <c r="N151" i="52"/>
  <c r="S151" i="52"/>
  <c r="N152" i="52"/>
  <c r="S152" i="52"/>
  <c r="N153" i="52"/>
  <c r="O153" i="52"/>
  <c r="S153" i="52"/>
  <c r="N154" i="52"/>
  <c r="S154" i="52"/>
  <c r="N155" i="52"/>
  <c r="S155" i="52"/>
  <c r="N156" i="52"/>
  <c r="S156" i="52"/>
  <c r="N157" i="52"/>
  <c r="S157" i="52"/>
  <c r="N158" i="52"/>
  <c r="S158" i="52"/>
  <c r="N159" i="52"/>
  <c r="S159" i="52"/>
  <c r="N160" i="52"/>
  <c r="S160" i="52"/>
  <c r="N161" i="52"/>
  <c r="S161" i="52"/>
  <c r="N162" i="52"/>
  <c r="O162" i="52"/>
  <c r="S162" i="52"/>
  <c r="N163" i="52"/>
  <c r="O163" i="52"/>
  <c r="S163" i="52"/>
  <c r="N164" i="52"/>
  <c r="O164" i="52"/>
  <c r="S164" i="52"/>
  <c r="N165" i="52"/>
  <c r="O165" i="52"/>
  <c r="S165" i="52"/>
  <c r="N166" i="52"/>
  <c r="O166" i="52"/>
  <c r="S166" i="52"/>
  <c r="N167" i="52"/>
  <c r="O167" i="52"/>
  <c r="S167" i="52"/>
  <c r="N168" i="52"/>
  <c r="O168" i="52"/>
  <c r="S168" i="52"/>
  <c r="N169" i="52"/>
  <c r="O169" i="52"/>
  <c r="S169" i="52"/>
  <c r="N170" i="52"/>
  <c r="O170" i="52"/>
  <c r="S170" i="52"/>
  <c r="N171" i="52"/>
  <c r="S171" i="52"/>
  <c r="N172" i="52"/>
  <c r="S172" i="52"/>
  <c r="N173" i="52"/>
  <c r="O173" i="52"/>
  <c r="S173" i="52"/>
  <c r="N174" i="52"/>
  <c r="O174" i="52"/>
  <c r="S174" i="52"/>
  <c r="N175" i="52"/>
  <c r="S175" i="52"/>
  <c r="N176" i="52"/>
  <c r="O176" i="52"/>
  <c r="S176" i="52"/>
  <c r="N177" i="52"/>
  <c r="O177" i="52"/>
  <c r="S177" i="52"/>
  <c r="N178" i="52"/>
  <c r="S178" i="52"/>
  <c r="N179" i="52"/>
  <c r="O179" i="52"/>
  <c r="S179" i="52"/>
  <c r="N180" i="52"/>
  <c r="O180" i="52"/>
  <c r="S180" i="52"/>
  <c r="N181" i="52"/>
  <c r="O181" i="52"/>
  <c r="S181" i="52"/>
  <c r="N182" i="52"/>
  <c r="O182" i="52"/>
  <c r="S182" i="52"/>
  <c r="N183" i="52"/>
  <c r="O183" i="52"/>
  <c r="S183" i="52"/>
  <c r="N184" i="52"/>
  <c r="O184" i="52"/>
  <c r="S184" i="52"/>
  <c r="N185" i="52"/>
  <c r="O185" i="52"/>
  <c r="S185" i="52"/>
  <c r="N186" i="52"/>
  <c r="S186" i="52"/>
  <c r="N187" i="52"/>
  <c r="O187" i="52"/>
  <c r="S187" i="52"/>
  <c r="N188" i="52"/>
  <c r="O188" i="52"/>
  <c r="R188" i="52"/>
  <c r="N189" i="52"/>
  <c r="O189" i="52"/>
  <c r="S189" i="52"/>
  <c r="N190" i="52"/>
  <c r="O190" i="52"/>
  <c r="S190" i="52"/>
  <c r="N191" i="52"/>
  <c r="O191" i="52"/>
  <c r="S191" i="52"/>
  <c r="N192" i="52"/>
  <c r="O192" i="52"/>
  <c r="S192" i="52"/>
  <c r="N193" i="52"/>
  <c r="O193" i="52"/>
  <c r="S193" i="52"/>
  <c r="N194" i="52"/>
  <c r="O194" i="52"/>
  <c r="S194" i="52"/>
  <c r="N195" i="52"/>
  <c r="O195" i="52"/>
  <c r="S195" i="52"/>
  <c r="N196" i="52"/>
  <c r="O196" i="52"/>
  <c r="S196" i="52"/>
  <c r="N197" i="52"/>
  <c r="O197" i="52"/>
  <c r="S197" i="52"/>
  <c r="N198" i="52"/>
  <c r="O198" i="52"/>
  <c r="S198" i="52"/>
  <c r="N199" i="52"/>
  <c r="O199" i="52"/>
  <c r="S199" i="52"/>
  <c r="N200" i="52"/>
  <c r="O200" i="52"/>
  <c r="S200" i="52"/>
  <c r="N201" i="52"/>
  <c r="O201" i="52"/>
  <c r="S201" i="52"/>
  <c r="N202" i="52"/>
  <c r="O202" i="52"/>
  <c r="S202" i="52"/>
  <c r="N203" i="52"/>
  <c r="O203" i="52"/>
  <c r="S203" i="52"/>
  <c r="N204" i="52"/>
  <c r="O204" i="52"/>
  <c r="S204" i="52"/>
  <c r="N205" i="52"/>
  <c r="O205" i="52"/>
  <c r="S205" i="52"/>
  <c r="N206" i="52"/>
  <c r="O206" i="52"/>
  <c r="S206" i="52"/>
  <c r="N207" i="52"/>
  <c r="O207" i="52"/>
  <c r="S207" i="52"/>
  <c r="N208" i="52"/>
  <c r="O208" i="52"/>
  <c r="S208" i="52"/>
  <c r="N209" i="52"/>
  <c r="O209" i="52"/>
  <c r="R209" i="52"/>
  <c r="S209" i="52" s="1"/>
  <c r="N210" i="52"/>
  <c r="O210" i="52"/>
  <c r="S210" i="52"/>
  <c r="N211" i="52"/>
  <c r="O211" i="52"/>
  <c r="S211" i="52"/>
  <c r="N212" i="52"/>
  <c r="O212" i="52"/>
  <c r="S212" i="52"/>
  <c r="N213" i="52"/>
  <c r="S213" i="52"/>
  <c r="N214" i="52"/>
  <c r="O214" i="52"/>
  <c r="S214" i="52"/>
  <c r="N215" i="52"/>
  <c r="O215" i="52"/>
  <c r="S215" i="52"/>
  <c r="N216" i="52"/>
  <c r="O216" i="52"/>
  <c r="S216" i="52"/>
  <c r="N217" i="52"/>
  <c r="O217" i="52"/>
  <c r="S217" i="52"/>
  <c r="N218" i="52"/>
  <c r="O218" i="52"/>
  <c r="S218" i="52"/>
  <c r="N219" i="52"/>
  <c r="O219" i="52"/>
  <c r="S219" i="52"/>
  <c r="N220" i="52"/>
  <c r="O220" i="52"/>
  <c r="S220" i="52"/>
  <c r="N221" i="52"/>
  <c r="O221" i="52"/>
  <c r="S221" i="52"/>
  <c r="N222" i="52"/>
  <c r="O222" i="52"/>
  <c r="S222" i="52"/>
  <c r="N223" i="52"/>
  <c r="O223" i="52"/>
  <c r="S223" i="52"/>
  <c r="N224" i="52"/>
  <c r="O224" i="52"/>
  <c r="S224" i="52"/>
  <c r="N225" i="52"/>
  <c r="O225" i="52"/>
  <c r="S225" i="52"/>
  <c r="N226" i="52"/>
  <c r="O226" i="52"/>
  <c r="S226" i="52"/>
  <c r="N227" i="52"/>
  <c r="O227" i="52"/>
  <c r="S227" i="52"/>
  <c r="N228" i="52"/>
  <c r="O228" i="52"/>
  <c r="S228" i="52"/>
  <c r="N229" i="52"/>
  <c r="O229" i="52"/>
  <c r="S229" i="52"/>
  <c r="N230" i="52"/>
  <c r="O230" i="52"/>
  <c r="S230" i="52"/>
  <c r="N231" i="52"/>
  <c r="O231" i="52"/>
  <c r="S231" i="52"/>
  <c r="N232" i="52"/>
  <c r="O232" i="52"/>
  <c r="S232" i="52"/>
  <c r="N233" i="52"/>
  <c r="S233" i="52"/>
  <c r="N234" i="52"/>
  <c r="O234" i="52"/>
  <c r="S234" i="52"/>
  <c r="N235" i="52"/>
  <c r="O235" i="52"/>
  <c r="S235" i="52"/>
  <c r="N236" i="52"/>
  <c r="O236" i="52"/>
  <c r="S236" i="52"/>
  <c r="N237" i="52"/>
  <c r="O237" i="52"/>
  <c r="S237" i="52"/>
  <c r="N238" i="52"/>
  <c r="O238" i="52"/>
  <c r="S238" i="52"/>
  <c r="N239" i="52"/>
  <c r="O239" i="52"/>
  <c r="S239" i="52"/>
  <c r="N240" i="52"/>
  <c r="O240" i="52"/>
  <c r="S240" i="52"/>
  <c r="N241" i="52"/>
  <c r="O241" i="52"/>
  <c r="S241" i="52"/>
  <c r="N242" i="52"/>
  <c r="O242" i="52"/>
  <c r="S242" i="52"/>
  <c r="N243" i="52"/>
  <c r="O243" i="52"/>
  <c r="S243" i="52"/>
  <c r="N244" i="52"/>
  <c r="O244" i="52"/>
  <c r="S244" i="52"/>
  <c r="N245" i="52"/>
  <c r="O245" i="52"/>
  <c r="S245" i="52"/>
  <c r="N246" i="52"/>
  <c r="O246" i="52"/>
  <c r="S246" i="52"/>
  <c r="N247" i="52"/>
  <c r="O247" i="52"/>
  <c r="S247" i="52"/>
  <c r="N248" i="52"/>
  <c r="O248" i="52"/>
  <c r="S248" i="52"/>
  <c r="N249" i="52"/>
  <c r="O249" i="52"/>
  <c r="S249" i="52"/>
  <c r="N250" i="52"/>
  <c r="S250" i="52"/>
  <c r="N251" i="52"/>
  <c r="O251" i="52"/>
  <c r="S251" i="52"/>
  <c r="N252" i="52"/>
  <c r="O252" i="52"/>
  <c r="S252" i="52"/>
  <c r="N253" i="52"/>
  <c r="O253" i="52"/>
  <c r="S253" i="52"/>
  <c r="N254" i="52"/>
  <c r="O254" i="52"/>
  <c r="S254" i="52"/>
  <c r="N255" i="52"/>
  <c r="S255" i="52"/>
  <c r="N256" i="52"/>
  <c r="O256" i="52"/>
  <c r="S256" i="52"/>
  <c r="N257" i="52"/>
  <c r="O257" i="52"/>
  <c r="S257" i="52"/>
  <c r="N258" i="52"/>
  <c r="O258" i="52"/>
  <c r="S258" i="52"/>
  <c r="N259" i="52"/>
  <c r="O259" i="52"/>
  <c r="S259" i="52"/>
  <c r="N260" i="52"/>
  <c r="O260" i="52"/>
  <c r="S260" i="52"/>
  <c r="N261" i="52"/>
  <c r="O261" i="52"/>
  <c r="S261" i="52"/>
  <c r="N262" i="52"/>
  <c r="O262" i="52"/>
  <c r="S262" i="52"/>
  <c r="N263" i="52"/>
  <c r="O263" i="52"/>
  <c r="S263" i="52"/>
  <c r="N264" i="52"/>
  <c r="O264" i="52"/>
  <c r="S264" i="52"/>
  <c r="N265" i="52"/>
  <c r="O265" i="52"/>
  <c r="S265" i="52"/>
  <c r="N266" i="52"/>
  <c r="O266" i="52"/>
  <c r="S266" i="52"/>
  <c r="N267" i="52"/>
  <c r="O267" i="52"/>
  <c r="S267" i="52"/>
  <c r="N268" i="52"/>
  <c r="O268" i="52"/>
  <c r="S268" i="52"/>
  <c r="N269" i="52"/>
  <c r="O269" i="52"/>
  <c r="S269" i="52"/>
  <c r="N270" i="52"/>
  <c r="O270" i="52"/>
  <c r="S270" i="52"/>
  <c r="N271" i="52"/>
  <c r="O271" i="52"/>
  <c r="S271" i="52"/>
  <c r="N272" i="52"/>
  <c r="O272" i="52"/>
  <c r="S272" i="52"/>
  <c r="N273" i="52"/>
  <c r="O273" i="52"/>
  <c r="S273" i="52"/>
  <c r="N274" i="52"/>
  <c r="O274" i="52"/>
  <c r="S274" i="52"/>
  <c r="N275" i="52"/>
  <c r="O275" i="52"/>
  <c r="S275" i="52"/>
  <c r="N276" i="52"/>
  <c r="O276" i="52"/>
  <c r="S276" i="52"/>
  <c r="N277" i="52"/>
  <c r="O277" i="52"/>
  <c r="S277" i="52"/>
  <c r="N278" i="52"/>
  <c r="O278" i="52"/>
  <c r="S278" i="52"/>
  <c r="N279" i="52"/>
  <c r="O279" i="52"/>
  <c r="S279" i="52"/>
  <c r="N280" i="52"/>
  <c r="O280" i="52"/>
  <c r="S280" i="52"/>
  <c r="N281" i="52"/>
  <c r="O281" i="52"/>
  <c r="S281" i="52"/>
  <c r="N282" i="52"/>
  <c r="O282" i="52"/>
  <c r="S282" i="52"/>
  <c r="N283" i="52"/>
  <c r="O283" i="52"/>
  <c r="S283" i="52"/>
  <c r="N284" i="52"/>
  <c r="O284" i="52"/>
  <c r="S284" i="52"/>
  <c r="N285" i="52"/>
  <c r="S285" i="52"/>
  <c r="N286" i="52"/>
  <c r="S286" i="52"/>
  <c r="N287" i="52"/>
  <c r="O287" i="52"/>
  <c r="S287" i="52"/>
  <c r="N288" i="52"/>
  <c r="O288" i="52"/>
  <c r="S288" i="52"/>
  <c r="N289" i="52"/>
  <c r="O289" i="52"/>
  <c r="S289" i="52"/>
  <c r="N290" i="52"/>
  <c r="O290" i="52"/>
  <c r="S290" i="52"/>
  <c r="N291" i="52"/>
  <c r="O291" i="52"/>
  <c r="S291" i="52"/>
  <c r="N292" i="52"/>
  <c r="O292" i="52"/>
  <c r="S292" i="52"/>
  <c r="N293" i="52"/>
  <c r="O293" i="52"/>
  <c r="S293" i="52"/>
  <c r="N294" i="52"/>
  <c r="S294" i="52"/>
  <c r="N295" i="52"/>
  <c r="O295" i="52"/>
  <c r="S295" i="52"/>
  <c r="N296" i="52"/>
  <c r="O296" i="52"/>
  <c r="S296" i="52"/>
  <c r="N297" i="52"/>
  <c r="O297" i="52"/>
  <c r="S297" i="52"/>
  <c r="N298" i="52"/>
  <c r="O298" i="52"/>
  <c r="S298" i="52"/>
  <c r="N299" i="52"/>
  <c r="O299" i="52"/>
  <c r="S299" i="52"/>
  <c r="N300" i="52"/>
  <c r="O300" i="52"/>
  <c r="S300" i="52"/>
  <c r="N301" i="52"/>
  <c r="O301" i="52"/>
  <c r="S301" i="52"/>
  <c r="N302" i="52"/>
  <c r="O302" i="52"/>
  <c r="S302" i="52"/>
  <c r="N303" i="52"/>
  <c r="O303" i="52"/>
  <c r="S303" i="52"/>
  <c r="N304" i="52"/>
  <c r="O304" i="52"/>
  <c r="S304" i="52"/>
  <c r="N305" i="52"/>
  <c r="O305" i="52"/>
  <c r="S305" i="52"/>
  <c r="N306" i="52"/>
  <c r="O306" i="52"/>
  <c r="S306" i="52"/>
  <c r="N307" i="52"/>
  <c r="O307" i="52"/>
  <c r="S307" i="52"/>
  <c r="N308" i="52"/>
  <c r="O308" i="52"/>
  <c r="S308" i="52"/>
  <c r="N309" i="52"/>
  <c r="O309" i="52"/>
  <c r="S309" i="52"/>
  <c r="N310" i="52"/>
  <c r="O310" i="52"/>
  <c r="S310" i="52"/>
  <c r="N311" i="52"/>
  <c r="O311" i="52"/>
  <c r="S311" i="52"/>
  <c r="N312" i="52"/>
  <c r="O312" i="52"/>
  <c r="S312" i="52"/>
  <c r="N313" i="52"/>
  <c r="O313" i="52"/>
  <c r="S313" i="52"/>
  <c r="N314" i="52"/>
  <c r="O314" i="52"/>
  <c r="S314" i="52"/>
  <c r="N315" i="52"/>
  <c r="O315" i="52"/>
  <c r="S315" i="52"/>
  <c r="N316" i="52"/>
  <c r="O316" i="52"/>
  <c r="S316" i="52"/>
  <c r="N317" i="52"/>
  <c r="O317" i="52"/>
  <c r="S317" i="52"/>
  <c r="N318" i="52"/>
  <c r="O318" i="52"/>
  <c r="S318" i="52"/>
  <c r="N319" i="52"/>
  <c r="O319" i="52"/>
  <c r="S319" i="52"/>
  <c r="N320" i="52"/>
  <c r="O320" i="52"/>
  <c r="S320" i="52"/>
  <c r="N321" i="52"/>
  <c r="O321" i="52"/>
  <c r="S321" i="52"/>
  <c r="N322" i="52"/>
  <c r="O322" i="52"/>
  <c r="S322" i="52"/>
  <c r="N323" i="52"/>
  <c r="O323" i="52"/>
  <c r="S323" i="52"/>
  <c r="N324" i="52"/>
  <c r="O324" i="52"/>
  <c r="S324" i="52"/>
  <c r="N325" i="52"/>
  <c r="O325" i="52"/>
  <c r="S325" i="52"/>
  <c r="N326" i="52"/>
  <c r="O326" i="52"/>
  <c r="S326" i="52"/>
  <c r="N327" i="52"/>
  <c r="O327" i="52"/>
  <c r="S327" i="52"/>
  <c r="N328" i="52"/>
  <c r="O328" i="52"/>
  <c r="S328" i="52"/>
  <c r="N329" i="52"/>
  <c r="O329" i="52"/>
  <c r="S329" i="52"/>
  <c r="N330" i="52"/>
  <c r="O330" i="52"/>
  <c r="S330" i="52"/>
  <c r="N331" i="52"/>
  <c r="O331" i="52"/>
  <c r="S331" i="52"/>
  <c r="N332" i="52"/>
  <c r="O332" i="52"/>
  <c r="S332" i="52"/>
  <c r="N333" i="52"/>
  <c r="O333" i="52"/>
  <c r="S333" i="52"/>
  <c r="N334" i="52"/>
  <c r="O334" i="52"/>
  <c r="S334" i="52"/>
  <c r="N335" i="52"/>
  <c r="O335" i="52"/>
  <c r="S335" i="52"/>
  <c r="N336" i="52"/>
  <c r="O336" i="52"/>
  <c r="S336" i="52"/>
  <c r="N337" i="52"/>
  <c r="O337" i="52"/>
  <c r="S337" i="52"/>
  <c r="N338" i="52"/>
  <c r="O338" i="52"/>
  <c r="S338" i="52"/>
  <c r="N339" i="52"/>
  <c r="O339" i="52"/>
  <c r="R339" i="52"/>
  <c r="S339" i="52" s="1"/>
  <c r="N340" i="52"/>
  <c r="O340" i="52"/>
  <c r="S340" i="52"/>
  <c r="N341" i="52"/>
  <c r="O341" i="52"/>
  <c r="S341" i="52"/>
  <c r="N342" i="52"/>
  <c r="S342" i="52"/>
  <c r="N343" i="52"/>
  <c r="O343" i="52"/>
  <c r="S343" i="52"/>
  <c r="N344" i="52"/>
  <c r="O344" i="52"/>
  <c r="S344" i="52"/>
  <c r="N345" i="52"/>
  <c r="S345" i="52"/>
  <c r="N346" i="52"/>
  <c r="O346" i="52"/>
  <c r="S346" i="52"/>
  <c r="N347" i="52"/>
  <c r="O347" i="52"/>
  <c r="S347" i="52"/>
  <c r="N348" i="52"/>
  <c r="O348" i="52"/>
  <c r="S348" i="52"/>
  <c r="N349" i="52"/>
  <c r="O349" i="52"/>
  <c r="S349" i="52"/>
  <c r="N350" i="52"/>
  <c r="O350" i="52"/>
  <c r="S350" i="52"/>
  <c r="N351" i="52"/>
  <c r="O351" i="52"/>
  <c r="S351" i="52"/>
  <c r="N352" i="52"/>
  <c r="O352" i="52"/>
  <c r="S352" i="52"/>
  <c r="M353" i="52"/>
  <c r="Q353" i="52"/>
  <c r="S353" i="52"/>
  <c r="M354" i="52"/>
  <c r="Q354" i="52"/>
  <c r="S354" i="52"/>
  <c r="M355" i="52"/>
  <c r="Q355" i="52"/>
  <c r="S355" i="52"/>
  <c r="M356" i="52"/>
  <c r="Q356" i="52"/>
  <c r="S356" i="52"/>
  <c r="M357" i="52"/>
  <c r="Q357" i="52"/>
  <c r="S357" i="52"/>
  <c r="M358" i="52"/>
  <c r="Q358" i="52"/>
  <c r="S358" i="52"/>
  <c r="M359" i="52"/>
  <c r="Q359" i="52"/>
  <c r="S359" i="52"/>
  <c r="M360" i="52"/>
  <c r="Q360" i="52"/>
  <c r="S360" i="52"/>
  <c r="M361" i="52"/>
  <c r="Q361" i="52"/>
  <c r="S361" i="52"/>
  <c r="M362" i="52"/>
  <c r="Q362" i="52"/>
  <c r="S362" i="52"/>
  <c r="M363" i="52"/>
  <c r="Q363" i="52"/>
  <c r="S363" i="52"/>
  <c r="M364" i="52"/>
  <c r="Q364" i="52"/>
  <c r="S364" i="52"/>
  <c r="M365" i="52"/>
  <c r="Q365" i="52"/>
  <c r="S365" i="52"/>
  <c r="M366" i="52"/>
  <c r="Q366" i="52"/>
  <c r="S366" i="52"/>
  <c r="M367" i="52"/>
  <c r="Q367" i="52"/>
  <c r="S367" i="52"/>
  <c r="M368" i="52"/>
  <c r="Q368" i="52"/>
  <c r="S368" i="52"/>
  <c r="M369" i="52"/>
  <c r="Q369" i="52"/>
  <c r="S369" i="52"/>
  <c r="M370" i="52"/>
  <c r="Q370" i="52"/>
  <c r="S370" i="52"/>
  <c r="M371" i="52"/>
  <c r="Q371" i="52"/>
  <c r="S371" i="52"/>
  <c r="P372" i="52"/>
  <c r="S372" i="52"/>
  <c r="M373" i="52"/>
  <c r="Q373" i="52"/>
  <c r="S373" i="52"/>
  <c r="M374" i="52"/>
  <c r="Q374" i="52"/>
  <c r="S374" i="52"/>
  <c r="M375" i="52"/>
  <c r="Q375" i="52"/>
  <c r="S375" i="52"/>
  <c r="M376" i="52"/>
  <c r="Q376" i="52"/>
  <c r="S376" i="52"/>
  <c r="M377" i="52"/>
  <c r="Q377" i="52"/>
  <c r="S377" i="52"/>
  <c r="M378" i="52"/>
  <c r="Q378" i="52"/>
  <c r="S378" i="52"/>
  <c r="M379" i="52"/>
  <c r="Q379" i="52"/>
  <c r="S379" i="52"/>
  <c r="M380" i="52"/>
  <c r="Q380" i="52"/>
  <c r="S380" i="52"/>
  <c r="M381" i="52"/>
  <c r="S381" i="52"/>
  <c r="M382" i="52"/>
  <c r="S382" i="52"/>
  <c r="M383" i="52"/>
  <c r="S383" i="52"/>
  <c r="M384" i="52"/>
  <c r="S384" i="52"/>
  <c r="M385" i="52"/>
  <c r="S385" i="52"/>
  <c r="M386" i="52"/>
  <c r="S386" i="52"/>
  <c r="M387" i="52"/>
  <c r="Q387" i="52"/>
  <c r="S387" i="52"/>
  <c r="M388" i="52"/>
  <c r="Q388" i="52"/>
  <c r="S388" i="52"/>
  <c r="M389" i="52"/>
  <c r="Q389" i="52"/>
  <c r="S389" i="52"/>
  <c r="M390" i="52"/>
  <c r="Q390" i="52"/>
  <c r="S390" i="52"/>
  <c r="M391" i="52"/>
  <c r="Q391" i="52"/>
  <c r="S391" i="52"/>
  <c r="M392" i="52"/>
  <c r="Q392" i="52"/>
  <c r="S392" i="52"/>
  <c r="M393" i="52"/>
  <c r="Q393" i="52"/>
  <c r="S393" i="52"/>
  <c r="P394" i="52"/>
  <c r="S394" i="52"/>
  <c r="P395" i="52"/>
  <c r="S395" i="52"/>
  <c r="M396" i="52"/>
  <c r="Q396" i="52"/>
  <c r="S396" i="52"/>
  <c r="M397" i="52"/>
  <c r="Q397" i="52"/>
  <c r="S397" i="52"/>
  <c r="M398" i="52"/>
  <c r="Q398" i="52"/>
  <c r="S398" i="52"/>
  <c r="M399" i="52"/>
  <c r="S399" i="52"/>
  <c r="M400" i="52"/>
  <c r="S400" i="52"/>
  <c r="M401" i="52"/>
  <c r="Q401" i="52"/>
  <c r="S401" i="52"/>
  <c r="M402" i="52"/>
  <c r="Q402" i="52"/>
  <c r="S402" i="52"/>
  <c r="M403" i="52"/>
  <c r="S403" i="52"/>
  <c r="P404" i="52"/>
  <c r="S404" i="52"/>
  <c r="P405" i="52"/>
  <c r="M405" i="52" s="1"/>
  <c r="S405" i="52"/>
  <c r="M406" i="52"/>
  <c r="Q406" i="52"/>
  <c r="S406" i="52"/>
  <c r="M407" i="52"/>
  <c r="Q407" i="52"/>
  <c r="S407" i="52"/>
  <c r="M408" i="52"/>
  <c r="Q408" i="52"/>
  <c r="S408" i="52"/>
  <c r="M409" i="52"/>
  <c r="S409" i="52"/>
  <c r="M410" i="52"/>
  <c r="S410" i="52"/>
  <c r="M411" i="52"/>
  <c r="S411" i="52"/>
  <c r="M412" i="52"/>
  <c r="Q412" i="52"/>
  <c r="S412" i="52"/>
  <c r="M413" i="52"/>
  <c r="Q413" i="52"/>
  <c r="S413" i="52"/>
  <c r="M414" i="52"/>
  <c r="Q414" i="52"/>
  <c r="S414" i="52"/>
  <c r="M415" i="52"/>
  <c r="S415" i="52"/>
  <c r="M416" i="52"/>
  <c r="S416" i="52"/>
  <c r="M417" i="52"/>
  <c r="S417" i="52"/>
  <c r="M418" i="52"/>
  <c r="S418" i="52"/>
  <c r="M419" i="52"/>
  <c r="Q419" i="52"/>
  <c r="S419" i="52"/>
  <c r="M420" i="52"/>
  <c r="Q420" i="52"/>
  <c r="S420" i="52"/>
  <c r="M421" i="52"/>
  <c r="Q421" i="52"/>
  <c r="S421" i="52"/>
  <c r="M422" i="52"/>
  <c r="Q422" i="52"/>
  <c r="S422" i="52"/>
  <c r="M423" i="52"/>
  <c r="Q423" i="52"/>
  <c r="S423" i="52"/>
  <c r="M424" i="52"/>
  <c r="Q424" i="52"/>
  <c r="S424" i="52"/>
  <c r="M425" i="52"/>
  <c r="Q425" i="52"/>
  <c r="S425" i="52"/>
  <c r="M426" i="52"/>
  <c r="Q426" i="52"/>
  <c r="S426" i="52"/>
  <c r="P427" i="52"/>
  <c r="S427" i="52"/>
  <c r="M428" i="52"/>
  <c r="Q428" i="52"/>
  <c r="S428" i="52"/>
  <c r="M429" i="52"/>
  <c r="Q429" i="52"/>
  <c r="S429" i="52"/>
  <c r="M430" i="52"/>
  <c r="Q430" i="52"/>
  <c r="S430" i="52"/>
  <c r="M431" i="52"/>
  <c r="Q431" i="52"/>
  <c r="S431" i="52"/>
  <c r="M432" i="52"/>
  <c r="Q432" i="52"/>
  <c r="S432" i="52"/>
  <c r="M433" i="52"/>
  <c r="Q433" i="52"/>
  <c r="S433" i="52"/>
  <c r="M434" i="52"/>
  <c r="Q434" i="52"/>
  <c r="S434" i="52"/>
  <c r="M435" i="52"/>
  <c r="Q435" i="52"/>
  <c r="S435" i="52"/>
  <c r="M436" i="52"/>
  <c r="S436" i="52"/>
  <c r="M437" i="52"/>
  <c r="Q437" i="52"/>
  <c r="S437" i="52"/>
  <c r="M438" i="52"/>
  <c r="S438" i="52"/>
  <c r="M439" i="52"/>
  <c r="S439" i="52"/>
  <c r="M440" i="52"/>
  <c r="S440" i="52"/>
  <c r="M441" i="52"/>
  <c r="S441" i="52"/>
  <c r="M442" i="52"/>
  <c r="S442" i="52"/>
  <c r="M443" i="52"/>
  <c r="S443" i="52"/>
  <c r="M444" i="52"/>
  <c r="S444" i="52"/>
  <c r="M445" i="52"/>
  <c r="S445" i="52"/>
  <c r="M446" i="52"/>
  <c r="Q446" i="52"/>
  <c r="S446" i="52"/>
  <c r="M447" i="52"/>
  <c r="S447" i="52"/>
  <c r="P448" i="52"/>
  <c r="M448" i="52" s="1"/>
  <c r="S448" i="52"/>
  <c r="M449" i="52"/>
  <c r="S449" i="52"/>
  <c r="M450" i="52"/>
  <c r="S450" i="52"/>
  <c r="M451" i="52"/>
  <c r="Q451" i="52"/>
  <c r="S451" i="52"/>
  <c r="M452" i="52"/>
  <c r="Q452" i="52"/>
  <c r="S452" i="52"/>
  <c r="P453" i="52"/>
  <c r="S453" i="52"/>
  <c r="P454" i="52"/>
  <c r="S454" i="52"/>
  <c r="M455" i="52"/>
  <c r="Q455" i="52"/>
  <c r="S455" i="52"/>
  <c r="P456" i="52"/>
  <c r="S456" i="52"/>
  <c r="P457" i="52"/>
  <c r="S457" i="52"/>
  <c r="P458" i="52"/>
  <c r="S458" i="52"/>
  <c r="M459" i="52"/>
  <c r="Q459" i="52"/>
  <c r="S459" i="52"/>
  <c r="M460" i="52"/>
  <c r="Q460" i="52"/>
  <c r="S460" i="52"/>
  <c r="M461" i="52"/>
  <c r="Q461" i="52"/>
  <c r="S461" i="52"/>
  <c r="P462" i="52"/>
  <c r="S462" i="52"/>
  <c r="M463" i="52"/>
  <c r="Q463" i="52"/>
  <c r="S463" i="52"/>
  <c r="M464" i="52"/>
  <c r="Q464" i="52"/>
  <c r="S464" i="52"/>
  <c r="M465" i="52"/>
  <c r="Q465" i="52"/>
  <c r="S465" i="52"/>
  <c r="M466" i="52"/>
  <c r="S466" i="52"/>
  <c r="M467" i="52"/>
  <c r="Q467" i="52"/>
  <c r="S467" i="52"/>
  <c r="M468" i="52"/>
  <c r="Q468" i="52"/>
  <c r="S468" i="52"/>
  <c r="M469" i="52"/>
  <c r="Q469" i="52"/>
  <c r="S469" i="52"/>
  <c r="P470" i="52"/>
  <c r="S470" i="52"/>
  <c r="M471" i="52"/>
  <c r="S471" i="52"/>
  <c r="M472" i="52"/>
  <c r="S472" i="52"/>
  <c r="M473" i="52"/>
  <c r="Q473" i="52"/>
  <c r="S473" i="52"/>
  <c r="P474" i="52"/>
  <c r="M474" i="52" s="1"/>
  <c r="S474" i="52"/>
  <c r="P475" i="52"/>
  <c r="M475" i="52" s="1"/>
  <c r="S475" i="52"/>
  <c r="M476" i="52"/>
  <c r="Q476" i="52"/>
  <c r="S476" i="52"/>
  <c r="M477" i="52"/>
  <c r="Q477" i="52"/>
  <c r="S477" i="52"/>
  <c r="P478" i="52"/>
  <c r="M478" i="52" s="1"/>
  <c r="S478" i="52"/>
  <c r="P479" i="52"/>
  <c r="M479" i="52" s="1"/>
  <c r="S479" i="52"/>
  <c r="P480" i="52"/>
  <c r="S480" i="52"/>
  <c r="M481" i="52"/>
  <c r="S481" i="52"/>
  <c r="P482" i="52"/>
  <c r="S482" i="52"/>
  <c r="P483" i="52"/>
  <c r="M483" i="52" s="1"/>
  <c r="S483" i="52"/>
  <c r="P484" i="52"/>
  <c r="M484" i="52" s="1"/>
  <c r="S484" i="52"/>
  <c r="P485" i="52"/>
  <c r="M485" i="52" s="1"/>
  <c r="S485" i="52"/>
  <c r="P486" i="52"/>
  <c r="S486" i="52"/>
  <c r="I487" i="52"/>
  <c r="U503" i="52"/>
  <c r="R504" i="52"/>
  <c r="S504" i="52"/>
  <c r="U504" i="52"/>
  <c r="R505" i="52"/>
  <c r="U505" i="52"/>
  <c r="R506" i="52"/>
  <c r="U506" i="52"/>
  <c r="Q511" i="52"/>
  <c r="M345" i="52" l="1"/>
  <c r="M342" i="52"/>
  <c r="M285" i="52"/>
  <c r="M213" i="52"/>
  <c r="M186" i="52"/>
  <c r="M160" i="52"/>
  <c r="M158" i="52"/>
  <c r="M156" i="52"/>
  <c r="M154" i="52"/>
  <c r="M131" i="52"/>
  <c r="M126" i="52"/>
  <c r="M124" i="52"/>
  <c r="M121" i="52"/>
  <c r="M113" i="52"/>
  <c r="M108" i="52"/>
  <c r="M106" i="52"/>
  <c r="M99" i="52"/>
  <c r="M93" i="52"/>
  <c r="M87" i="52"/>
  <c r="M82" i="52"/>
  <c r="M80" i="52"/>
  <c r="M78" i="52"/>
  <c r="M75" i="52"/>
  <c r="M72" i="52"/>
  <c r="M65" i="52"/>
  <c r="M63" i="52"/>
  <c r="M46" i="52"/>
  <c r="M41" i="52"/>
  <c r="M39" i="52"/>
  <c r="M37" i="52"/>
  <c r="M35" i="52"/>
  <c r="M30" i="52"/>
  <c r="M27" i="52"/>
  <c r="M25" i="52"/>
  <c r="M16" i="52"/>
  <c r="M6" i="52"/>
  <c r="M4" i="52"/>
  <c r="M470" i="52"/>
  <c r="M453" i="52"/>
  <c r="M404" i="52"/>
  <c r="M486" i="52"/>
  <c r="M482" i="52"/>
  <c r="M480" i="52"/>
  <c r="M458" i="52"/>
  <c r="M456" i="52"/>
  <c r="M394" i="52"/>
  <c r="M292" i="52"/>
  <c r="M288" i="52"/>
  <c r="M266" i="52"/>
  <c r="M262" i="52"/>
  <c r="M258" i="52"/>
  <c r="M255" i="52"/>
  <c r="M248" i="52"/>
  <c r="M244" i="52"/>
  <c r="M233" i="52"/>
  <c r="M210" i="52"/>
  <c r="M194" i="52"/>
  <c r="S188" i="52"/>
  <c r="M173" i="52"/>
  <c r="M171" i="52"/>
  <c r="M152" i="52"/>
  <c r="M150" i="52"/>
  <c r="M141" i="52"/>
  <c r="M139" i="52"/>
  <c r="M137" i="52"/>
  <c r="M129" i="52"/>
  <c r="M111" i="52"/>
  <c r="M104" i="52"/>
  <c r="M102" i="52"/>
  <c r="M68" i="52"/>
  <c r="M59" i="52"/>
  <c r="M57" i="52"/>
  <c r="M55" i="52"/>
  <c r="M53" i="52"/>
  <c r="M51" i="52"/>
  <c r="M49" i="52"/>
  <c r="M44" i="52"/>
  <c r="M23" i="52"/>
  <c r="M21" i="52"/>
  <c r="M19" i="52"/>
  <c r="M14" i="52"/>
  <c r="M12" i="52"/>
  <c r="M10" i="52"/>
  <c r="M462" i="52"/>
  <c r="M454" i="52"/>
  <c r="M286" i="52"/>
  <c r="M161" i="52"/>
  <c r="M159" i="52"/>
  <c r="M157" i="52"/>
  <c r="M155" i="52"/>
  <c r="M148" i="52"/>
  <c r="M145" i="52"/>
  <c r="M135" i="52"/>
  <c r="M132" i="52"/>
  <c r="M127" i="52"/>
  <c r="M125" i="52"/>
  <c r="M120" i="52"/>
  <c r="M114" i="52"/>
  <c r="M109" i="52"/>
  <c r="M107" i="52"/>
  <c r="M100" i="52"/>
  <c r="M98" i="52"/>
  <c r="M86" i="52"/>
  <c r="M81" i="52"/>
  <c r="M79" i="52"/>
  <c r="M71" i="52"/>
  <c r="M64" i="52"/>
  <c r="M62" i="52"/>
  <c r="M40" i="52"/>
  <c r="M38" i="52"/>
  <c r="M36" i="52"/>
  <c r="M34" i="52"/>
  <c r="M26" i="52"/>
  <c r="M5" i="52"/>
  <c r="M427" i="52"/>
  <c r="T504" i="52"/>
  <c r="M457" i="52"/>
  <c r="M395" i="52"/>
  <c r="M294" i="52"/>
  <c r="M250" i="52"/>
  <c r="M178" i="52"/>
  <c r="M175" i="52"/>
  <c r="M172" i="52"/>
  <c r="M151" i="52"/>
  <c r="M140" i="52"/>
  <c r="M138" i="52"/>
  <c r="M118" i="52"/>
  <c r="M103" i="52"/>
  <c r="M89" i="52"/>
  <c r="M84" i="52"/>
  <c r="M69" i="52"/>
  <c r="M67" i="52"/>
  <c r="M60" i="52"/>
  <c r="M58" i="52"/>
  <c r="M56" i="52"/>
  <c r="M54" i="52"/>
  <c r="M52" i="52"/>
  <c r="M50" i="52"/>
  <c r="M48" i="52"/>
  <c r="M43" i="52"/>
  <c r="M32" i="52"/>
  <c r="M22" i="52"/>
  <c r="M20" i="52"/>
  <c r="M18" i="52"/>
  <c r="M13" i="52"/>
  <c r="M11" i="52"/>
  <c r="M3" i="52"/>
  <c r="S506" i="52"/>
  <c r="S505" i="52"/>
  <c r="R503" i="52"/>
  <c r="M332" i="52"/>
  <c r="M226" i="52"/>
  <c r="M222" i="52"/>
  <c r="M207" i="52"/>
  <c r="M339" i="52"/>
  <c r="M323" i="52"/>
  <c r="M346" i="52"/>
  <c r="M349" i="52"/>
  <c r="M338" i="52"/>
  <c r="M334" i="52"/>
  <c r="M322" i="52"/>
  <c r="M314" i="52"/>
  <c r="M281" i="52"/>
  <c r="M170" i="52"/>
  <c r="M95" i="52"/>
  <c r="M92" i="52"/>
  <c r="M110" i="52"/>
  <c r="M325" i="52"/>
  <c r="M313" i="52"/>
  <c r="M271" i="52"/>
  <c r="M203" i="52"/>
  <c r="M195" i="52"/>
  <c r="M117" i="52"/>
  <c r="M94" i="52"/>
  <c r="M91" i="52"/>
  <c r="M309" i="52"/>
  <c r="M305" i="52"/>
  <c r="M301" i="52"/>
  <c r="M297" i="52"/>
  <c r="M260" i="52"/>
  <c r="M253" i="52"/>
  <c r="M231" i="52"/>
  <c r="M227" i="52"/>
  <c r="M188" i="52"/>
  <c r="M130" i="52"/>
  <c r="M28" i="52"/>
  <c r="M270" i="52"/>
  <c r="M146" i="52"/>
  <c r="M115" i="52"/>
  <c r="M42" i="52"/>
  <c r="M337" i="52"/>
  <c r="M333" i="52"/>
  <c r="M326" i="52"/>
  <c r="M321" i="52"/>
  <c r="M317" i="52"/>
  <c r="M308" i="52"/>
  <c r="M296" i="52"/>
  <c r="M289" i="52"/>
  <c r="M282" i="52"/>
  <c r="M278" i="52"/>
  <c r="M274" i="52"/>
  <c r="M247" i="52"/>
  <c r="M235" i="52"/>
  <c r="M228" i="52"/>
  <c r="M223" i="52"/>
  <c r="M219" i="52"/>
  <c r="M215" i="52"/>
  <c r="M200" i="52"/>
  <c r="M196" i="52"/>
  <c r="M191" i="52"/>
  <c r="M180" i="52"/>
  <c r="M134" i="52"/>
  <c r="M96" i="52"/>
  <c r="M77" i="52"/>
  <c r="M45" i="52"/>
  <c r="M33" i="52"/>
  <c r="M8" i="52"/>
  <c r="M236" i="52"/>
  <c r="M9" i="52"/>
  <c r="M347" i="52"/>
  <c r="M340" i="52"/>
  <c r="M298" i="52"/>
  <c r="M206" i="52"/>
  <c r="M179" i="52"/>
  <c r="M166" i="52"/>
  <c r="M136" i="52"/>
  <c r="M242" i="52"/>
  <c r="M199" i="52"/>
  <c r="M162" i="52"/>
  <c r="M142" i="52"/>
  <c r="M128" i="52"/>
  <c r="M105" i="52"/>
  <c r="M265" i="52"/>
  <c r="M240" i="52"/>
  <c r="M190" i="52"/>
  <c r="M185" i="52"/>
  <c r="M167" i="52"/>
  <c r="M147" i="52"/>
  <c r="M133" i="52"/>
  <c r="M90" i="52"/>
  <c r="M47" i="52"/>
  <c r="M350" i="52"/>
  <c r="M329" i="52"/>
  <c r="M319" i="52"/>
  <c r="M83" i="52"/>
  <c r="M351" i="52"/>
  <c r="M341" i="52"/>
  <c r="M331" i="52"/>
  <c r="M330" i="52"/>
  <c r="M324" i="52"/>
  <c r="M303" i="52"/>
  <c r="M276" i="52"/>
  <c r="M241" i="52"/>
  <c r="M237" i="52"/>
  <c r="M205" i="52"/>
  <c r="M183" i="52"/>
  <c r="M97" i="52"/>
  <c r="R490" i="52"/>
  <c r="P487" i="52"/>
  <c r="Q487" i="52"/>
  <c r="M352" i="52"/>
  <c r="M344" i="52"/>
  <c r="M336" i="52"/>
  <c r="M328" i="52"/>
  <c r="M320" i="52"/>
  <c r="M315" i="52"/>
  <c r="M310" i="52"/>
  <c r="M304" i="52"/>
  <c r="M299" i="52"/>
  <c r="M283" i="52"/>
  <c r="M277" i="52"/>
  <c r="M267" i="52"/>
  <c r="M261" i="52"/>
  <c r="M252" i="52"/>
  <c r="M249" i="52"/>
  <c r="M243" i="52"/>
  <c r="M229" i="52"/>
  <c r="M224" i="52"/>
  <c r="M218" i="52"/>
  <c r="M208" i="52"/>
  <c r="M202" i="52"/>
  <c r="M197" i="52"/>
  <c r="M192" i="52"/>
  <c r="M176" i="52"/>
  <c r="O487" i="52"/>
  <c r="M168" i="52"/>
  <c r="R487" i="52"/>
  <c r="T505" i="52"/>
  <c r="M348" i="52"/>
  <c r="M316" i="52"/>
  <c r="M311" i="52"/>
  <c r="M306" i="52"/>
  <c r="M300" i="52"/>
  <c r="M291" i="52"/>
  <c r="M284" i="52"/>
  <c r="M279" i="52"/>
  <c r="M273" i="52"/>
  <c r="M268" i="52"/>
  <c r="M263" i="52"/>
  <c r="M257" i="52"/>
  <c r="M254" i="52"/>
  <c r="M245" i="52"/>
  <c r="M239" i="52"/>
  <c r="M234" i="52"/>
  <c r="M230" i="52"/>
  <c r="M220" i="52"/>
  <c r="M214" i="52"/>
  <c r="M211" i="52"/>
  <c r="M204" i="52"/>
  <c r="M198" i="52"/>
  <c r="M182" i="52"/>
  <c r="M177" i="52"/>
  <c r="M174" i="52"/>
  <c r="M164" i="52"/>
  <c r="M153" i="52"/>
  <c r="M144" i="52"/>
  <c r="M123" i="52"/>
  <c r="M119" i="52"/>
  <c r="M85" i="52"/>
  <c r="M74" i="52"/>
  <c r="M70" i="52"/>
  <c r="M61" i="52"/>
  <c r="M24" i="52"/>
  <c r="N487" i="52"/>
  <c r="M343" i="52"/>
  <c r="M335" i="52"/>
  <c r="M327" i="52"/>
  <c r="M318" i="52"/>
  <c r="M312" i="52"/>
  <c r="M307" i="52"/>
  <c r="M302" i="52"/>
  <c r="M293" i="52"/>
  <c r="M287" i="52"/>
  <c r="M275" i="52"/>
  <c r="M269" i="52"/>
  <c r="M259" i="52"/>
  <c r="M232" i="52"/>
  <c r="M221" i="52"/>
  <c r="M216" i="52"/>
  <c r="M189" i="52"/>
  <c r="M187" i="52"/>
  <c r="M184" i="52"/>
  <c r="M165" i="52"/>
  <c r="M149" i="52"/>
  <c r="M116" i="52"/>
  <c r="M112" i="52"/>
  <c r="M76" i="52"/>
  <c r="M66" i="52"/>
  <c r="M29" i="52"/>
  <c r="M15" i="52"/>
  <c r="M7" i="52"/>
  <c r="T506" i="52"/>
  <c r="T503" i="52"/>
  <c r="M143" i="52"/>
  <c r="M122" i="52"/>
  <c r="M101" i="52"/>
  <c r="M88" i="52"/>
  <c r="M73" i="52"/>
  <c r="M31" i="52"/>
  <c r="M17" i="52"/>
  <c r="U507" i="52"/>
  <c r="U490" i="52"/>
  <c r="S490" i="52"/>
  <c r="S503" i="52"/>
  <c r="S487" i="52"/>
  <c r="M372" i="52"/>
  <c r="M295" i="52"/>
  <c r="M290" i="52"/>
  <c r="M280" i="52"/>
  <c r="M272" i="52"/>
  <c r="M264" i="52"/>
  <c r="M256" i="52"/>
  <c r="M251" i="52"/>
  <c r="M246" i="52"/>
  <c r="M238" i="52"/>
  <c r="M225" i="52"/>
  <c r="M217" i="52"/>
  <c r="M212" i="52"/>
  <c r="M209" i="52"/>
  <c r="M201" i="52"/>
  <c r="M193" i="52"/>
  <c r="M169" i="52"/>
  <c r="M181" i="52"/>
  <c r="M163" i="52"/>
  <c r="R507" i="52" l="1"/>
  <c r="T490" i="52"/>
  <c r="T507" i="52"/>
  <c r="T622" i="52" s="1"/>
  <c r="M487" i="52"/>
  <c r="N488" i="52" s="1"/>
  <c r="S507" i="52"/>
  <c r="D23" i="46" l="1"/>
  <c r="E10" i="46"/>
  <c r="D10" i="46"/>
  <c r="E68" i="46" l="1"/>
  <c r="G80" i="46"/>
  <c r="B80" i="46"/>
  <c r="D57" i="46"/>
  <c r="E57" i="46"/>
  <c r="E44" i="46"/>
  <c r="D42" i="46"/>
  <c r="E41" i="46"/>
  <c r="I41" i="46" s="1"/>
  <c r="I42" i="46" s="1"/>
  <c r="A7" i="46"/>
  <c r="A6" i="46"/>
  <c r="I13" i="46"/>
  <c r="I12" i="46" s="1"/>
  <c r="H13" i="46"/>
  <c r="H12" i="46" s="1"/>
  <c r="G13" i="46"/>
  <c r="G12" i="46" s="1"/>
  <c r="F13" i="46"/>
  <c r="E45" i="46"/>
  <c r="E43" i="46"/>
  <c r="F43" i="46" s="1"/>
  <c r="G43" i="46" s="1"/>
  <c r="H43" i="46" s="1"/>
  <c r="I43" i="46" s="1"/>
  <c r="E13" i="46" l="1"/>
  <c r="E12" i="46" s="1"/>
  <c r="E76" i="46"/>
  <c r="F41" i="46"/>
  <c r="F42" i="46" s="1"/>
  <c r="G41" i="46"/>
  <c r="G42" i="46" s="1"/>
  <c r="E42" i="46"/>
  <c r="H41" i="46"/>
  <c r="H42" i="46" s="1"/>
  <c r="F35" i="46"/>
  <c r="F12" i="46"/>
  <c r="G35" i="46" l="1"/>
  <c r="H35" i="46" l="1"/>
  <c r="I35" i="46" l="1"/>
  <c r="E63" i="46" l="1"/>
  <c r="F63" i="46" s="1"/>
  <c r="G63" i="46" s="1"/>
  <c r="H63" i="46" s="1"/>
  <c r="I63" i="46" s="1"/>
  <c r="E64" i="46"/>
  <c r="F64" i="46" s="1"/>
  <c r="G64" i="46" s="1"/>
  <c r="H64" i="46" s="1"/>
  <c r="I64" i="46" s="1"/>
  <c r="G62" i="46" l="1"/>
  <c r="H62" i="46"/>
  <c r="I62" i="46"/>
  <c r="F62" i="46"/>
  <c r="E62" i="46" l="1"/>
  <c r="E23" i="46" l="1"/>
  <c r="F19" i="46" l="1"/>
  <c r="F17" i="46" s="1"/>
  <c r="G19" i="46"/>
  <c r="H19" i="46"/>
  <c r="I19" i="46"/>
  <c r="F27" i="46" l="1"/>
  <c r="G17" i="46"/>
  <c r="G27" i="46" s="1"/>
  <c r="H17" i="46"/>
  <c r="H27" i="46" s="1"/>
  <c r="I17" i="46"/>
  <c r="I27" i="46" s="1"/>
  <c r="E19" i="46"/>
  <c r="E17" i="46" s="1"/>
  <c r="E27" i="46" l="1"/>
  <c r="E25" i="46"/>
  <c r="E34" i="46" l="1"/>
  <c r="E28" i="46"/>
  <c r="E38" i="46"/>
  <c r="F184" i="58" l="1"/>
  <c r="F196" i="58"/>
  <c r="D196" i="58"/>
  <c r="D184" i="58" l="1"/>
  <c r="A5" i="28" l="1"/>
  <c r="K20" i="28"/>
  <c r="K21" i="28"/>
  <c r="K22" i="28"/>
  <c r="K23" i="28"/>
  <c r="K24" i="28"/>
  <c r="K25" i="28"/>
  <c r="K26" i="28"/>
  <c r="K27" i="28"/>
  <c r="K28" i="28"/>
  <c r="K29" i="28"/>
  <c r="K30" i="28"/>
  <c r="K31" i="28"/>
  <c r="K32" i="28"/>
  <c r="K33" i="28"/>
  <c r="K34" i="28"/>
  <c r="K35" i="28"/>
  <c r="K36" i="28"/>
  <c r="G41" i="28"/>
  <c r="J41" i="28"/>
  <c r="J42" i="28"/>
  <c r="I42" i="28"/>
  <c r="H42" i="28"/>
  <c r="G42" i="28"/>
  <c r="I41" i="28"/>
  <c r="H41" i="28"/>
  <c r="H39" i="28"/>
  <c r="I39" i="28"/>
  <c r="J39" i="28"/>
  <c r="L39" i="28"/>
  <c r="M39" i="28"/>
  <c r="N39" i="28"/>
  <c r="N43" i="28" s="1"/>
  <c r="N40" i="28" s="1"/>
  <c r="O39" i="28"/>
  <c r="O43" i="28" s="1"/>
  <c r="O40" i="28" s="1"/>
  <c r="L43" i="28"/>
  <c r="L40" i="28" s="1"/>
  <c r="M43" i="28"/>
  <c r="M40" i="28" s="1"/>
  <c r="G39" i="28"/>
  <c r="K14" i="28"/>
  <c r="K15" i="28"/>
  <c r="K16" i="28"/>
  <c r="K17" i="28"/>
  <c r="K18" i="28"/>
  <c r="K19" i="28"/>
  <c r="K37" i="28"/>
  <c r="K38" i="28"/>
  <c r="K13" i="28"/>
  <c r="L71" i="28"/>
  <c r="K39" i="28" l="1"/>
  <c r="K43" i="28" s="1"/>
  <c r="K40" i="28" s="1"/>
  <c r="J43" i="28"/>
  <c r="J40" i="28" s="1"/>
  <c r="G43" i="28"/>
  <c r="G40" i="28" s="1"/>
  <c r="I43" i="28"/>
  <c r="I40" i="28" s="1"/>
  <c r="H43" i="28"/>
  <c r="H40" i="28" s="1"/>
  <c r="K26" i="46" l="1"/>
  <c r="M26" i="46"/>
  <c r="J26" i="46"/>
  <c r="L26" i="46"/>
  <c r="A4" i="35"/>
  <c r="A3" i="35"/>
  <c r="F9" i="35"/>
  <c r="F10" i="35"/>
  <c r="F8" i="35"/>
  <c r="A8" i="35"/>
  <c r="A11" i="35" s="1"/>
  <c r="D13" i="46" l="1"/>
  <c r="D12" i="46" s="1"/>
  <c r="F119" i="35" l="1"/>
  <c r="F118" i="35"/>
  <c r="F117" i="35"/>
  <c r="F116" i="35"/>
  <c r="F115" i="35"/>
  <c r="F114" i="35"/>
  <c r="F113" i="35"/>
  <c r="F112" i="35"/>
  <c r="F111" i="35"/>
  <c r="F110" i="35"/>
  <c r="F109" i="35"/>
  <c r="F108" i="35"/>
  <c r="F107" i="35"/>
  <c r="F106" i="35"/>
  <c r="F105" i="35"/>
  <c r="F104" i="35"/>
  <c r="F103" i="35"/>
  <c r="F102" i="35"/>
  <c r="F101" i="35"/>
  <c r="F100" i="35"/>
  <c r="F99" i="35"/>
  <c r="F98" i="35"/>
  <c r="F97" i="35"/>
  <c r="F96" i="35"/>
  <c r="F95" i="35"/>
  <c r="F94" i="35"/>
  <c r="F93" i="35"/>
  <c r="F92" i="35"/>
  <c r="F91" i="35"/>
  <c r="F90" i="35"/>
  <c r="F89" i="35"/>
  <c r="F88" i="35"/>
  <c r="F87" i="35"/>
  <c r="F86" i="35"/>
  <c r="F85" i="35"/>
  <c r="F84" i="35"/>
  <c r="F83" i="35"/>
  <c r="F82" i="35"/>
  <c r="F81" i="35"/>
  <c r="F80" i="35"/>
  <c r="F79" i="35"/>
  <c r="F78" i="35"/>
  <c r="F77" i="35"/>
  <c r="F76" i="35"/>
  <c r="F75" i="35"/>
  <c r="F74" i="35"/>
  <c r="F73" i="35"/>
  <c r="F72" i="35"/>
  <c r="F71" i="35"/>
  <c r="F70" i="35"/>
  <c r="F69" i="35"/>
  <c r="F68" i="35"/>
  <c r="F67" i="35"/>
  <c r="F66" i="35"/>
  <c r="F65" i="35"/>
  <c r="F64" i="35"/>
  <c r="F63" i="35"/>
  <c r="F62" i="35"/>
  <c r="F61" i="35"/>
  <c r="F60" i="35"/>
  <c r="F59" i="35"/>
  <c r="F58" i="35"/>
  <c r="F57" i="35"/>
  <c r="F56" i="35"/>
  <c r="F55" i="35"/>
  <c r="F54" i="35"/>
  <c r="F53" i="35"/>
  <c r="F52" i="35"/>
  <c r="F51" i="35"/>
  <c r="F50" i="35"/>
  <c r="F49" i="35"/>
  <c r="F48" i="35"/>
  <c r="F47" i="35"/>
  <c r="F46" i="35"/>
  <c r="F45" i="35"/>
  <c r="F44" i="35"/>
  <c r="F43" i="35"/>
  <c r="F42" i="35"/>
  <c r="F41"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25" i="46" l="1"/>
  <c r="G25" i="46"/>
  <c r="H25" i="46"/>
  <c r="I25" i="46"/>
  <c r="G28" i="46" l="1"/>
  <c r="G34" i="46"/>
  <c r="G26" i="46"/>
  <c r="K27" i="46" s="1"/>
  <c r="I28" i="46"/>
  <c r="I34" i="46"/>
  <c r="I26" i="46"/>
  <c r="M27" i="46" s="1"/>
  <c r="H28" i="46"/>
  <c r="H34" i="46"/>
  <c r="H26" i="46"/>
  <c r="L27" i="46" s="1"/>
  <c r="F28" i="46"/>
  <c r="F34" i="46"/>
  <c r="F26" i="46"/>
  <c r="J27" i="46" s="1"/>
  <c r="G23" i="46" l="1"/>
  <c r="F23" i="46"/>
  <c r="H23" i="46"/>
  <c r="H30" i="46"/>
  <c r="I30" i="46"/>
  <c r="G30" i="46"/>
  <c r="F30" i="46"/>
  <c r="I23" i="46"/>
  <c r="E30" i="46" l="1"/>
  <c r="D173" i="58" l="1"/>
  <c r="E173" i="58"/>
  <c r="E172" i="58"/>
  <c r="E171" i="58" l="1"/>
  <c r="D172" i="58"/>
  <c r="F182" i="58" l="1"/>
  <c r="D182" i="58"/>
  <c r="F181" i="58" l="1"/>
  <c r="D181" i="58" l="1"/>
  <c r="D19" i="46" l="1"/>
  <c r="D17" i="46" s="1"/>
  <c r="D25" i="46" l="1"/>
  <c r="D27" i="46"/>
  <c r="D34" i="46" l="1"/>
  <c r="D28" i="46"/>
  <c r="D38" i="46"/>
  <c r="F189" i="58" l="1"/>
  <c r="D189" i="58"/>
  <c r="F190" i="58" l="1"/>
  <c r="D190" i="58"/>
  <c r="F188" i="58" l="1"/>
  <c r="F191" i="58" l="1"/>
  <c r="D188" i="58"/>
  <c r="D191" i="58" l="1"/>
  <c r="D193" i="58" l="1"/>
  <c r="F193" i="58"/>
  <c r="F194" i="58" l="1"/>
  <c r="D194" i="58"/>
  <c r="F192" i="58" l="1"/>
  <c r="D192" i="58" l="1"/>
  <c r="F195" i="58"/>
  <c r="D195" i="58" l="1"/>
  <c r="E175" i="58" l="1"/>
  <c r="E170" i="58" s="1"/>
  <c r="E169" i="58" s="1"/>
  <c r="E202" i="58" s="1"/>
  <c r="E210" i="58" s="1"/>
  <c r="E65" i="46"/>
  <c r="D175" i="58" l="1"/>
  <c r="E214" i="58"/>
  <c r="D214" i="58" l="1"/>
  <c r="E218" i="58"/>
  <c r="D218" i="58" l="1"/>
  <c r="F174" i="58" l="1"/>
  <c r="F171" i="58" s="1"/>
  <c r="F170" i="58" s="1"/>
  <c r="F169" i="58" s="1"/>
  <c r="D174" i="58" l="1"/>
  <c r="D171" i="58" s="1"/>
  <c r="D170" i="58" s="1"/>
  <c r="D169" i="58" s="1"/>
  <c r="D71" i="58" l="1"/>
  <c r="F206" i="58" l="1"/>
  <c r="D206" i="58" l="1"/>
  <c r="F207" i="58" l="1"/>
  <c r="D207" i="58"/>
  <c r="F208" i="58" l="1"/>
  <c r="D208" i="58"/>
  <c r="F200" i="58" l="1"/>
  <c r="D200" i="58"/>
  <c r="F201" i="58" l="1"/>
  <c r="F202" i="58" s="1"/>
  <c r="D201" i="58"/>
  <c r="D202" i="58" s="1"/>
  <c r="F205" i="58" l="1"/>
  <c r="F204" i="58"/>
  <c r="F210" i="58" s="1"/>
  <c r="F215" i="58" s="1"/>
  <c r="F209" i="58"/>
  <c r="F219" i="58" l="1"/>
  <c r="D215" i="58"/>
  <c r="F216" i="58"/>
  <c r="F220" i="58" s="1"/>
  <c r="D205" i="58"/>
  <c r="D209" i="58"/>
  <c r="D216" i="58" l="1"/>
  <c r="D220" i="58" s="1"/>
  <c r="D219" i="58"/>
  <c r="D204" i="58"/>
  <c r="D210" i="58" l="1"/>
  <c r="D211" i="58"/>
  <c r="D212" i="58" l="1"/>
</calcChain>
</file>

<file path=xl/comments1.xml><?xml version="1.0" encoding="utf-8"?>
<comments xmlns="http://schemas.openxmlformats.org/spreadsheetml/2006/main">
  <authors>
    <author>Автор</author>
  </authors>
  <commentList>
    <comment ref="B416" authorId="0" shapeId="0">
      <text>
        <r>
          <rPr>
            <b/>
            <sz val="9"/>
            <color indexed="81"/>
            <rFont val="Tahoma"/>
            <family val="2"/>
            <charset val="204"/>
          </rPr>
          <t>Автор:</t>
        </r>
        <r>
          <rPr>
            <sz val="9"/>
            <color indexed="81"/>
            <rFont val="Tahoma"/>
            <family val="2"/>
            <charset val="204"/>
          </rPr>
          <t xml:space="preserve">
це Сонячна 4/1?? К-сть поверхів 2, рік 72??</t>
        </r>
      </text>
    </comment>
  </commentList>
</comments>
</file>

<file path=xl/sharedStrings.xml><?xml version="1.0" encoding="utf-8"?>
<sst xmlns="http://schemas.openxmlformats.org/spreadsheetml/2006/main" count="4569" uniqueCount="1088">
  <si>
    <t>Виробництво теплової енергії</t>
  </si>
  <si>
    <t>Постачання теплової енергії</t>
  </si>
  <si>
    <t>населення</t>
  </si>
  <si>
    <t>Фінансові витрати</t>
  </si>
  <si>
    <t>№ з/п</t>
  </si>
  <si>
    <t>1.1</t>
  </si>
  <si>
    <t>1.2</t>
  </si>
  <si>
    <t>2.1</t>
  </si>
  <si>
    <t>2.2</t>
  </si>
  <si>
    <t>Гкал/год</t>
  </si>
  <si>
    <t>Одиниця виміру</t>
  </si>
  <si>
    <t>тис. грн</t>
  </si>
  <si>
    <t>1.1.1</t>
  </si>
  <si>
    <t>1.1.2</t>
  </si>
  <si>
    <t>електроенергія</t>
  </si>
  <si>
    <t>1.1.3</t>
  </si>
  <si>
    <t>1.1.4</t>
  </si>
  <si>
    <t>1.1.5</t>
  </si>
  <si>
    <t>прямі витрати на оплату праці</t>
  </si>
  <si>
    <t>1.3</t>
  </si>
  <si>
    <t>1.3.1</t>
  </si>
  <si>
    <t>1.3.2</t>
  </si>
  <si>
    <t>1.3.3</t>
  </si>
  <si>
    <t xml:space="preserve"> інші прямі витрати</t>
  </si>
  <si>
    <t>1.4</t>
  </si>
  <si>
    <t>1.4.1</t>
  </si>
  <si>
    <t>витрати на оплату праці</t>
  </si>
  <si>
    <t>1.4.2</t>
  </si>
  <si>
    <t>1.4.3</t>
  </si>
  <si>
    <t>інші витрати</t>
  </si>
  <si>
    <t>2.3</t>
  </si>
  <si>
    <t>3.1</t>
  </si>
  <si>
    <t>3.2</t>
  </si>
  <si>
    <t>3.3</t>
  </si>
  <si>
    <t>Повна собівартість*</t>
  </si>
  <si>
    <t>7.1</t>
  </si>
  <si>
    <t>податок на прибуток</t>
  </si>
  <si>
    <t xml:space="preserve"> дивіденди</t>
  </si>
  <si>
    <t xml:space="preserve"> резервний фонд (капітал)</t>
  </si>
  <si>
    <t>на розвиток виробництва (виробничі інвестиції)</t>
  </si>
  <si>
    <t>Вартість виробництва теплової енергії за відповідними тарифами</t>
  </si>
  <si>
    <t>грн/Гкал</t>
  </si>
  <si>
    <t>інші прямі витрати</t>
  </si>
  <si>
    <t xml:space="preserve">Інші операційні витрати * </t>
  </si>
  <si>
    <t>дивіденди</t>
  </si>
  <si>
    <t>резервний фонд (капітал)</t>
  </si>
  <si>
    <t>інше використання  прибутку</t>
  </si>
  <si>
    <t>10.1</t>
  </si>
  <si>
    <t>10.2</t>
  </si>
  <si>
    <t>11.1</t>
  </si>
  <si>
    <t>11.2</t>
  </si>
  <si>
    <t>12.1</t>
  </si>
  <si>
    <t>12.2</t>
  </si>
  <si>
    <t>12.3</t>
  </si>
  <si>
    <t xml:space="preserve"> (підпис)</t>
  </si>
  <si>
    <t>прямі матеріальні витрати</t>
  </si>
  <si>
    <t xml:space="preserve">Інші  операційні витрати*  </t>
  </si>
  <si>
    <t>Вартість постачання теплової енергії за відповідними тарифами</t>
  </si>
  <si>
    <t>10.3</t>
  </si>
  <si>
    <t>8.1</t>
  </si>
  <si>
    <t>8.2</t>
  </si>
  <si>
    <t>8.3</t>
  </si>
  <si>
    <t>8.4</t>
  </si>
  <si>
    <t>9.1</t>
  </si>
  <si>
    <t>інші споживачі</t>
  </si>
  <si>
    <t>5</t>
  </si>
  <si>
    <t>6</t>
  </si>
  <si>
    <t>7</t>
  </si>
  <si>
    <t>8</t>
  </si>
  <si>
    <t>3</t>
  </si>
  <si>
    <t>4</t>
  </si>
  <si>
    <t>Інші операційні витрати**</t>
  </si>
  <si>
    <t>Повна собівартість**</t>
  </si>
  <si>
    <t>9</t>
  </si>
  <si>
    <t>10</t>
  </si>
  <si>
    <t>11</t>
  </si>
  <si>
    <t>12</t>
  </si>
  <si>
    <t>13</t>
  </si>
  <si>
    <t>9.</t>
  </si>
  <si>
    <t>9.2</t>
  </si>
  <si>
    <t>(підпис)</t>
  </si>
  <si>
    <t>Виробнича собівартість, зокрема:</t>
  </si>
  <si>
    <t>прямі матеріальні витрати, зокрема:</t>
  </si>
  <si>
    <t>інші прямі витрати, зокрема:</t>
  </si>
  <si>
    <t>загальновиробничі витрати, зокрема:</t>
  </si>
  <si>
    <t>Адміністративні витрати, зокрема:</t>
  </si>
  <si>
    <t>Витрати на збут, зокрема:</t>
  </si>
  <si>
    <t>Витрати на відшкодування втрат</t>
  </si>
  <si>
    <t>Розрахунковий прибуток, усього**, зокрема:</t>
  </si>
  <si>
    <t>8.5</t>
  </si>
  <si>
    <t>Х</t>
  </si>
  <si>
    <t>(ініціали, прізвище)</t>
  </si>
  <si>
    <t>(керівник)</t>
  </si>
  <si>
    <t>інші витрати*</t>
  </si>
  <si>
    <t xml:space="preserve">Витрати на відшкодування втрат </t>
  </si>
  <si>
    <t>Розрахунковий прибуток*, усього,  зокрема:</t>
  </si>
  <si>
    <t>13.1</t>
  </si>
  <si>
    <t>13.2</t>
  </si>
  <si>
    <t>13.3</t>
  </si>
  <si>
    <t>___________________</t>
  </si>
  <si>
    <t>Розрахунковий прибуток, усього, зокрема:</t>
  </si>
  <si>
    <t>х</t>
  </si>
  <si>
    <t>Кількість поверхів</t>
  </si>
  <si>
    <t>Рік введення в експлуатацію</t>
  </si>
  <si>
    <t>Наявність будинкових приладів обліку теплової енергії на постачання гарячої води</t>
  </si>
  <si>
    <t>Кількість абонентів послуги з постачання теплової енергії</t>
  </si>
  <si>
    <t>Кількість абонентів, які отримують послугу з постачання гарячої води, усього</t>
  </si>
  <si>
    <t>Зокрема</t>
  </si>
  <si>
    <t>Усього, зокрема:</t>
  </si>
  <si>
    <t>1-2-поверхових будинків</t>
  </si>
  <si>
    <t>3-4-поверхових будинків</t>
  </si>
  <si>
    <t>5 і більше поверхів</t>
  </si>
  <si>
    <t>Без будинкових приладів обліку теплової енергії на послугу з постачання теплової енергії, усього,   зокрема:</t>
  </si>
  <si>
    <t>1-2-поверхових будинків,   зокрема:</t>
  </si>
  <si>
    <t>споруджених до  1930 р.</t>
  </si>
  <si>
    <t>споруджених з 1930 по 1958 рр.</t>
  </si>
  <si>
    <t>споруджених з 1959 по 1970 рр.</t>
  </si>
  <si>
    <t>споруджених з 1971 по 1980 рр.</t>
  </si>
  <si>
    <t>споруджених з 1981 по 1985 рр.</t>
  </si>
  <si>
    <t>споруджених з 1986 по 1999 рр.</t>
  </si>
  <si>
    <t>споруджених з 2000 р.</t>
  </si>
  <si>
    <t>3-4-поверхових будинків,   зокрема:</t>
  </si>
  <si>
    <t>споруджених з  2000 р.</t>
  </si>
  <si>
    <t>5 і більше поверхів,    зокрема:</t>
  </si>
  <si>
    <t>Адреса житлового та нежитлового приміщення (вулиця, будинок, корпус)</t>
  </si>
  <si>
    <t>Наявність будинкових приладів обліку теплової енергії на постачання теплової енергії (наявний/відсутній)</t>
  </si>
  <si>
    <t>Зокрема з квартирними засобами обліку теплової енергії</t>
  </si>
  <si>
    <t>Зокрема з квартирними засобами обліку гарячої води</t>
  </si>
  <si>
    <t>Загальна опалювана площа житлового будинку, усього, тис. м 2</t>
  </si>
  <si>
    <t>Загальна опалювана площа окремо розміщуваних нежитлових приміщень, тис.м2</t>
  </si>
  <si>
    <t>9.3</t>
  </si>
  <si>
    <t>загальна опалювана площа квартир з автономним опаленням,                                         тис. м 2</t>
  </si>
  <si>
    <r>
      <t xml:space="preserve">Примітка. </t>
    </r>
    <r>
      <rPr>
        <sz val="10"/>
        <color theme="1"/>
        <rFont val="Times New Roman"/>
        <family val="1"/>
        <charset val="204"/>
      </rPr>
      <t>Рядки, відмічені позначкою Х, суб’єктом господарювання - виконавцем послуг не заповнюються.</t>
    </r>
  </si>
  <si>
    <t>__________________________</t>
  </si>
  <si>
    <t>на території _______________________________________________________________________________________</t>
  </si>
  <si>
    <t xml:space="preserve">                                                                                                  (найменування територіальної громади)</t>
  </si>
  <si>
    <t>загальна опалювана площа квартир, де надається  послуга з постачання теплової енергії,                тис. м 2</t>
  </si>
  <si>
    <t>загальна опалювана площа вбудованих приміщень юридичних осіб,                                 тис. м 2</t>
  </si>
  <si>
    <t>(найменування суб’єкта господарювання - виконавця послуг)</t>
  </si>
  <si>
    <t>Зміст</t>
  </si>
  <si>
    <t>Посилання на документ</t>
  </si>
  <si>
    <t>Заява за встановленою формою</t>
  </si>
  <si>
    <t>Копія колективного договору суб’єкта господарювання (за наявності)</t>
  </si>
  <si>
    <t>Інвестиційна програма суб’єкта господарювання (за наявності)</t>
  </si>
  <si>
    <t>Копії розпорядчих документів про облікову політику підприємства з визначенням бази розподілу понесених витрат</t>
  </si>
  <si>
    <t>Копія погоджених в установленому порядку норм питомих витрат паливно-енергетичних ресурсів</t>
  </si>
  <si>
    <t>Копія проектно-кошторисної документації на проведення ремонтних робіт</t>
  </si>
  <si>
    <t>Довідка щодо сумарної встановленої потужності джерел теплової енергії, зокрема у розрізі джерел, та довідка щодо сумарної протяжності теплових мереж у розрізі діаметрів трубопроводів</t>
  </si>
  <si>
    <t xml:space="preserve">Розрахунок вартості технологічного палива на виробництво теплової енергії котельнями </t>
  </si>
  <si>
    <t>ПЕРЕЛІК ДОКУМЕНТІВ</t>
  </si>
  <si>
    <t>Директор</t>
  </si>
  <si>
    <t>що подаються для встановлення тарифів на  теплову енергію, її виробництво, транспортування та постачання, послуги з постачання теплової енергії, постачання гарячої води</t>
  </si>
  <si>
    <t>Назва пункту</t>
  </si>
  <si>
    <t>пп.</t>
  </si>
  <si>
    <t>Пояснювальна записка щодо потреби встановлення тарифів</t>
  </si>
  <si>
    <t>Обґрунтування планових витрат суб’єкта господарювання за їх складовими</t>
  </si>
  <si>
    <t>стор.</t>
  </si>
  <si>
    <t>-</t>
  </si>
  <si>
    <t xml:space="preserve">Аналіз результатів фінансово-господарської діяльності за базовий період </t>
  </si>
  <si>
    <r>
      <t>Очікувані зміни у плановому періоді</t>
    </r>
    <r>
      <rPr>
        <i/>
        <sz val="12"/>
        <color theme="1"/>
        <rFont val="Times New Roman"/>
        <family val="1"/>
        <charset val="204"/>
      </rPr>
      <t xml:space="preserve"> (у довільній формі)</t>
    </r>
  </si>
  <si>
    <t xml:space="preserve">Інформація про суб’єкт господарювання </t>
  </si>
  <si>
    <t>2.1.</t>
  </si>
  <si>
    <t>Відомості про наявність у заявника ліцензій на провадження відповідних видів ліцензованої діяльності</t>
  </si>
  <si>
    <t>2.2.</t>
  </si>
  <si>
    <t>Кількість споживачів у розрізі їх категорій, перелік цих споживачів із зазначенням їх місцезнаходження / місця проживання</t>
  </si>
  <si>
    <t>2.3.</t>
  </si>
  <si>
    <t>Система оподаткування заявника</t>
  </si>
  <si>
    <t>Особливості виробництва, транспортування та постачання теплової енергії, надання комунальних послуг</t>
  </si>
  <si>
    <t>Контактна інформація заявника (у довільній формі)</t>
  </si>
  <si>
    <t>3.</t>
  </si>
  <si>
    <t>Інформація про середньооблікову чисельність персоналу суб’єкта господарювання</t>
  </si>
  <si>
    <t>3.1.</t>
  </si>
  <si>
    <t xml:space="preserve">Інформація про середньооблікову чисельність персоналу суб’єкта господарювання (заявника). </t>
  </si>
  <si>
    <t>3.2.</t>
  </si>
  <si>
    <t>Пояснення та обґрунтування збільшення чисельності працівників та/або витрат на оплату праці для врахування в тарифах, що подаються на розгляд органу місцевого самоврядування</t>
  </si>
  <si>
    <t>4.</t>
  </si>
  <si>
    <t>Копія штатного розпису суб’єкта господарювання</t>
  </si>
  <si>
    <t>5.</t>
  </si>
  <si>
    <t>6.</t>
  </si>
  <si>
    <t>7.</t>
  </si>
  <si>
    <t xml:space="preserve">Копії установчих документів </t>
  </si>
  <si>
    <t>8.</t>
  </si>
  <si>
    <t>Копії договорів, укладених суб’єктами господарювання для забезпечення виробництва, транспортування та постачання теплової енергії, надання комунальних послуг</t>
  </si>
  <si>
    <t>10.</t>
  </si>
  <si>
    <t>Інформація щодо балансової вартості основних засобів, інших необоротних матеріальних і нематеріальних активів із розбивкою за групами та видами діяльності</t>
  </si>
  <si>
    <r>
      <t>Інформація щодо балансової вартості основних засобів, інших необоротних матеріальних і нематеріальних активів із розбивкою за групами та видами діяльності станом на</t>
    </r>
    <r>
      <rPr>
        <b/>
        <sz val="12"/>
        <color rgb="FFFF0000"/>
        <rFont val="Times New Roman"/>
        <family val="1"/>
        <charset val="204"/>
      </rPr>
      <t xml:space="preserve"> 01.ММ.202Р</t>
    </r>
  </si>
  <si>
    <t>11.</t>
  </si>
  <si>
    <t xml:space="preserve">Розрахунки у разі заяви на встановлення тарифів у сфері теплопостачання </t>
  </si>
  <si>
    <t>11.1.</t>
  </si>
  <si>
    <t xml:space="preserve">Розрахунки одноставкових тарифів на планований період на виробництво теплової енергії </t>
  </si>
  <si>
    <t>11.2.</t>
  </si>
  <si>
    <t xml:space="preserve">Розрахунки одноставкових тарифів на планований період на транспортування теплової енергії </t>
  </si>
  <si>
    <t>11.3.</t>
  </si>
  <si>
    <t xml:space="preserve">Розрахунки одноставкових тарифів на планований період на постачання теплової енергії  </t>
  </si>
  <si>
    <t>11.4.</t>
  </si>
  <si>
    <t>Розрахунки одноставкових тарифів на планований період на теплову енергію</t>
  </si>
  <si>
    <t>12.</t>
  </si>
  <si>
    <t xml:space="preserve">Розрахунок втрат суб’єкта господарювання, яких зазнано протягом періоду розгляду розрахунків тарифів на теплову енергію, її виробництво, транспортування та постачання для відповідної категорії споживачів, встановлення та їх оприлюднення органом місцевого самоврядування (за наявності) </t>
  </si>
  <si>
    <t>13.</t>
  </si>
  <si>
    <t>Копія рішення органу місцевого самоврядування про відшкодування втрат суб’єкта господарювання з місцевого бюджету, яких зазнано протягом періоду розгляду розрахунків тарифів на теплову енергію, її виробництво, транспортування та постачання для відповідної категорії споживачів, встановлення та їх оприлюднення органом місцевого самоврядування (за наявності)</t>
  </si>
  <si>
    <t>14.</t>
  </si>
  <si>
    <t xml:space="preserve">Річний план виробництва, транспортування та постачання теплової енергії, надання послуг із постачання теплової енергії та постачання гарячої води, складений на підставі фактичних та прогнозованих обсягів виробництва, транспортування та постачання теплової енергії, надання послуг з урахуванням укладених договорів та інших техніко-економічних факторів </t>
  </si>
  <si>
    <t>15.</t>
  </si>
  <si>
    <t>Розрахунки показників річного плану виробництва, транспортування та постачання теплової енергії та документи, що їх підтверджують та обґрунтовують</t>
  </si>
  <si>
    <t>15.1.</t>
  </si>
  <si>
    <t>Пооб’єктний щомісячний розрахунок корисного відпуску теплової енергії власним споживачам та на господарські потреби суб’єкта господарювання у сфері теплопостачання на планований період у розрізі кожного джерела теплової енергії та категорій споживачів</t>
  </si>
  <si>
    <t>15.2.</t>
  </si>
  <si>
    <t>Реєстр приєднаного теплового навантаження власних споживачів згідно з укладеними договорами на постачання теплової енергії у розрізі категорій споживачів та об’єктів теплоспоживання суб’єкта господарювання</t>
  </si>
  <si>
    <t>15.3.</t>
  </si>
  <si>
    <t>Аналітична інформація щодо обсягів споживання теплової енергії споживачами, які мають лічильники, та щодо відповідності фактичної температури теплоносія за базовий період у подавальному і зворотному трубопроводах відповідним показникам затвердженого температурного графіка щодо кожного джерела теплової енергії</t>
  </si>
  <si>
    <t>15.4.</t>
  </si>
  <si>
    <t xml:space="preserve">Інформація щодо виконання суб’єктом господарювання перерахунків розміру плати за надання послуг із централізованого опалення та постачання гарячої води у попередніх періодах </t>
  </si>
  <si>
    <t>16.</t>
  </si>
  <si>
    <t>Щомісячний розрахунок технологічних втрат теплової енергії в теплових мережах на планований період у розрізі кожного джерела теплової енергії та документи, що підтверджують вихідні дані для розрахунку</t>
  </si>
  <si>
    <t>16.1.</t>
  </si>
  <si>
    <t>Інформація щодо протяжності теплових мереж суб’єкта господарювання в розрізі джерел теплової енергії, способу прокладання, типу ізоляції, року введення в експлуатацію (проведення модернізації, реконструкції)</t>
  </si>
  <si>
    <t>16.2.</t>
  </si>
  <si>
    <t>Копія температурного графіка роботи тепломережі</t>
  </si>
  <si>
    <t>16.3.</t>
  </si>
  <si>
    <t>Інформація щодо фактичних витоків теплоносія з теплових мереж за останні три роки</t>
  </si>
  <si>
    <t>17.</t>
  </si>
  <si>
    <t>18.</t>
  </si>
  <si>
    <t>Розрахунок палива, технологічних витрат електроенергії та води на планований період (у натуральних і вартісних одиницях виміру) та документи, що їх підтверджують і обґрунтовують</t>
  </si>
  <si>
    <t>18.1.</t>
  </si>
  <si>
    <t>Копії паспортів котлів, насосного обладнання, вентиляторів, димососів, водопідготовчого обладнання, теплових мереж</t>
  </si>
  <si>
    <t>18.2.</t>
  </si>
  <si>
    <t xml:space="preserve">Копії експлуатаційної документації - ремонтні журнали котлів, копії режимних карт наладки котлів, водопідготовчого обладнання </t>
  </si>
  <si>
    <t>18.3.</t>
  </si>
  <si>
    <t>Копія плану організаційно-технічних заходів з економії паливно-енергетичних ресурсів</t>
  </si>
  <si>
    <t>18.4.</t>
  </si>
  <si>
    <t>Інформація щодо фактичних витрат паливно-енергетичних ресурсів у розрізі кожного джерела теплової енергії, теплового пункту, насосної станції за базовий період і період, що передує базовому</t>
  </si>
  <si>
    <t>19.</t>
  </si>
  <si>
    <t>Копія графіка планово-запобіжних ремонтних робіт на планований період, затвердженого суб’єктом господарювання, та дефектні акти</t>
  </si>
  <si>
    <t>20.</t>
  </si>
  <si>
    <t>21.</t>
  </si>
  <si>
    <t>Копії рішень власника щодо користування майном, що використовується під час виробництва, транспортування та постачання теплової енергії, та акти приймання-передавання зазначеного майна</t>
  </si>
  <si>
    <t>22.</t>
  </si>
  <si>
    <t>Копія наказу суб’єкта господарювання про встановлення норм витрат палива та мастильних матеріалів на автомобільному транспорті</t>
  </si>
  <si>
    <t>23.</t>
  </si>
  <si>
    <t>24.</t>
  </si>
  <si>
    <t>25.</t>
  </si>
  <si>
    <t xml:space="preserve">Розрахунок вартості технологічних витрат електроенергії на виробництво та транспортування теплової енергії </t>
  </si>
  <si>
    <t>26.</t>
  </si>
  <si>
    <t xml:space="preserve">Інформація про суб’єкт господарювання, що здійснює виробництво/транспортування/постачання теплової енергії, надає послуги з постачання теплової енергії та постачання гарячої води (загальна характеристика) </t>
  </si>
  <si>
    <t>27.</t>
  </si>
  <si>
    <t>Копії статистичної звітності за базовий період і період, що передує базовому, а також із початку поточного року</t>
  </si>
  <si>
    <t>27.1.</t>
  </si>
  <si>
    <t xml:space="preserve">Форма № 1 «Баланс (Звіт про фінансовий стан)» </t>
  </si>
  <si>
    <t>27.2.</t>
  </si>
  <si>
    <t>Форма № 2 «Звіт про фінансові результати (Звіт про сукупний дохід)»</t>
  </si>
  <si>
    <t>27.3.</t>
  </si>
  <si>
    <t>Форма № 1-ПВ (квартальна) «Звіт із праці»</t>
  </si>
  <si>
    <t>27.4.</t>
  </si>
  <si>
    <t>Форма № 1-підприємництво (річна) «Структурне обстеження підприємства»</t>
  </si>
  <si>
    <t>27.5.</t>
  </si>
  <si>
    <t>Форма № 11-ОЗ (річна) «Звіт про наявність і рух основних засобів, амортизацію»</t>
  </si>
  <si>
    <t>27.6.</t>
  </si>
  <si>
    <t>Форма № 11-МТП (річна) «Звіт про постачання та використання енергії»</t>
  </si>
  <si>
    <t>27.7.</t>
  </si>
  <si>
    <t>Форма № 4-МТП (річна) «Звіт про використання та запаси палива»</t>
  </si>
  <si>
    <t>27.8.</t>
  </si>
  <si>
    <t>Форма № 2ТП-водгосп (річна) «Звіт про використання води»</t>
  </si>
  <si>
    <t>27.9.</t>
  </si>
  <si>
    <t>Форма № 2-інвестиції (річна) «Звіт про капітальні інвестиції, вибуття й амортизацію активів»</t>
  </si>
  <si>
    <t>27.10.</t>
  </si>
  <si>
    <t>Звіт про витрати на виробництво та фінансові показники діяльності підприємств за формою № 1С-теплопостачання</t>
  </si>
  <si>
    <t>27.11.</t>
  </si>
  <si>
    <t>Податкова декларація з податку на прибуток підприємства</t>
  </si>
  <si>
    <t>27.12.</t>
  </si>
  <si>
    <t>Податкова декларація з плати за землю (земельний податок та/або орендна плата за земельні ділянки державної або комунальної власності)</t>
  </si>
  <si>
    <t>27.13.</t>
  </si>
  <si>
    <t>Податкова декларація екологічного податку</t>
  </si>
  <si>
    <t>27.14.</t>
  </si>
  <si>
    <t>Додаток 5 «Розрахунок з рентної плати за спеціальне використання води» до Податкової декларації з рентної плати</t>
  </si>
  <si>
    <t>28.</t>
  </si>
  <si>
    <t xml:space="preserve">Перелік житлових та нежитлових приміщень, теплопостачання яких здійснює суб’єкт господарювання (виконавець) </t>
  </si>
  <si>
    <t>3.3.</t>
  </si>
  <si>
    <t>3.4.</t>
  </si>
  <si>
    <t>3.5.</t>
  </si>
  <si>
    <t>З будинковими приладами обліку теплової енергії на послугу з постачання теплової енергії, зокрема:</t>
  </si>
  <si>
    <t xml:space="preserve">Додаток 12
</t>
  </si>
  <si>
    <t>житлових та нежитлових приміщень, теплопостачання яких здійснює</t>
  </si>
  <si>
    <t>ПЕРЕЛІК</t>
  </si>
  <si>
    <t>наявний</t>
  </si>
  <si>
    <t>відсутній</t>
  </si>
  <si>
    <t>Адреса житлового та нежитлового приміщення ( вулиця, будинок, корпус)</t>
  </si>
  <si>
    <t>Кількість поверхів*</t>
  </si>
  <si>
    <t>Наявність будинкових приладів обліку теплової енергії на потреби опалення (наявний/ відсутній)</t>
  </si>
  <si>
    <t>Наявність будинкових приладів  обліку теплової енергії на постачання гарячої води (наявний/ відсутній)</t>
  </si>
  <si>
    <t>Кількість абонентів послуги постачання теплової енергії</t>
  </si>
  <si>
    <t>Зокрема за квартирними засобами обліку теплової енергії</t>
  </si>
  <si>
    <t>Кількість абонентів які отримують послугу з постачання гарячої води, усього,</t>
  </si>
  <si>
    <t>Зокрема з квартирними засобами обліку гарячого водопостачання</t>
  </si>
  <si>
    <t>Загальна опалювальна площа вбудованих приміщень юридичних осіб , тис.м.кв.</t>
  </si>
  <si>
    <t>5 і вище</t>
  </si>
  <si>
    <t>Рік введення в експлуатацію*</t>
  </si>
  <si>
    <t>  </t>
  </si>
  <si>
    <t>бюджетні установи</t>
  </si>
  <si>
    <t>інші прямі матеріальні витрати</t>
  </si>
  <si>
    <t>Д12</t>
  </si>
  <si>
    <t>Загальна опалювальна площа приміщень з автономним опаленням, тис.м.кв.</t>
  </si>
  <si>
    <t>Загальна опалювальна площа окремо розміщуваних будівель, тис.кв.м</t>
  </si>
  <si>
    <t xml:space="preserve"> амортизація</t>
  </si>
  <si>
    <t>2</t>
  </si>
  <si>
    <t>амортизація</t>
  </si>
  <si>
    <t>Вихідні дані та техніко-економічні показники</t>
  </si>
  <si>
    <t>змінено</t>
  </si>
  <si>
    <t>для розрахунку двоставкових тарифів на теплову енергію, послуги з постачання теплової енергії</t>
  </si>
  <si>
    <t>Найменування показника </t>
  </si>
  <si>
    <t>населення </t>
  </si>
  <si>
    <t>релігійні
організації</t>
  </si>
  <si>
    <t>1</t>
  </si>
  <si>
    <t>1.</t>
  </si>
  <si>
    <t>Теплове навантаження системи: </t>
  </si>
  <si>
    <t>Гкал/г </t>
  </si>
  <si>
    <t>опалення </t>
  </si>
  <si>
    <t>- " - </t>
  </si>
  <si>
    <t>без ГП</t>
  </si>
  <si>
    <t>вентиляції </t>
  </si>
  <si>
    <t>постачання гарячої води</t>
  </si>
  <si>
    <t>постачання технологічної пари </t>
  </si>
  <si>
    <t>2.</t>
  </si>
  <si>
    <t>Реалізація теплової енергії споживачам, усього </t>
  </si>
  <si>
    <t>тис. Гкал </t>
  </si>
  <si>
    <t>у тому числі: </t>
  </si>
  <si>
    <t>вентиляція </t>
  </si>
  <si>
    <t>постачання гарячої води </t>
  </si>
  <si>
    <t>2.4</t>
  </si>
  <si>
    <t>х </t>
  </si>
  <si>
    <t>Втрати теплової енергії під час транспортування магістральними та розподільчими мережами та в обладнанні</t>
  </si>
  <si>
    <t>Покупна теплова енергія  </t>
  </si>
  <si>
    <t>Теплова енергія, відпущена з колекторів  </t>
  </si>
  <si>
    <t>Теплова енергія для власних господарських потреб</t>
  </si>
  <si>
    <t>Теплова енергія для надання послуги з постачання теплової енергії</t>
  </si>
  <si>
    <t>Власне виробництво теплової енергії </t>
  </si>
  <si>
    <t>Витрати палива на виробництво теплової енергії: </t>
  </si>
  <si>
    <t>газу </t>
  </si>
  <si>
    <t>млн. куб. метрів </t>
  </si>
  <si>
    <t>мазуту </t>
  </si>
  <si>
    <t>тис. тонн </t>
  </si>
  <si>
    <t>твердого палива </t>
  </si>
  <si>
    <t>9.4</t>
  </si>
  <si>
    <t>іншого виду палива</t>
  </si>
  <si>
    <t>Витрати умовного палива на виробництво теплової енергії </t>
  </si>
  <si>
    <t>Питомі витрати умовного палива </t>
  </si>
  <si>
    <t>кг/Гкал </t>
  </si>
  <si>
    <t>Витрати умовного палива на компенсацію тепловтрат </t>
  </si>
  <si>
    <t>Витрати електроенергії на технологічні потреби </t>
  </si>
  <si>
    <r>
      <t>тис. кВт</t>
    </r>
    <r>
      <rPr>
        <b/>
        <sz val="12"/>
        <rFont val="Times New Roman"/>
        <family val="1"/>
        <charset val="204"/>
      </rPr>
      <t>·</t>
    </r>
    <r>
      <rPr>
        <sz val="12"/>
        <rFont val="Times New Roman"/>
        <family val="1"/>
        <charset val="204"/>
      </rPr>
      <t>г </t>
    </r>
  </si>
  <si>
    <t>Питомі витрати електроенергії на технологічні потреби </t>
  </si>
  <si>
    <r>
      <t>кВт</t>
    </r>
    <r>
      <rPr>
        <b/>
        <sz val="12"/>
        <rFont val="Times New Roman"/>
        <family val="1"/>
        <charset val="204"/>
      </rPr>
      <t>·</t>
    </r>
    <r>
      <rPr>
        <sz val="12"/>
        <rFont val="Times New Roman"/>
        <family val="1"/>
        <charset val="204"/>
      </rPr>
      <t>г/Гкал </t>
    </r>
  </si>
  <si>
    <t>Витрати води на технологічні потреби </t>
  </si>
  <si>
    <t>тис. куб. метрів </t>
  </si>
  <si>
    <t>Витрати електричної енергії на централізоване постачання гарячої води </t>
  </si>
  <si>
    <t>Тривалість опалювального періоду </t>
  </si>
  <si>
    <t>діб </t>
  </si>
  <si>
    <t>Тривалість міжопалювального періоду </t>
  </si>
  <si>
    <t>Середня розрахункова температура внутрішнього повітря опалюваних будівель</t>
  </si>
  <si>
    <t>°C </t>
  </si>
  <si>
    <t>Середня температура зовнішнього повітря за опалювальний період </t>
  </si>
  <si>
    <t>Розрахункова температура зовнішнього повітря для проектування системи опалення </t>
  </si>
  <si>
    <t>Розрахункова температура зовнішнього повітря для проектування систем вентиляції </t>
  </si>
  <si>
    <t>Робота систем гарячого водопостачання під час режимної подачі гарячої води: </t>
  </si>
  <si>
    <t>23.1</t>
  </si>
  <si>
    <t>годин за добу </t>
  </si>
  <si>
    <t>годин </t>
  </si>
  <si>
    <t>23.2</t>
  </si>
  <si>
    <t>діб за тиждень </t>
  </si>
  <si>
    <t>23.3</t>
  </si>
  <si>
    <t>місяців протягом року </t>
  </si>
  <si>
    <t>місяців </t>
  </si>
  <si>
    <t>Споживання холодної води для потреб постачання гарячої води </t>
  </si>
  <si>
    <t>куб. метрів/г </t>
  </si>
  <si>
    <t>Норма витрати холодної води на гаряче водопостачання </t>
  </si>
  <si>
    <t>літрів на добу </t>
  </si>
  <si>
    <t>Температура холодної (водопровідної) води: </t>
  </si>
  <si>
    <t>26.1</t>
  </si>
  <si>
    <t>в опалювальний період </t>
  </si>
  <si>
    <t>26.2</t>
  </si>
  <si>
    <t>в міжопалювальний період </t>
  </si>
  <si>
    <t>Нижня теплота згорання натурального палива: </t>
  </si>
  <si>
    <t>20.1</t>
  </si>
  <si>
    <t>ккал/куб. метр (ккал/кг) </t>
  </si>
  <si>
    <t>20.2</t>
  </si>
  <si>
    <t>20.3</t>
  </si>
  <si>
    <t>20.4</t>
  </si>
  <si>
    <t>Вартість палива (без урахування податку на додану вартість) </t>
  </si>
  <si>
    <t>грн/ тис. куб. метрів* </t>
  </si>
  <si>
    <t>21.1</t>
  </si>
  <si>
    <t>постачання</t>
  </si>
  <si>
    <t>21.2</t>
  </si>
  <si>
    <t>транспортування</t>
  </si>
  <si>
    <t>21.3</t>
  </si>
  <si>
    <t>розподіл</t>
  </si>
  <si>
    <t>Вартість електроенергії в середньому за рік </t>
  </si>
  <si>
    <t>Вартість води на потреби гарячого водопостачання </t>
  </si>
  <si>
    <t>гривень/куб. метр </t>
  </si>
  <si>
    <t>Вартість покупної теплової енергії </t>
  </si>
  <si>
    <t>гривень/ Гкал </t>
  </si>
  <si>
    <t>Вартість води та водовідведення для технологічних потреб</t>
  </si>
  <si>
    <t>гривень/  куб. метр </t>
  </si>
  <si>
    <t>Загальна опалювана площа будівель усіх категорій споживачів </t>
  </si>
  <si>
    <t>тис. кв. метрів </t>
  </si>
  <si>
    <t>Загальна опалювана площа будівель у яких встановлено вузли комерційного обліку теплової енергії</t>
  </si>
  <si>
    <t>Загальна опалювана площа будівель у яких не встановлено вузли комерційного обліку теплової енергії</t>
  </si>
  <si>
    <t>29.</t>
  </si>
  <si>
    <t>Розрахункова норма витрат теплової енергії для опалення будинків, в яких відсутні вузли комерційного обліку теплової енергії</t>
  </si>
  <si>
    <t>Гкал/ кв. метр/ рік </t>
  </si>
  <si>
    <t>30.</t>
  </si>
  <si>
    <t>Питоме теплове навантаження системи опалення </t>
  </si>
  <si>
    <t>Гкал/г/кв. метр</t>
  </si>
  <si>
    <t>31.</t>
  </si>
  <si>
    <t>Кількість квартир з централізованим постачанням теплової енергії</t>
  </si>
  <si>
    <t>тис. квартир </t>
  </si>
  <si>
    <t>32.</t>
  </si>
  <si>
    <t>Кількість квартир з централізованим постачанням гарячої води </t>
  </si>
  <si>
    <t>33.</t>
  </si>
  <si>
    <t>Кількість споживачів (абонентів), яким надається послуга з постачання теплової енергії</t>
  </si>
  <si>
    <t>один.</t>
  </si>
  <si>
    <t>34.</t>
  </si>
  <si>
    <t xml:space="preserve">Кількість споживачів (абонентів), яким надається послуга з постачання гарячої води </t>
  </si>
  <si>
    <t xml:space="preserve">                                  (керівник)</t>
  </si>
  <si>
    <t xml:space="preserve">     (власне ім'я, прізвище)</t>
  </si>
  <si>
    <r>
      <t xml:space="preserve">Примітки: </t>
    </r>
    <r>
      <rPr>
        <sz val="10"/>
        <rFont val="Times New Roman"/>
        <family val="1"/>
        <charset val="204"/>
      </rPr>
      <t>Рядки, відмічені позначкою Х не заповнюються.</t>
    </r>
  </si>
  <si>
    <t xml:space="preserve">                  * Одиниця виміру  зазначається відповідно до  виду палива, що використовується суб'єктом господарювання. </t>
  </si>
  <si>
    <t>Одиниця виміру </t>
  </si>
  <si>
    <t>Сумарні та середньозважені показники </t>
  </si>
  <si>
    <t>усього </t>
  </si>
  <si>
    <t>у тому числі </t>
  </si>
  <si>
    <t>умовно-змінна частина</t>
  </si>
  <si>
    <t>умовно- постійна частина </t>
  </si>
  <si>
    <t>Обсяг реалізації теплової енергії споживачам всього, у т.ч.</t>
  </si>
  <si>
    <t>тис. Гкал</t>
  </si>
  <si>
    <t xml:space="preserve">Приєднане теплове навантаження  </t>
  </si>
  <si>
    <t>споживачів, які користуються централізованим опаленням</t>
  </si>
  <si>
    <t>місць загального користування</t>
  </si>
  <si>
    <t>системи постачання гарячої води</t>
  </si>
  <si>
    <t>споживачів, які відмовилися від централізованого опалення та постачання гарячої води  (довідково)</t>
  </si>
  <si>
    <t>Обсяг теплової енергії для надання послуги з постачання теплової енергії, усього</t>
  </si>
  <si>
    <t>у тому числі</t>
  </si>
  <si>
    <t>за показаннями вузлів комерційного обліку  </t>
  </si>
  <si>
    <t>паливо всього, у т.ч.:</t>
  </si>
  <si>
    <t>1.1.1.1</t>
  </si>
  <si>
    <t>природний газ</t>
  </si>
  <si>
    <t>1.1.1.2</t>
  </si>
  <si>
    <t>транспортування природного газу</t>
  </si>
  <si>
    <t>1.1.1.3</t>
  </si>
  <si>
    <t>розподіл природного газу</t>
  </si>
  <si>
    <t>покупна теплова енергія та/або встановлена повна планована собівартість теплової енергії, виробленої  власними ТЕЦ, ТЕС, АЕС, КГУ та/або встановлена повна планована вартість теплової енергії, виробленої власними установками, що використовують НПДЕ</t>
  </si>
  <si>
    <t>1.1.3.1</t>
  </si>
  <si>
    <t>покупна теплова енергія</t>
  </si>
  <si>
    <t>1.1.3.2</t>
  </si>
  <si>
    <t>встановлена повна планована вартість теплової енергії, виробленої власними установками, що використовують НПДЕ</t>
  </si>
  <si>
    <t>холодна вода для технологічних потреб та водовідведення</t>
  </si>
  <si>
    <t>єдиний внесок на загальнообов’язкове державне соціальне страхування працівників</t>
  </si>
  <si>
    <t>Двоставковий тариф на виробництво теплової енергії без ПДВ</t>
  </si>
  <si>
    <t>умовно-змінна частина  </t>
  </si>
  <si>
    <t>грн/Гкал </t>
  </si>
  <si>
    <t>грн/ Гкал/год</t>
  </si>
  <si>
    <t>Двоставковий тариф на виробництво теплової енергії з ПДВ</t>
  </si>
  <si>
    <t>транспортування теплової енергії іншими субєктами господарювання</t>
  </si>
  <si>
    <t>холодна вода для технологічних потреб  та водовідведення</t>
  </si>
  <si>
    <t>1.1.4.1</t>
  </si>
  <si>
    <t>у т.ч. витрати на покриття втрат теплової енергії в телових мережах</t>
  </si>
  <si>
    <t>Вартість транспортування теплової енергії за відповідними тарифами</t>
  </si>
  <si>
    <t>Двоставковий тариф на транспортування теплової енергії без ПДВ</t>
  </si>
  <si>
    <t>Двоставковий тариф на транспортування теплової енергії з ПДВ</t>
  </si>
  <si>
    <t>Двоставковий тариф на постачання теплової енергії без ПДВ</t>
  </si>
  <si>
    <t>Двоставковий тариф на постачання теплової енергії з ПДВ</t>
  </si>
  <si>
    <t>Теплова енергія (виробництво, транспортування, постачання) </t>
  </si>
  <si>
    <t>1.1.5.1</t>
  </si>
  <si>
    <t>Вартість виробництва, транспортування, постачання теплової енергії за відповідними тарифами</t>
  </si>
  <si>
    <t>Одноставковий тариф на теплову енергію без ПДВ</t>
  </si>
  <si>
    <t>Одноставковий тариф на теплову енергії з ПДВ</t>
  </si>
  <si>
    <t>Двоставковий тариф на теплову енергії без ПДВ</t>
  </si>
  <si>
    <t>Двоставковий тариф на теплову енергію з ПДВ</t>
  </si>
  <si>
    <t>Двоставковий тариф на послугу з постачання теплової енергії без ПДВ</t>
  </si>
  <si>
    <t>Двоставковий тариф на послугу з постачання теплової енергії з ПДВ</t>
  </si>
  <si>
    <r>
      <rPr>
        <b/>
        <sz val="10"/>
        <color theme="1"/>
        <rFont val="Times New Roman"/>
        <family val="1"/>
        <charset val="204"/>
      </rPr>
      <t>Примітки:</t>
    </r>
    <r>
      <rPr>
        <sz val="10"/>
        <color theme="1"/>
        <rFont val="Times New Roman"/>
        <family val="1"/>
        <charset val="204"/>
      </rPr>
      <t xml:space="preserve"> </t>
    </r>
  </si>
  <si>
    <t xml:space="preserve">Вартістю послуги з постачання теплової енергії є тариф на теплову енергію для споживача, який визначається як сума тарифів на виробництво, транспортування та постачання теплової енергії.                                                              </t>
  </si>
  <si>
    <t>Встановлення двоставкових тарифів на послуги з постачання теплової енергії здійснюється за умови встановлення двоставкових тарифів на теплову енергію.</t>
  </si>
  <si>
    <t xml:space="preserve">              </t>
  </si>
  <si>
    <t>Рядки, відмічені позначкою Х не заповнюються.</t>
  </si>
  <si>
    <t>*Без урахування списання безнадійної дебіторської заборгованості та нарахування резерву сумнівних боргів.</t>
  </si>
  <si>
    <t xml:space="preserve">Додаток ххх
до рішення виконавчого комітету міської ради від ___.___ 2020 р. №_____
</t>
  </si>
  <si>
    <t>поміняли місцями</t>
  </si>
  <si>
    <t>Базовий період (факт)</t>
  </si>
  <si>
    <t>Плановий період (усього) </t>
  </si>
  <si>
    <t>Настя</t>
  </si>
  <si>
    <t>гривень/ кВт·г </t>
  </si>
  <si>
    <t>ЖЕНЯ заповнити на листку ДАТА</t>
  </si>
  <si>
    <t xml:space="preserve">ЛЄ: перевірити Одиниці виміру </t>
  </si>
  <si>
    <t xml:space="preserve">ЛЄ: перевірити посилання </t>
  </si>
  <si>
    <t>вул. Сонячна, 13В</t>
  </si>
  <si>
    <t>вул. Провадійська, 13</t>
  </si>
  <si>
    <t>вул. Перемоги, 24Г</t>
  </si>
  <si>
    <t>вул. Перемоги, 24А</t>
  </si>
  <si>
    <t>вул. Франко, 9</t>
  </si>
  <si>
    <t>вул. Сонячна, 4/1</t>
  </si>
  <si>
    <t>інші</t>
  </si>
  <si>
    <t>бюджет</t>
  </si>
  <si>
    <t>релігійні</t>
  </si>
  <si>
    <t>ПМП "Зірка" (магазин-бар "Іверія")</t>
  </si>
  <si>
    <t>вул. Перемоги, 2-А</t>
  </si>
  <si>
    <t>Управління освіти, сім'ї, молоді та спорту (ЗЗСО №11, спорткомплекс)</t>
  </si>
  <si>
    <t>Управління освіти, сім'ї, молоді та спорту (ЗЗСО №11)</t>
  </si>
  <si>
    <t>вул. Південна, 25</t>
  </si>
  <si>
    <t>КНП"Б-Дістровська міська багатопрофільна лікарня (Пологовий будинок, нове приміщення)</t>
  </si>
  <si>
    <t>вул. Незалежності, 35/2</t>
  </si>
  <si>
    <t>КНП"Б-Дістровська міська багатопрофільна лікарня (Пологовий будинок, старий корпус)</t>
  </si>
  <si>
    <t>вул. Незалежності, 35/1</t>
  </si>
  <si>
    <t>Б-Дністровський медичний фаховий коледж (гуртожиток)</t>
  </si>
  <si>
    <t>вул. Незалежності, 10В</t>
  </si>
  <si>
    <t>Б-Дністровський медичний фаховий коледж (навчальний корпус)</t>
  </si>
  <si>
    <t>вул. Незалежності, 10-В</t>
  </si>
  <si>
    <t>Філ."Б-Дн.економіко-правовий коледж" ВHЗ"ПУЕТ" (навчальний корпус)</t>
  </si>
  <si>
    <t>КHП"Б-Дністровський спеціалізований будиннок дитини" (корпус № 2)</t>
  </si>
  <si>
    <t>КHП"Б-Дністровський спеціалізований будиннок дитини" (корпус № 1)</t>
  </si>
  <si>
    <t>КНП"Б-Дістровська міська багатопрофільна лікарня (Лікарня)</t>
  </si>
  <si>
    <t>вул. Московська, 1/1</t>
  </si>
  <si>
    <t>КНП"Б-Дістровська міська багато-профільна лікарня (Адмінкорпус)</t>
  </si>
  <si>
    <t>вул. Московська, 1</t>
  </si>
  <si>
    <t>УСЬОГО</t>
  </si>
  <si>
    <t>к-сть абонентів</t>
  </si>
  <si>
    <t>Обсяг ТЕ (з приладами)</t>
  </si>
  <si>
    <t>Обсяг ТЕ (всього)</t>
  </si>
  <si>
    <t>Навантаж</t>
  </si>
  <si>
    <t>Итог</t>
  </si>
  <si>
    <t>ТОВ "АКС-ОДЕСА" (аптека)</t>
  </si>
  <si>
    <t>ПП "Бізнес-софт"</t>
  </si>
  <si>
    <t>вул. Незалежності, 10</t>
  </si>
  <si>
    <t>ФОП Гасанов К.I.</t>
  </si>
  <si>
    <t>ФОП Шаповаленко H.А.</t>
  </si>
  <si>
    <t>ФОП Доніч А.П. (стоматологія)</t>
  </si>
  <si>
    <t>вул. Перемоги, 5</t>
  </si>
  <si>
    <t>ФОП Романович Л.О. ("Джинсовий стиль")</t>
  </si>
  <si>
    <t>вул. Першотравнева, 82</t>
  </si>
  <si>
    <t>ПАТ "Держощадбанк України" (відділення банку)</t>
  </si>
  <si>
    <t>вул. Перемоги, 2А</t>
  </si>
  <si>
    <t>ПП "Полюс" (магазин "Каштан")</t>
  </si>
  <si>
    <t>вул. Шкільна, 1</t>
  </si>
  <si>
    <t>Ф-Я"Б-Дністровський ДHКК" УДП"УКРIHТЕРАВТОСЕРВIС"</t>
  </si>
  <si>
    <t>вул. Соборна, 68</t>
  </si>
  <si>
    <t>Підприємство у вигляді Т ОВ "Л.П.С."</t>
  </si>
  <si>
    <t>HПП "Медпроект"</t>
  </si>
  <si>
    <t>вул. Провадійська, 12</t>
  </si>
  <si>
    <t>ТОВ "ПКФ "Електрон""</t>
  </si>
  <si>
    <t>вул. Миколаївська, 41А</t>
  </si>
  <si>
    <t>МПП "Скіфія"</t>
  </si>
  <si>
    <t>вул. Провадійська, 2</t>
  </si>
  <si>
    <t>АТ "ПIРЕУС БАHК МКБ" (Б-Дністровське ТВБВ №2)</t>
  </si>
  <si>
    <t>вул. Маяковського, 6А</t>
  </si>
  <si>
    <t>ФОП Лапіна В.В.</t>
  </si>
  <si>
    <t>вул. Пушкіна, 33А</t>
  </si>
  <si>
    <t>ФО Власенко Я.В.</t>
  </si>
  <si>
    <t>вул. Михайлівська, 29</t>
  </si>
  <si>
    <t>ТОВ "Садко-Аккерман" (ж/квартири)</t>
  </si>
  <si>
    <t>вул. Ізмаїльська, 58</t>
  </si>
  <si>
    <t>ТОВ "Садко-Аккерман" (магазини)</t>
  </si>
  <si>
    <t>ПП "КСВ" (магазин змішанної торгівлі)</t>
  </si>
  <si>
    <t>вул. Московська, 16</t>
  </si>
  <si>
    <t>ПАТ"Укрзалізниця"РФ"Од.залізн."ВП Б-Д.дист.колії (адмінприміщення)</t>
  </si>
  <si>
    <t>вул. Портова, 11</t>
  </si>
  <si>
    <t>ПАТ"Укрзалізниця"РФ"Од.залізн."ВП Б-Д.дист.колії (побутові прміщ.)</t>
  </si>
  <si>
    <t>ПАТ"Укрзалізниця"РФ"Од.залізн."ВП Б-Д.дист.колії (майстерні)</t>
  </si>
  <si>
    <t>ПП "Южноукраїнська фрмацевтична компанія"</t>
  </si>
  <si>
    <t>вул. Ізмаїльська, 66</t>
  </si>
  <si>
    <t>ТОВ "АТБ-МАРКЕТ"</t>
  </si>
  <si>
    <t>вул. Ізмаїльська, 131/1</t>
  </si>
  <si>
    <t>вул. Миколаївська, 31</t>
  </si>
  <si>
    <t>АТ "УКРПОШТА",Одеська дирекція,філія №15 (відділення зв'язку)</t>
  </si>
  <si>
    <t>ПП Сидорова H.А. (магазин)</t>
  </si>
  <si>
    <t>вул. Анісімова, 4</t>
  </si>
  <si>
    <t>ТОВ "АВ Фармація"</t>
  </si>
  <si>
    <t>ПАТ "Гемопласт" (сл.кв-ра)</t>
  </si>
  <si>
    <t>ФОП Крижанівська С.А. (кав'ярня)</t>
  </si>
  <si>
    <t>вул. Миколаївська, 26</t>
  </si>
  <si>
    <t>ФОП Баранов М.М. (ЦР "Михайлівський")</t>
  </si>
  <si>
    <t>вул. Михайлівська, 25</t>
  </si>
  <si>
    <t>Свято-Георгіївська церква</t>
  </si>
  <si>
    <t>вул. Кишинівська, 77А</t>
  </si>
  <si>
    <t>Прокуратура Одеської області</t>
  </si>
  <si>
    <t>вул. Незалежності, 39</t>
  </si>
  <si>
    <t>Б-ДH.об'єднаний міськтерцентр комплектації та соц.підтримки (призовна дільниця)</t>
  </si>
  <si>
    <t>вул. Першотравнева, 55</t>
  </si>
  <si>
    <t>Державна екологічна інспекція в Од.обл.</t>
  </si>
  <si>
    <t>Б-Д.коледж природокористування, будівн-ва та комп.технологій</t>
  </si>
  <si>
    <t>вул. Першотравнева, 53</t>
  </si>
  <si>
    <t>Б-Д.коледж природокористування, будівн-ва та комп.технологій (гуртожиток №2)</t>
  </si>
  <si>
    <r>
      <t xml:space="preserve">вул. Незалежності, 47 </t>
    </r>
    <r>
      <rPr>
        <sz val="12"/>
        <color rgb="FFFF0000"/>
        <rFont val="Times New Roman"/>
        <family val="1"/>
        <charset val="204"/>
      </rPr>
      <t>(гуртож№2)</t>
    </r>
  </si>
  <si>
    <t>Б-Д.коледж природокористування, будівн-ва та комп.технологій (навчальний корпус)</t>
  </si>
  <si>
    <t>вул. Незалежності, 47</t>
  </si>
  <si>
    <t>2 ДПРЗ ГУ ДСHС (пожежна частина)</t>
  </si>
  <si>
    <t>вул. Незалежності, 33-А</t>
  </si>
  <si>
    <t>Оеська митниця Держмитслужби</t>
  </si>
  <si>
    <t>вул. Шабська, 104</t>
  </si>
  <si>
    <t>Б-Дністровський будинок офіцерів</t>
  </si>
  <si>
    <t>вул. Пушкіна, 21</t>
  </si>
  <si>
    <t>Управління СБУ в Од.обл.</t>
  </si>
  <si>
    <t>пров. Лікарняний, 3</t>
  </si>
  <si>
    <t>Теруправління Держсудадміністрації в Од.обл.</t>
  </si>
  <si>
    <t>вул. Військової Слави, 27</t>
  </si>
  <si>
    <t>ГУ Hаціональної поліції в Од.обл. (районий відділ)</t>
  </si>
  <si>
    <t>вул. Військової Слави, 25</t>
  </si>
  <si>
    <t>ГУ Hаціональної поліції в Од.обл. (міський відділ)</t>
  </si>
  <si>
    <t>вул. Тімірязєва, 21</t>
  </si>
  <si>
    <t>Б-Дністровський морський рибопромисловий коледж (гуртожиток)</t>
  </si>
  <si>
    <t>вул. Південна, 7Д</t>
  </si>
  <si>
    <t>Б-Дністровський морський рибопромисловий коледж (навч.корпуса 1,2)</t>
  </si>
  <si>
    <t>вул. Незалежності, 12</t>
  </si>
  <si>
    <t>В/Ч 2197 (КПП №48/10)</t>
  </si>
  <si>
    <t>вул. Військової Слави, 14/5</t>
  </si>
  <si>
    <t>В/Ч 2197 (ОРВ)</t>
  </si>
  <si>
    <t>вул. Військової Слави, 14/4</t>
  </si>
  <si>
    <t>В/Ч 2197 (Штаб №78)</t>
  </si>
  <si>
    <t>вул. Військової Слави, 14/3</t>
  </si>
  <si>
    <t>В/Ч 2197 (Казарма №1)</t>
  </si>
  <si>
    <t>вул. Військової Слави, 14/2</t>
  </si>
  <si>
    <t>В/Ч 2197 (ж/будинок)</t>
  </si>
  <si>
    <t>вул. Військової Слави, 14/1</t>
  </si>
  <si>
    <t>вул. Паркова, 1А</t>
  </si>
  <si>
    <t>В/Ч 2197 (гуртожиток)</t>
  </si>
  <si>
    <t>вул. Паркова, 1</t>
  </si>
  <si>
    <t>ГУ ДПС В Одеській обл.</t>
  </si>
  <si>
    <t>вул. Московська, 18А</t>
  </si>
  <si>
    <t>ГУ Пенсійного фонду України в Од. обл.</t>
  </si>
  <si>
    <t>вул. Незалежності, 10Б</t>
  </si>
  <si>
    <t>ДHЗ "Б-Дністровський професійний будівельний ліцей" (прохідна)</t>
  </si>
  <si>
    <t>вул. Ізмаїльська, 31</t>
  </si>
  <si>
    <t>ДHЗ "Б-Дністровський професійний будівельний ліцей" (гараж,склад)</t>
  </si>
  <si>
    <t>ДHЗ "Б-Дністровський професійний будівельний ліцей" (майстерня №2)</t>
  </si>
  <si>
    <t>ДHЗ "Б-Дністровський професійний будівельний ліцей" (майстерні,гард.)</t>
  </si>
  <si>
    <t>ДHЗ "Б-Дністровський професійний будівельний ліцей" (спортзал)</t>
  </si>
  <si>
    <t>ДHЗ "Б-Дністровський професійний будівельний ліцей" (майстерня №1)</t>
  </si>
  <si>
    <t>ДHЗ "Б-Дністровський професійний будівельний ліцей" (майстерні,склади)</t>
  </si>
  <si>
    <t>ДHЗ "Б-Дністровський професійний будівельний ліцей" (навчальний корпус)</t>
  </si>
  <si>
    <t>КЗ "Б-Дністровський дитячий будинок змішаного типу"</t>
  </si>
  <si>
    <t>вул. Сонячна, 14А</t>
  </si>
  <si>
    <t>вул. Перемоги, 9</t>
  </si>
  <si>
    <t>вул. Сонячна, 4</t>
  </si>
  <si>
    <t>КЗ "Б-Дністровський педагогічний коледж" (гуртожиток №1)</t>
  </si>
  <si>
    <t>вул. Незалежності, 21</t>
  </si>
  <si>
    <t>КЗ"Б-Дністровська спеціальна загаль-ноосвітня школа-інтернат №10 I-IIС"</t>
  </si>
  <si>
    <t>вул. Кутузова, 6</t>
  </si>
  <si>
    <t>вул. Горького, 13</t>
  </si>
  <si>
    <t>КHП"Лікувально-діагностичний центр інфекц.хвороб" (стаціонар)</t>
  </si>
  <si>
    <t>вул. Військової Слави, 6</t>
  </si>
  <si>
    <t>КHП"Лікувально-діагностичний центр інфекц.хвороб" (пол-ка, адм-лаб.корпус)</t>
  </si>
  <si>
    <t>КHП"Лікувально-діагностичний центр інфекц.хвороб" (лікувальний корпус)</t>
  </si>
  <si>
    <t>КУ "Б-Дністровський терцентр соцобслуговування"</t>
  </si>
  <si>
    <t>вул. Маяковського, 29А</t>
  </si>
  <si>
    <t>Управління комунальної власності</t>
  </si>
  <si>
    <t>КП "Б-Дністровське управління капбудівництва"</t>
  </si>
  <si>
    <t>МЦ "Благоустрій"</t>
  </si>
  <si>
    <t>вул. Олімпійська, 12А</t>
  </si>
  <si>
    <t>Виконком Б-Дністровської міськради (Управління з питань НС)</t>
  </si>
  <si>
    <t>вул. Олімпійська, 25</t>
  </si>
  <si>
    <t>Виконком Б-Дністровської міськради (ЦHАП)</t>
  </si>
  <si>
    <t>вул. Єврейська, 21</t>
  </si>
  <si>
    <t>Департамент муніципальної безпеки</t>
  </si>
  <si>
    <t>вул. Кутузова, 25</t>
  </si>
  <si>
    <t>Департамент соціальної, сімейної політики та охорони здоров'я</t>
  </si>
  <si>
    <t>пров. Офіцерський, 8</t>
  </si>
  <si>
    <t>Відділ культури (Музична школа, корп.2)</t>
  </si>
  <si>
    <t>вул. Пушкіна, 31</t>
  </si>
  <si>
    <t>Відділ культури (Музична школа, корп.1)</t>
  </si>
  <si>
    <t>Відділ культури (Краєзнавчий музей)</t>
  </si>
  <si>
    <t>вул. Пушкіна, 19</t>
  </si>
  <si>
    <t>Відділ культури (Музей етнографії)</t>
  </si>
  <si>
    <t>вул. Пушкіна, 16</t>
  </si>
  <si>
    <t>Відділ культури (Художня школа)</t>
  </si>
  <si>
    <t>Відділ культури (Бібліотека ім. Пушкіна)</t>
  </si>
  <si>
    <t>вул. Перемоги, 3-А</t>
  </si>
  <si>
    <t>Відділ культури (Центр культури та дозвілля)</t>
  </si>
  <si>
    <t>вул. Жовтнева, 16</t>
  </si>
  <si>
    <t>Відділ культури (Бібліотека ім. Катаєва)</t>
  </si>
  <si>
    <t>вул. Маяковського, 7</t>
  </si>
  <si>
    <t>Відділ культури (Бібліотека ім. Горького)</t>
  </si>
  <si>
    <t>вул. Маяковського, 6</t>
  </si>
  <si>
    <t>Відділ культури («Веселка»)</t>
  </si>
  <si>
    <t>Відділ культури (Адмінприміщення)</t>
  </si>
  <si>
    <t>вул. Олімпійська, 12</t>
  </si>
  <si>
    <t>Відділ культури (Бібліотека ім. Л.Українки)</t>
  </si>
  <si>
    <t>вул. Ізмаїльська, 87А</t>
  </si>
  <si>
    <t>КНП"Б-Дістровська міська багато-профільна лікарня (Стоматологія)</t>
  </si>
  <si>
    <t>вул. Московська, 2</t>
  </si>
  <si>
    <t>КНП"Б-Дістровська міська багато-профільна лікарня (ВІЛ-лабораторія)</t>
  </si>
  <si>
    <t>Управління освіти, сім'ї, молоді та спорту (Еколого-натурал.відділ МЦДТ</t>
  </si>
  <si>
    <t>пров. Ломоносова, 5</t>
  </si>
  <si>
    <t>Управління освіти, сім'ї, молоді та спорту (ЗДО №6)</t>
  </si>
  <si>
    <t>вул. Військової Слави, 2</t>
  </si>
  <si>
    <t>Управління освіти, сім'ї, молоді та спорту (ЗДО №3)</t>
  </si>
  <si>
    <t>вул. Шевченка, 28</t>
  </si>
  <si>
    <t>Управління освіти, сім'ї, молоді та спорту (ЗЗСО №3,корп.2)</t>
  </si>
  <si>
    <t>Управління освіти, сім'ї, молоді та спорту (ЗЗСО №3,корп.1)</t>
  </si>
  <si>
    <t>Управління освіти, сім'ї, молоді та спорту (ЗДО №2)</t>
  </si>
  <si>
    <t>вул. Сонячна, 10</t>
  </si>
  <si>
    <t>Управління освіти, сім'ї, молоді та спорту (Центр дитячої творчості)</t>
  </si>
  <si>
    <t>Управління освіти, сім'ї, молоді та спорту (ЗДО №8)</t>
  </si>
  <si>
    <t>вул. Перемоги, 32</t>
  </si>
  <si>
    <t>Управління освіти, сім'ї, молоді та спорту (ЗДО №7)</t>
  </si>
  <si>
    <t>вул. Плавнева, 64</t>
  </si>
  <si>
    <t>Управління освіти, сім'ї, молоді та спорту (ЗЗСО №4, початкові класи)</t>
  </si>
  <si>
    <t>вул. Новосадова, 10</t>
  </si>
  <si>
    <t>Управління освіти, сім'ї, молоді та спорту (ЗЗСО №2)</t>
  </si>
  <si>
    <t>вул. Московська, 37</t>
  </si>
  <si>
    <t>Управління освіти, сім'ї, молоді та спорту (НВК «Школа-ліцей»)</t>
  </si>
  <si>
    <t>вул. Маяковського, 29</t>
  </si>
  <si>
    <t>Управління освіти, сім'ї, молоді та спорту (Вечірня школа)</t>
  </si>
  <si>
    <t>вул. Михайлівська, 66</t>
  </si>
  <si>
    <t>Управління освіти, сім'ї, молоді та спорту (Адмінприміщення)</t>
  </si>
  <si>
    <t>Управління освіти, сім'ї, молоді та спорту (ЗЗСО №5, майстерні)</t>
  </si>
  <si>
    <t>вул. Олімпійська, 18/1</t>
  </si>
  <si>
    <t>Управління освіти, сім'ї, молоді та спорту (ЗЗСО №5)</t>
  </si>
  <si>
    <t>вул. Олімпійська, 18</t>
  </si>
  <si>
    <t>Управління освіти, сім'ї, молоді та спорту (ЗЗСО №6, спортзал)</t>
  </si>
  <si>
    <t>вул. Кишинівська, 74</t>
  </si>
  <si>
    <t>Управління освіти, сім'ї, молоді та спорту (ЗЗСО №6, майстерні)</t>
  </si>
  <si>
    <t>Управління освіти, сім'ї, молоді та спорту (ЗЗСО №6)</t>
  </si>
  <si>
    <t>Управління освіти, сім'ї, молоді та спорту (ЗДО №1)</t>
  </si>
  <si>
    <t>вул. Єврейська, 9</t>
  </si>
  <si>
    <t>Управління освіти, сім'ї, молоді та спорту (Технічний відділ МЦДТ)</t>
  </si>
  <si>
    <t>вул. Єврейська, 2-Б</t>
  </si>
  <si>
    <t>Управління освіти, сім'ї, молоді та спорту (ДЮСШ (стадіон))</t>
  </si>
  <si>
    <t>вул. Незалежності, 14</t>
  </si>
  <si>
    <t>Управління освіти, сім'ї, молоді та спорту (ЗЗСО №1)</t>
  </si>
  <si>
    <t>вул. Незалежності, 2</t>
  </si>
  <si>
    <t>Управління освіти, сім'ї, молоді та спорту (ЗЗСО №4)</t>
  </si>
  <si>
    <t>вул. Ізмаїльська, 130</t>
  </si>
  <si>
    <t>Управління освіти, сім'ї, молоді та спорту (ЗДО №5)</t>
  </si>
  <si>
    <t>вул. Ізмаїльська, 116</t>
  </si>
  <si>
    <t>вул. Лікарняна, 8</t>
  </si>
  <si>
    <t>пров. Франко, 15</t>
  </si>
  <si>
    <t>пров. Вокзальний, 5</t>
  </si>
  <si>
    <t>вул. Шевченко, 60</t>
  </si>
  <si>
    <t>вул. Шабська, 51Б</t>
  </si>
  <si>
    <t>вул. Шабська, 51А</t>
  </si>
  <si>
    <t>вул. Франко, 22</t>
  </si>
  <si>
    <t>вул. Франко, 20</t>
  </si>
  <si>
    <t>вул. Франко, 16</t>
  </si>
  <si>
    <t>вул. Франко, 14</t>
  </si>
  <si>
    <t>вул. Сонячна, 23</t>
  </si>
  <si>
    <t>вул. Сонячна, 21</t>
  </si>
  <si>
    <t>вул. Сонячна, 19А</t>
  </si>
  <si>
    <t>вул. Сонячна, 19</t>
  </si>
  <si>
    <t>вул. Сонячна, 14</t>
  </si>
  <si>
    <t>вул. Сонячна, 13Б</t>
  </si>
  <si>
    <t>вул. Сонячна, 13А</t>
  </si>
  <si>
    <t>вул. Сонячна, 13</t>
  </si>
  <si>
    <t>вул. Сонячна, 12А</t>
  </si>
  <si>
    <t>вул. Сонячна, 12</t>
  </si>
  <si>
    <t>вул. Сонячна, 11Б</t>
  </si>
  <si>
    <t>вул. Сонячна, 11А</t>
  </si>
  <si>
    <t>вул. Сонячна, 9А</t>
  </si>
  <si>
    <t>вул. Сонячна, 9</t>
  </si>
  <si>
    <t>вул. Сонячна, 7В</t>
  </si>
  <si>
    <t>вул. Сонячна, 7Б</t>
  </si>
  <si>
    <t>вул. Сонячна, 7А</t>
  </si>
  <si>
    <t>вул. Сонячна, 6Б</t>
  </si>
  <si>
    <t>вул. Сонячна, 6А</t>
  </si>
  <si>
    <t>вул. Сонячна, 5В</t>
  </si>
  <si>
    <t>вул. Сонячна, 5Б</t>
  </si>
  <si>
    <t>вул. Свято-Георгіївська, 42А</t>
  </si>
  <si>
    <t>вул. Провадійська, 27</t>
  </si>
  <si>
    <t>вул. Провадійська, 16</t>
  </si>
  <si>
    <t>вул. Провадійська, 15А</t>
  </si>
  <si>
    <t>вул. Провадійська, 15</t>
  </si>
  <si>
    <t>вул. Провадійська, 14</t>
  </si>
  <si>
    <t>вул. Провадійська, 10А</t>
  </si>
  <si>
    <t>вул. Портова, 12</t>
  </si>
  <si>
    <t>вул. Портова, 8А</t>
  </si>
  <si>
    <t>вул. Портова, 8</t>
  </si>
  <si>
    <t>вул. Портова, 6</t>
  </si>
  <si>
    <t>вул. Портова, 4</t>
  </si>
  <si>
    <t>вул. Портова, 2</t>
  </si>
  <si>
    <t>вул. Плавнена, 97</t>
  </si>
  <si>
    <t>вул. Плавнена, 64В</t>
  </si>
  <si>
    <t>вул. Плавнена, 64Б</t>
  </si>
  <si>
    <t>вул. Плавнена, 64А</t>
  </si>
  <si>
    <t>вул. Південна, 56Б</t>
  </si>
  <si>
    <t>вул. Південна, 56А</t>
  </si>
  <si>
    <t>вул. Південна, 23</t>
  </si>
  <si>
    <t>вул. Південна, 14Е</t>
  </si>
  <si>
    <t>вул. Південна, 14Д</t>
  </si>
  <si>
    <t>вул. Південна, 14А</t>
  </si>
  <si>
    <t>вул. Південна, 14</t>
  </si>
  <si>
    <t>вул. Південна, 13А</t>
  </si>
  <si>
    <t>вул. Південна, 12Г</t>
  </si>
  <si>
    <t>вул. Південна, 12Б</t>
  </si>
  <si>
    <t>вул. Південна, 12А</t>
  </si>
  <si>
    <t>вул. Південна, 12</t>
  </si>
  <si>
    <t>вул. Південна, 7А</t>
  </si>
  <si>
    <t>вул. Південна, 7</t>
  </si>
  <si>
    <t>вул. Південна, 5</t>
  </si>
  <si>
    <t>вул. Перемоги, 34</t>
  </si>
  <si>
    <t>вул. Перемоги, 33Б</t>
  </si>
  <si>
    <t>вул. Перемоги, 33А</t>
  </si>
  <si>
    <t>вул. Перемоги, 33</t>
  </si>
  <si>
    <t>вул. Перемоги, 30</t>
  </si>
  <si>
    <t>вул. Перемоги, 29</t>
  </si>
  <si>
    <t>вул. Перемоги, 28</t>
  </si>
  <si>
    <t>вул. Перемоги, 25Д</t>
  </si>
  <si>
    <t>вул. Перемоги, 25Г</t>
  </si>
  <si>
    <t>вул. Перемоги, 25В</t>
  </si>
  <si>
    <t>вул. Перемоги, 25Б</t>
  </si>
  <si>
    <t>вул. Перемоги, 25А</t>
  </si>
  <si>
    <t>вул. Перемоги, 24В</t>
  </si>
  <si>
    <t>вул. Перемоги, 24Б</t>
  </si>
  <si>
    <t>вул. Перемоги, 23Б</t>
  </si>
  <si>
    <t>вул. Перемоги, 23А</t>
  </si>
  <si>
    <t>вул. Перемоги, 22</t>
  </si>
  <si>
    <t>вул. Перемоги, 21</t>
  </si>
  <si>
    <t>вул. Перемоги, 20Г</t>
  </si>
  <si>
    <t>вул. Перемоги, 19</t>
  </si>
  <si>
    <t>вул. Перемоги, 16</t>
  </si>
  <si>
    <t>вул. Перемоги, 14А</t>
  </si>
  <si>
    <t>вул. Перемоги, 14</t>
  </si>
  <si>
    <t>вул. Перемоги, 13</t>
  </si>
  <si>
    <t>вул. Перемоги, 12</t>
  </si>
  <si>
    <t>вул. Перемоги, 8А</t>
  </si>
  <si>
    <t>вул. Перемоги, 8</t>
  </si>
  <si>
    <t>вул. Перемоги, 7</t>
  </si>
  <si>
    <t>вул. Перемоги, 6</t>
  </si>
  <si>
    <t>вул. Перемоги, 4А</t>
  </si>
  <si>
    <t>вул. Перемоги, 4</t>
  </si>
  <si>
    <t>вул. Перемоги, 3Б</t>
  </si>
  <si>
    <t>вул. Перемоги, 3А</t>
  </si>
  <si>
    <t>вул. Паркова, 64</t>
  </si>
  <si>
    <t>вул. Паркова, 20</t>
  </si>
  <si>
    <t>вул. Паркова, 15Б</t>
  </si>
  <si>
    <t>вул. Паркова, 15</t>
  </si>
  <si>
    <t>вул. Паркова, 8Б</t>
  </si>
  <si>
    <t>вул. Паркова, 8А</t>
  </si>
  <si>
    <t>вул. Паркова, 4А</t>
  </si>
  <si>
    <t>вул. Паркова, 4</t>
  </si>
  <si>
    <t>вул. Олімпійська, 46</t>
  </si>
  <si>
    <t>вул. Мира, 6</t>
  </si>
  <si>
    <t>вул. Мира, 5Д</t>
  </si>
  <si>
    <t>вул. Мира, 5</t>
  </si>
  <si>
    <t>вул. Мира, 4</t>
  </si>
  <si>
    <t>вул. Маршала Бірюзова, 4</t>
  </si>
  <si>
    <t>вул. Ломоносова, 2Б</t>
  </si>
  <si>
    <t>вул. Ломоносова, 2А</t>
  </si>
  <si>
    <t>вул. Лікарняна, 16</t>
  </si>
  <si>
    <t>вул. Ізмаїльська, 176</t>
  </si>
  <si>
    <t>вул. Ізмаїльська, 149А</t>
  </si>
  <si>
    <t>вул. Ізмаїльська, 145А</t>
  </si>
  <si>
    <t>вул. Ізмаїльська, 139А</t>
  </si>
  <si>
    <t>вул. Ізмаїльська, 139</t>
  </si>
  <si>
    <t>вул. Ізмаїльська, 135А</t>
  </si>
  <si>
    <t>вул. Ізмаїльська, 135</t>
  </si>
  <si>
    <t>вул. Ізмаїльська, 133А</t>
  </si>
  <si>
    <t>вул. Ізмаїльська, 133</t>
  </si>
  <si>
    <t>вул. Ізмаїльська, 131А</t>
  </si>
  <si>
    <t>вул. Ізмаїльська, 131</t>
  </si>
  <si>
    <t>вул. Ізмаїльська, 129А</t>
  </si>
  <si>
    <t>вул. Ізмаїльська, 127А</t>
  </si>
  <si>
    <t>вул. Ізмаїльська, 125А</t>
  </si>
  <si>
    <t>вул. Військової Слави, 16</t>
  </si>
  <si>
    <t>вул. Військової Слави, 4А</t>
  </si>
  <si>
    <t>вул. Військової Слави, 4</t>
  </si>
  <si>
    <t>пров. Франко, 17</t>
  </si>
  <si>
    <t>вул. Шевченко, 46А</t>
  </si>
  <si>
    <t>вул. Пушкіна, 18Б</t>
  </si>
  <si>
    <t>вул. Миколаївська, 8Б</t>
  </si>
  <si>
    <t>вул. Миколаївська, 8А</t>
  </si>
  <si>
    <t>пров. Новосадовий, 17</t>
  </si>
  <si>
    <t>вул. Шабська, 1Б</t>
  </si>
  <si>
    <t>вул. Шабська, 1А</t>
  </si>
  <si>
    <t>вул. Франко, 7</t>
  </si>
  <si>
    <t>вул. Франко, 5</t>
  </si>
  <si>
    <t>вул. Франко, 3</t>
  </si>
  <si>
    <t>вул. Франко, 1</t>
  </si>
  <si>
    <t>вул. Першотравнева, 13</t>
  </si>
  <si>
    <t>вул. Першотравнева, 11</t>
  </si>
  <si>
    <t>вул. Першотравнева, 4</t>
  </si>
  <si>
    <t>вул. Михайлівська, 5</t>
  </si>
  <si>
    <t>вул. Миколаївська, 42</t>
  </si>
  <si>
    <t>вул. Казацька, 51</t>
  </si>
  <si>
    <t>вул. Казацька, 44</t>
  </si>
  <si>
    <t>вул. Захисників України, 11</t>
  </si>
  <si>
    <t>вул. Єврейська, 34</t>
  </si>
  <si>
    <t>вул. Виноградна, 5А</t>
  </si>
  <si>
    <t>вул. Франко, 38</t>
  </si>
  <si>
    <t>вул. Франко, 36</t>
  </si>
  <si>
    <t>вул. Франко, 34</t>
  </si>
  <si>
    <t>вул. Франко, 32</t>
  </si>
  <si>
    <t>вул. Франко, 30</t>
  </si>
  <si>
    <t>вул. Тімірязєва, 15</t>
  </si>
  <si>
    <t>вул. Першотравнева, 21</t>
  </si>
  <si>
    <t>вул. Першотравнева, 19</t>
  </si>
  <si>
    <t>вул. Першотравнева, 17</t>
  </si>
  <si>
    <t>вул. Першотравнева, 15</t>
  </si>
  <si>
    <t>вул. Паркова, 8Г</t>
  </si>
  <si>
    <t>вул. Незалежності, 8</t>
  </si>
  <si>
    <t>вул. Московська, 33</t>
  </si>
  <si>
    <t>вул. Московська, 31</t>
  </si>
  <si>
    <t>вул. Московська, 20А</t>
  </si>
  <si>
    <t>вул. Московська, 18</t>
  </si>
  <si>
    <t>вул. Михайлівська, 16</t>
  </si>
  <si>
    <t>вул. Мира, 2А</t>
  </si>
  <si>
    <t>вул. Мира, 2</t>
  </si>
  <si>
    <t>вул. Миколаївська, 47</t>
  </si>
  <si>
    <t>вул. Миколаївська, 45А</t>
  </si>
  <si>
    <t>вул. Миколаївська, 22</t>
  </si>
  <si>
    <t>вул. Маяковського, 8А</t>
  </si>
  <si>
    <t>вул. Маршала Бірюзова, 14</t>
  </si>
  <si>
    <t>вул. Маршала Бірюзова, 13</t>
  </si>
  <si>
    <t>вул. Ізмаїльська, 64А</t>
  </si>
  <si>
    <t>вул. Єврейська, 23</t>
  </si>
  <si>
    <t>пров. Франко, 18</t>
  </si>
  <si>
    <t>пров. Франко, 16</t>
  </si>
  <si>
    <t>пров. Франко, 14</t>
  </si>
  <si>
    <t>пров. Франко, 8</t>
  </si>
  <si>
    <t>пров. Франко, 4А</t>
  </si>
  <si>
    <t>пров. Франко, 4</t>
  </si>
  <si>
    <t>пров. Франко, 2А</t>
  </si>
  <si>
    <t>пров. Франко, 2</t>
  </si>
  <si>
    <t>пров. Франко, 1</t>
  </si>
  <si>
    <t>пров. Пудивітра, 9</t>
  </si>
  <si>
    <t>пров. Пудивітра, 7</t>
  </si>
  <si>
    <t>пров. Пудивітра, 5</t>
  </si>
  <si>
    <t>пров. Портовий, 6</t>
  </si>
  <si>
    <t>пров. Портовий, 4Б</t>
  </si>
  <si>
    <t>пров. Портовий, 4А</t>
  </si>
  <si>
    <t>пров. Портовий, 2</t>
  </si>
  <si>
    <t>пров. Офіцерський, 6</t>
  </si>
  <si>
    <t>пров. Новосадовий, 10</t>
  </si>
  <si>
    <t>пров. Ломоносова, 4</t>
  </si>
  <si>
    <t>пров. Затишний, 1</t>
  </si>
  <si>
    <t>пров. Дальній, 2</t>
  </si>
  <si>
    <t>пров. Вокзальний, 7</t>
  </si>
  <si>
    <t>пров. Вокзальний, 4А</t>
  </si>
  <si>
    <t>пров. Вокзальний, 4</t>
  </si>
  <si>
    <t>пров. Вокзальний, 2А</t>
  </si>
  <si>
    <t>пров. Вокзальний, 2</t>
  </si>
  <si>
    <t>пров. Вірменський, 6</t>
  </si>
  <si>
    <t>пров. Вірменський, 5А</t>
  </si>
  <si>
    <t>пров. Вірменський, 5</t>
  </si>
  <si>
    <t>пров. Безіменний, 1А</t>
  </si>
  <si>
    <t>пров. Безіменний, 1</t>
  </si>
  <si>
    <t>вул. Шевченко, 60Б</t>
  </si>
  <si>
    <t>вул. Шевченко, 50Г</t>
  </si>
  <si>
    <t>вул. Шевченко, 50В</t>
  </si>
  <si>
    <t>вул. Шевченко, 50Б</t>
  </si>
  <si>
    <t>вул. Шевченко, 50А</t>
  </si>
  <si>
    <t>вул. Шевченко, 31Д</t>
  </si>
  <si>
    <t>вул. Шевченко, 31Г</t>
  </si>
  <si>
    <t>вул. Шевченко, 31В</t>
  </si>
  <si>
    <t>вул. Шевченко, 31Б</t>
  </si>
  <si>
    <t>вул. Шевченко, 31А</t>
  </si>
  <si>
    <t>вул. Шабська, 43</t>
  </si>
  <si>
    <t>вул. Шабська, 38</t>
  </si>
  <si>
    <t>вул. Шабська, 8</t>
  </si>
  <si>
    <t>вул. Шабська, 5</t>
  </si>
  <si>
    <t>вул. Франко, 28</t>
  </si>
  <si>
    <t>вул. Тімірязєва, 32</t>
  </si>
  <si>
    <t>вул. Тімірязєва, 30</t>
  </si>
  <si>
    <t>вул. Тімірязєва, 17</t>
  </si>
  <si>
    <t>вул. Суворова, 9В</t>
  </si>
  <si>
    <t>вул. Суворова, 9Б</t>
  </si>
  <si>
    <t>вул. Суворова, 9А</t>
  </si>
  <si>
    <t>вул. Суворова, 3</t>
  </si>
  <si>
    <t>вул. Сонячна 25В</t>
  </si>
  <si>
    <t>вул. Славянська, 9</t>
  </si>
  <si>
    <t>вул. Славянська, 35</t>
  </si>
  <si>
    <t>вул. Пушкіна, 33Г</t>
  </si>
  <si>
    <t>вул. Пушкіна, 33В</t>
  </si>
  <si>
    <t>вул. Пушкіна, 33</t>
  </si>
  <si>
    <t>вул. Пушкіна, 30</t>
  </si>
  <si>
    <t>вул. Пушкіна, 28</t>
  </si>
  <si>
    <t>вул. Провадійська, 11</t>
  </si>
  <si>
    <t>вул. Провадійська, 9</t>
  </si>
  <si>
    <t>вул. Провадійська, 3</t>
  </si>
  <si>
    <t>вул. Провадійська, 1</t>
  </si>
  <si>
    <t>вул. Портова, 17А</t>
  </si>
  <si>
    <t>вул. Портова, 17</t>
  </si>
  <si>
    <t>вул. Портова, 13</t>
  </si>
  <si>
    <t>вул. Портова, 9</t>
  </si>
  <si>
    <t>вул. Портова, 7Б</t>
  </si>
  <si>
    <t>вул. Портова, 7А</t>
  </si>
  <si>
    <t>вул. Портова, 7</t>
  </si>
  <si>
    <t>вул. Портова, 5</t>
  </si>
  <si>
    <t>вул. Портова, 3</t>
  </si>
  <si>
    <t>вул. Першотравнева, 27</t>
  </si>
  <si>
    <t>вул. Першотравнева, 16</t>
  </si>
  <si>
    <t>вул. Першотравнева, 14</t>
  </si>
  <si>
    <t>вул. Першотравнева, 12</t>
  </si>
  <si>
    <t>вул. Перемоги, 2В</t>
  </si>
  <si>
    <t>вул. Олімпійська, 27Д</t>
  </si>
  <si>
    <t>вул. Олімпійська, 27Г</t>
  </si>
  <si>
    <t>вул. Олімпійська, 27В</t>
  </si>
  <si>
    <t>вул. Олімпійська, 27Б</t>
  </si>
  <si>
    <t>вул. Олімпійська, 27А</t>
  </si>
  <si>
    <t>вул. Незалежності, 34</t>
  </si>
  <si>
    <t>вул. Незалежності, 32</t>
  </si>
  <si>
    <t>вул. Незалежності, 31А</t>
  </si>
  <si>
    <t>вул. Незалежності, 31</t>
  </si>
  <si>
    <t>вул. Незалежності, 29</t>
  </si>
  <si>
    <t>вул. Московська, 26</t>
  </si>
  <si>
    <t>вул. Московська, 24</t>
  </si>
  <si>
    <t>вул. Московська, 14В</t>
  </si>
  <si>
    <t>вул. Московська, 14А</t>
  </si>
  <si>
    <t>вул. Московська, 12В</t>
  </si>
  <si>
    <t>вул. Московська, 12А</t>
  </si>
  <si>
    <t>вул. Михайлівська, 68Е</t>
  </si>
  <si>
    <t>вул. Михайлівська, 68Г</t>
  </si>
  <si>
    <t>вул. Михайлівська, 68Б</t>
  </si>
  <si>
    <t>вул. Михайлівська, 68А</t>
  </si>
  <si>
    <t>вул. Михайлівська, 30</t>
  </si>
  <si>
    <t>вул. Михайлівська, 28</t>
  </si>
  <si>
    <t>вул. Михайлівська, 19</t>
  </si>
  <si>
    <t>вул. Михайлівська, 14</t>
  </si>
  <si>
    <t>вул. Миколаївська, 41</t>
  </si>
  <si>
    <t>вул. Миколаївська, 24А</t>
  </si>
  <si>
    <t>вул. Миколаївська, 18</t>
  </si>
  <si>
    <t>вул. Миколаївська, 7</t>
  </si>
  <si>
    <t>вул. Миколаївська, 5Б</t>
  </si>
  <si>
    <t>вул. Миколаївська, 5А</t>
  </si>
  <si>
    <t>вул. Миколаївська, 1</t>
  </si>
  <si>
    <t>вул. Маршала Бірюзова, 6</t>
  </si>
  <si>
    <t>вул. Лікарняна, 18</t>
  </si>
  <si>
    <t>вул. Лікарняна, 14А</t>
  </si>
  <si>
    <t>вул. Лікарняна, 5А</t>
  </si>
  <si>
    <t>вул. Лікарняна, 5</t>
  </si>
  <si>
    <t>вул. Лікарняна, 4</t>
  </si>
  <si>
    <t>вул. Кутузова, 35Г</t>
  </si>
  <si>
    <t>вул. Кутузова, 35В</t>
  </si>
  <si>
    <t>вул. Кутузова, 35Б</t>
  </si>
  <si>
    <t>вул. Кутузова, 35</t>
  </si>
  <si>
    <t>вул. Кутузова, 34</t>
  </si>
  <si>
    <t>вул. Кутузова, 32А</t>
  </si>
  <si>
    <t>вул. Кутузова, 32</t>
  </si>
  <si>
    <t>вул. Кутузова, 1А</t>
  </si>
  <si>
    <t>вул. Кишинівська, 75</t>
  </si>
  <si>
    <t>вул. Кишинівська, 70</t>
  </si>
  <si>
    <t>вул. Ізмаїльська, 8А</t>
  </si>
  <si>
    <t>вул. Ізмаїльська, 7</t>
  </si>
  <si>
    <t>вул. Ізмаїльська, 5Б</t>
  </si>
  <si>
    <t>вул. Ізмаїльська, 5А</t>
  </si>
  <si>
    <t>вул. Ізмаїльська, 5</t>
  </si>
  <si>
    <t>вул. Захисників України, 16</t>
  </si>
  <si>
    <t>вул. Захисників України, 14А</t>
  </si>
  <si>
    <t>вул. Захисників України, 14</t>
  </si>
  <si>
    <t>вул. Захисників України, 12</t>
  </si>
  <si>
    <t>вул. Жовтнева, 28</t>
  </si>
  <si>
    <t>вул. Жовтнева, 14Б</t>
  </si>
  <si>
    <t>вул. Жовтнева, 14</t>
  </si>
  <si>
    <t>вул. Жовтнева, 8</t>
  </si>
  <si>
    <t>вул. Єврейська, 31Б</t>
  </si>
  <si>
    <t>вул. Єврейська, 25А</t>
  </si>
  <si>
    <t>вул. Єврейська, 25</t>
  </si>
  <si>
    <t>вул. Єврейська, 2Б</t>
  </si>
  <si>
    <t>вул. Єврейська, 2А</t>
  </si>
  <si>
    <t>вул. Гречеська, 20А</t>
  </si>
  <si>
    <t>вул. Гречеська, 20</t>
  </si>
  <si>
    <t>вул. Горького, 32</t>
  </si>
  <si>
    <t>вул. Вірменська, 16А</t>
  </si>
  <si>
    <t>вул. Вірменська, 9Г</t>
  </si>
  <si>
    <t>вул. Вірменська, 9Б</t>
  </si>
  <si>
    <t>вул. Вірменська, 9А</t>
  </si>
  <si>
    <t>вул. Військової Слави, 23А</t>
  </si>
  <si>
    <t>вул. Військової Слави, 21</t>
  </si>
  <si>
    <t>вул. Військової Слави, 9Б</t>
  </si>
  <si>
    <t>вул. Військової Слави, 9А</t>
  </si>
  <si>
    <t>вул. Військової Слави, 9</t>
  </si>
  <si>
    <t>Річна потреба всього, Гкал</t>
  </si>
  <si>
    <t>Максим. тепл. навантаження, Гкал/год</t>
  </si>
  <si>
    <t>Загальна опалювальна площа житлових приміщень (квартир), де надається послуга з постачання теплової енергії, тис.м.кв.</t>
  </si>
  <si>
    <t>Загальна опалювальна площа приміщень житлового будинку усього, тис. м.кв.</t>
  </si>
  <si>
    <t>Категорія споживачів</t>
  </si>
  <si>
    <t>Найменування споживача</t>
  </si>
  <si>
    <t>вул. Незалежності, 47 (гуртож№2)</t>
  </si>
  <si>
    <t>Обсяг відпуску з колекторів</t>
  </si>
  <si>
    <t>умовно-постійна частина (річна абонентська плата) </t>
  </si>
  <si>
    <t>умовно-постійна частина (місячна абонентська плата) </t>
  </si>
  <si>
    <t xml:space="preserve">Транспортування теплової енергії </t>
  </si>
  <si>
    <t>Навантаження</t>
  </si>
  <si>
    <t>виробництво телової енергії</t>
  </si>
  <si>
    <t>транспортування теплової енергії</t>
  </si>
  <si>
    <t>постачаня теплової енергії</t>
  </si>
  <si>
    <t>ПОСЛУГА З ПОСТАЧАННЯ ТЕПЛОВОЇ ЕНЕРГІЇ</t>
  </si>
  <si>
    <t>Обсяг реалізації</t>
  </si>
  <si>
    <t>Обсяг відпуску теплової енергії з колекторів власних генеруючих джерел всього (без ГП)</t>
  </si>
  <si>
    <t xml:space="preserve">Директор </t>
  </si>
  <si>
    <t>Волканов М.М.</t>
  </si>
  <si>
    <t xml:space="preserve">Структура двоставкових тарифів умовно-змінної та умовно-постійної частин витрат на виробництво, транспортування та постачання теплової енергії, послуги з  постачання теплової енергії на плановий період 2020-2021 р.р. </t>
  </si>
  <si>
    <t>Комунальне підприємство "Білгород-Дністровськтеплоенерго"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</si>
</sst>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43" formatCode="_-* #,##0.00\ _₽_-;\-* #,##0.00\ _₽_-;_-* &quot;-&quot;??\ _₽_-;_-@_-"/>
    <numFmt numFmtId="164" formatCode="_-* #,##0_₴_-;\-* #,##0_₴_-;_-* &quot;-&quot;_₴_-;_-@_-"/>
    <numFmt numFmtId="165" formatCode="_-* #,##0.00_₴_-;\-* #,##0.00_₴_-;_-* &quot;-&quot;??_₴_-;_-@_-"/>
    <numFmt numFmtId="166" formatCode="_-* #,##0.00&quot;р.&quot;_-;\-* #,##0.00&quot;р.&quot;_-;_-* &quot;-&quot;??&quot;р.&quot;_-;_-@_-"/>
    <numFmt numFmtId="167" formatCode="_-* #,##0.00_р_._-;\-* #,##0.00_р_._-;_-* &quot;-&quot;??_р_._-;_-@_-"/>
    <numFmt numFmtId="168" formatCode="_-* #,##0.00\ _г_р_н_._-;\-* #,##0.00\ _г_р_н_._-;_-* &quot;-&quot;??\ _г_р_н_._-;_-@_-"/>
    <numFmt numFmtId="169" formatCode="_(* #,##0.00_);_(* \(#,##0.00\);_(* &quot;-&quot;??_);_(@_)"/>
    <numFmt numFmtId="170" formatCode="0.0"/>
    <numFmt numFmtId="171" formatCode="0.00000000"/>
    <numFmt numFmtId="172" formatCode="_-* #,##0\ _к_._-;\-* #,##0\ _к_._-;_-* &quot;-&quot;\ _к_._-;_-@_-"/>
    <numFmt numFmtId="173" formatCode="_-* #,##0.0\ _г_р_н_._-;\-* #,##0.0\ _г_р_н_._-;_-* &quot;-&quot;??\ _г_р_н_._-;_-@_-"/>
    <numFmt numFmtId="174" formatCode="_(* #,##0.00_);_(* \(#,##0.00\);_(* \-??_);_(@_)"/>
    <numFmt numFmtId="175" formatCode="#,##0.000"/>
    <numFmt numFmtId="176" formatCode="0.000"/>
    <numFmt numFmtId="177" formatCode="0.00000"/>
    <numFmt numFmtId="178" formatCode="_-* #,##0.00\ _₴_-;\-* #,##0.00\ _₴_-;_-* &quot;-&quot;??\ _₴_-;_-@_-"/>
    <numFmt numFmtId="179" formatCode="0.0000"/>
    <numFmt numFmtId="180" formatCode="#,##0&quot;р.&quot;;[Red]\-#,##0&quot;р.&quot;"/>
    <numFmt numFmtId="181" formatCode="#,##0.00&quot;р.&quot;;\-#,##0.00&quot;р.&quot;"/>
    <numFmt numFmtId="182" formatCode="_(&quot;$&quot;* #,##0.00_);_(&quot;$&quot;* \(#,##0.00\);_(&quot;$&quot;* &quot;-&quot;??_);_(@_)"/>
    <numFmt numFmtId="183" formatCode="#,##0.00_ ;\-#,##0.00\ "/>
    <numFmt numFmtId="184" formatCode="_-* #,##0.00\ _г_р_н_._-;\-* #,##0.00\ _г_р_н_._-;_-* \-??\ _г_р_н_._-;_-@_-"/>
    <numFmt numFmtId="185" formatCode="&quot;$&quot;#,##0_);\(&quot;$&quot;#,##0\)"/>
    <numFmt numFmtId="186" formatCode="#,##0;\-#,##0;&quot;-&quot;"/>
    <numFmt numFmtId="187" formatCode="#,##0.00;\-#,##0.00;&quot;-&quot;"/>
    <numFmt numFmtId="188" formatCode="#,##0%;\-#,##0%;&quot;- &quot;"/>
    <numFmt numFmtId="189" formatCode="#,##0.0%;\-#,##0.0%;&quot;- &quot;"/>
    <numFmt numFmtId="190" formatCode="#,##0.00%;\-#,##0.00%;&quot;- &quot;"/>
    <numFmt numFmtId="191" formatCode="#,##0.0;\-#,##0.0;&quot;-&quot;"/>
    <numFmt numFmtId="192" formatCode="0%;\(0%\)"/>
    <numFmt numFmtId="193" formatCode="dd\ mmm\ yyyy_);;;&quot;  &quot;@"/>
    <numFmt numFmtId="194" formatCode="[Blue]#,##0;[Blue]\(#,##0\)"/>
    <numFmt numFmtId="195" formatCode="#,##0;\(#,##0\)"/>
    <numFmt numFmtId="196" formatCode="_([$€]* #,##0.00_);_([$€]* \(#,##0.00\);_([$€]* &quot;-&quot;??_);_(@_)"/>
    <numFmt numFmtId="197" formatCode="#,##0_);\(#,##0\);&quot;- &quot;;&quot;  &quot;@"/>
    <numFmt numFmtId="198" formatCode="###\ ##0.000"/>
    <numFmt numFmtId="199" formatCode="0.0_)"/>
    <numFmt numFmtId="200" formatCode="&quot;$&quot;#,##0;[Red]\-&quot;$&quot;#,##0"/>
    <numFmt numFmtId="201" formatCode="&quot;$&quot;#,##0.00;[Red]\-&quot;$&quot;#,##0.00"/>
    <numFmt numFmtId="202" formatCode="\ \ @"/>
    <numFmt numFmtId="203" formatCode="\ \ \ \ @"/>
    <numFmt numFmtId="204" formatCode="_-&quot;$&quot;* #,##0_-;\-&quot;$&quot;* #,##0_-;_-&quot;$&quot;* &quot;-&quot;_-;_-@_-"/>
    <numFmt numFmtId="205" formatCode="_-&quot;$&quot;* #,##0.00_-;\-&quot;$&quot;* #,##0.00_-;_-&quot;$&quot;* &quot;-&quot;??_-;_-@_-"/>
    <numFmt numFmtId="206" formatCode="_-* #,##0.00_₴_-;\-* #,##0.00_₴_-;_-* \-??_₴_-;_-@_-"/>
    <numFmt numFmtId="207" formatCode="0.0;\(0.0\);\ ;\-"/>
    <numFmt numFmtId="208" formatCode="\ #,##0.00&quot;         &quot;;\-#,##0.00&quot;         &quot;;&quot; -&quot;#&quot;         &quot;;@\ "/>
    <numFmt numFmtId="209" formatCode="\ #,##0.00\ ;&quot; (&quot;#,##0.00\);&quot; -&quot;#\ ;@\ "/>
    <numFmt numFmtId="210" formatCode="_(\$* #,##0.00_);_(\$* \(#,##0.00\);_(\$* \-??_);_(@_)"/>
    <numFmt numFmtId="211" formatCode="_-* #,##0.00_р_._-;\-* #,##0.00_р_._-;_-* \-??_р_._-;_-@_-"/>
    <numFmt numFmtId="212" formatCode="0.000000"/>
    <numFmt numFmtId="213" formatCode="0.0000000"/>
  </numFmts>
  <fonts count="19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name val="Arial Cyr"/>
      <charset val="204"/>
    </font>
    <font>
      <b/>
      <sz val="9"/>
      <color indexed="81"/>
      <name val="Tahoma"/>
      <family val="2"/>
      <charset val="204"/>
    </font>
    <font>
      <sz val="10"/>
      <name val="Arial"/>
      <family val="2"/>
      <charset val="204"/>
    </font>
    <font>
      <sz val="10"/>
      <name val="Arial Cyr"/>
    </font>
    <font>
      <sz val="10"/>
      <color theme="1"/>
      <name val="Times New Roman"/>
      <family val="1"/>
      <charset val="204"/>
    </font>
    <font>
      <sz val="11"/>
      <color theme="1"/>
      <name val="Times New Roman"/>
      <family val="1"/>
      <charset val="204"/>
    </font>
    <font>
      <sz val="12"/>
      <color theme="1"/>
      <name val="Times New Roman"/>
      <family val="1"/>
      <charset val="204"/>
    </font>
    <font>
      <b/>
      <sz val="10"/>
      <color theme="1"/>
      <name val="Times New Roman"/>
      <family val="1"/>
      <charset val="204"/>
    </font>
    <font>
      <sz val="10"/>
      <name val="Times New Roman"/>
      <family val="1"/>
      <charset val="204"/>
    </font>
    <font>
      <b/>
      <sz val="11"/>
      <color theme="1"/>
      <name val="Times New Roman"/>
      <family val="1"/>
      <charset val="204"/>
    </font>
    <font>
      <sz val="11"/>
      <color theme="1"/>
      <name val="Calibri"/>
      <family val="2"/>
      <scheme val="minor"/>
    </font>
    <font>
      <sz val="11"/>
      <color indexed="8"/>
      <name val="Calibri"/>
      <family val="2"/>
      <charset val="204"/>
    </font>
    <font>
      <sz val="11"/>
      <color indexed="8"/>
      <name val="Calibri"/>
      <family val="2"/>
    </font>
    <font>
      <sz val="11"/>
      <color indexed="9"/>
      <name val="Calibri"/>
      <family val="2"/>
    </font>
    <font>
      <sz val="11"/>
      <color indexed="9"/>
      <name val="Calibri"/>
      <family val="2"/>
      <charset val="204"/>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62"/>
      <name val="Calibri"/>
      <family val="2"/>
      <charset val="204"/>
    </font>
    <font>
      <sz val="10"/>
      <name val="Arial Cyr"/>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2"/>
      <name val="Courier"/>
      <family val="1"/>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rgb="FFFF0000"/>
      <name val="Calibri"/>
      <family val="2"/>
      <charset val="204"/>
      <scheme val="minor"/>
    </font>
    <font>
      <b/>
      <sz val="12"/>
      <color theme="1"/>
      <name val="Times New Roman"/>
      <family val="1"/>
      <charset val="204"/>
    </font>
    <font>
      <sz val="10"/>
      <color theme="1"/>
      <name val="Calibri"/>
      <family val="2"/>
      <scheme val="minor"/>
    </font>
    <font>
      <sz val="10"/>
      <color rgb="FFFF0000"/>
      <name val="Times New Roman"/>
      <family val="1"/>
      <charset val="204"/>
    </font>
    <font>
      <sz val="9"/>
      <color indexed="81"/>
      <name val="Tahoma"/>
      <family val="2"/>
      <charset val="204"/>
    </font>
    <font>
      <vertAlign val="superscript"/>
      <sz val="11"/>
      <color theme="1"/>
      <name val="Times New Roman"/>
      <family val="1"/>
      <charset val="204"/>
    </font>
    <font>
      <sz val="12"/>
      <color rgb="FFFF0000"/>
      <name val="Times New Roman"/>
      <family val="1"/>
      <charset val="204"/>
    </font>
    <font>
      <i/>
      <sz val="12"/>
      <color theme="1"/>
      <name val="Times New Roman"/>
      <family val="1"/>
      <charset val="204"/>
    </font>
    <font>
      <b/>
      <sz val="12"/>
      <color rgb="FFFF0000"/>
      <name val="Times New Roman"/>
      <family val="1"/>
      <charset val="204"/>
    </font>
    <font>
      <sz val="11"/>
      <name val="Times New Roman"/>
      <family val="1"/>
      <charset val="204"/>
    </font>
    <font>
      <sz val="11"/>
      <color rgb="FFFF0000"/>
      <name val="Times New Roman"/>
      <family val="1"/>
      <charset val="204"/>
    </font>
    <font>
      <b/>
      <sz val="11"/>
      <color rgb="FF0070C0"/>
      <name val="Times New Roman"/>
      <family val="1"/>
      <charset val="204"/>
    </font>
    <font>
      <b/>
      <u/>
      <sz val="12"/>
      <color theme="1"/>
      <name val="Times New Roman"/>
      <family val="1"/>
      <charset val="204"/>
    </font>
    <font>
      <b/>
      <u/>
      <sz val="11"/>
      <color theme="1"/>
      <name val="Times New Roman"/>
      <family val="1"/>
      <charset val="204"/>
    </font>
    <font>
      <sz val="10"/>
      <color rgb="FF0070C0"/>
      <name val="Times New Roman"/>
      <family val="1"/>
      <charset val="204"/>
    </font>
    <font>
      <b/>
      <sz val="24"/>
      <color indexed="8"/>
      <name val="Arial"/>
      <family val="2"/>
      <charset val="204"/>
    </font>
    <font>
      <sz val="18"/>
      <color indexed="8"/>
      <name val="Arial"/>
      <family val="2"/>
      <charset val="204"/>
    </font>
    <font>
      <sz val="12"/>
      <color indexed="8"/>
      <name val="Arial"/>
      <family val="2"/>
      <charset val="204"/>
    </font>
    <font>
      <sz val="10"/>
      <color indexed="63"/>
      <name val="Arial"/>
      <family val="2"/>
      <charset val="204"/>
    </font>
    <font>
      <i/>
      <sz val="10"/>
      <color indexed="23"/>
      <name val="Arial"/>
      <family val="2"/>
      <charset val="204"/>
    </font>
    <font>
      <sz val="10"/>
      <color indexed="17"/>
      <name val="Arial"/>
      <family val="2"/>
      <charset val="204"/>
    </font>
    <font>
      <sz val="10"/>
      <color indexed="19"/>
      <name val="Arial"/>
      <family val="2"/>
      <charset val="204"/>
    </font>
    <font>
      <sz val="10"/>
      <color indexed="16"/>
      <name val="Arial"/>
      <family val="2"/>
      <charset val="204"/>
    </font>
    <font>
      <b/>
      <sz val="10"/>
      <color indexed="9"/>
      <name val="Arial"/>
      <family val="2"/>
      <charset val="204"/>
    </font>
    <font>
      <b/>
      <sz val="10"/>
      <color indexed="8"/>
      <name val="Arial"/>
      <family val="2"/>
      <charset val="204"/>
    </font>
    <font>
      <sz val="10"/>
      <color indexed="9"/>
      <name val="Arial"/>
      <family val="2"/>
      <charset val="204"/>
    </font>
    <font>
      <b/>
      <sz val="11"/>
      <color rgb="FFFF0000"/>
      <name val="Times New Roman"/>
      <family val="1"/>
      <charset val="204"/>
    </font>
    <font>
      <b/>
      <sz val="10"/>
      <color rgb="FF0070C0"/>
      <name val="Times New Roman"/>
      <family val="1"/>
      <charset val="204"/>
    </font>
    <font>
      <b/>
      <i/>
      <sz val="10"/>
      <color theme="1"/>
      <name val="Times New Roman"/>
      <family val="1"/>
      <charset val="204"/>
    </font>
    <font>
      <sz val="11"/>
      <color rgb="FFFF0000"/>
      <name val="Calibri"/>
      <family val="2"/>
      <scheme val="minor"/>
    </font>
    <font>
      <sz val="10"/>
      <color indexed="8"/>
      <name val="Arial Cyr"/>
      <family val="2"/>
      <charset val="204"/>
    </font>
    <font>
      <b/>
      <sz val="11"/>
      <color rgb="FFFF0000"/>
      <name val="Calibri"/>
      <family val="2"/>
      <charset val="204"/>
      <scheme val="minor"/>
    </font>
    <font>
      <sz val="11"/>
      <color rgb="FF000000"/>
      <name val="Calibri"/>
      <family val="2"/>
      <charset val="204"/>
    </font>
    <font>
      <sz val="11"/>
      <name val="Calibri"/>
      <family val="2"/>
      <charset val="204"/>
      <scheme val="minor"/>
    </font>
    <font>
      <b/>
      <sz val="11"/>
      <name val="Calibri"/>
      <family val="2"/>
      <charset val="204"/>
      <scheme val="minor"/>
    </font>
    <font>
      <b/>
      <sz val="12"/>
      <name val="Times New Roman"/>
      <family val="1"/>
      <charset val="204"/>
    </font>
    <font>
      <sz val="12"/>
      <name val="Times New Roman"/>
      <family val="1"/>
      <charset val="204"/>
    </font>
    <font>
      <b/>
      <sz val="10"/>
      <name val="Times New Roman"/>
      <family val="1"/>
      <charset val="204"/>
    </font>
    <font>
      <u/>
      <sz val="10"/>
      <color indexed="12"/>
      <name val="Arial Cyr"/>
      <charset val="204"/>
    </font>
    <font>
      <b/>
      <sz val="10"/>
      <name val="Arial"/>
      <family val="2"/>
      <charset val="204"/>
    </font>
    <font>
      <sz val="8"/>
      <name val="Times New Roman"/>
      <family val="1"/>
      <charset val="204"/>
    </font>
    <font>
      <i/>
      <sz val="11"/>
      <color rgb="FF7F7F7F"/>
      <name val="Calibri"/>
      <family val="2"/>
      <charset val="204"/>
      <scheme val="minor"/>
    </font>
    <font>
      <sz val="9"/>
      <color indexed="8"/>
      <name val="Times New Roman"/>
      <family val="2"/>
      <charset val="204"/>
    </font>
    <font>
      <b/>
      <sz val="12"/>
      <name val="Arial CE"/>
      <family val="2"/>
      <charset val="238"/>
    </font>
    <font>
      <sz val="10"/>
      <name val="Arial"/>
      <family val="2"/>
    </font>
    <font>
      <sz val="11"/>
      <color indexed="8"/>
      <name val="Calibri"/>
      <family val="2"/>
      <charset val="1"/>
    </font>
    <font>
      <b/>
      <sz val="12"/>
      <name val="Arial"/>
      <family val="2"/>
      <charset val="204"/>
    </font>
    <font>
      <u/>
      <sz val="10"/>
      <color indexed="12"/>
      <name val="Arial"/>
      <family val="2"/>
      <charset val="204"/>
    </font>
    <font>
      <sz val="12"/>
      <name val="Arial"/>
      <family val="2"/>
      <charset val="204"/>
    </font>
    <font>
      <u/>
      <sz val="10"/>
      <color indexed="12"/>
      <name val="Arial Cyr"/>
      <family val="2"/>
      <charset val="204"/>
    </font>
    <font>
      <sz val="11"/>
      <name val="Arial"/>
      <family val="2"/>
      <charset val="204"/>
    </font>
    <font>
      <b/>
      <sz val="14"/>
      <name val="Arial"/>
      <family val="2"/>
      <charset val="204"/>
    </font>
    <font>
      <b/>
      <sz val="11"/>
      <name val="Arial"/>
      <family val="2"/>
      <charset val="204"/>
    </font>
    <font>
      <i/>
      <sz val="11"/>
      <name val="Arial"/>
      <family val="2"/>
      <charset val="204"/>
    </font>
    <font>
      <sz val="8"/>
      <name val="Arial"/>
      <family val="2"/>
      <charset val="204"/>
    </font>
    <font>
      <sz val="10"/>
      <name val="Helv"/>
    </font>
    <font>
      <sz val="10"/>
      <name val="Helv"/>
      <charset val="204"/>
    </font>
    <font>
      <b/>
      <sz val="10"/>
      <name val="MS Sans Serif"/>
      <family val="2"/>
      <charset val="204"/>
    </font>
    <font>
      <sz val="10"/>
      <color indexed="8"/>
      <name val="Arial"/>
      <family val="2"/>
    </font>
    <font>
      <sz val="10"/>
      <color indexed="0"/>
      <name val="MS Sans Serif"/>
      <family val="2"/>
      <charset val="204"/>
    </font>
    <font>
      <sz val="10"/>
      <color indexed="12"/>
      <name val="Arial"/>
      <family val="2"/>
    </font>
    <font>
      <sz val="10"/>
      <name val="FreeSet"/>
      <family val="2"/>
    </font>
    <font>
      <sz val="8"/>
      <name val="Arial"/>
      <family val="2"/>
    </font>
    <font>
      <b/>
      <sz val="12"/>
      <name val="Arial"/>
      <family val="2"/>
    </font>
    <font>
      <sz val="8"/>
      <color indexed="16"/>
      <name val="Arial MT"/>
    </font>
    <font>
      <sz val="10"/>
      <name val="PragmaticaCTT"/>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color indexed="9"/>
      <name val="Arial"/>
      <family val="2"/>
      <charset val="204"/>
    </font>
    <font>
      <sz val="12"/>
      <color indexed="9"/>
      <name val="Bookman Old Style"/>
      <family val="1"/>
      <charset val="204"/>
    </font>
    <font>
      <sz val="11"/>
      <color indexed="9"/>
      <name val="Arial"/>
      <family val="2"/>
      <charset val="204"/>
    </font>
    <font>
      <b/>
      <i/>
      <sz val="11"/>
      <color indexed="9"/>
      <name val="Arial"/>
      <family val="2"/>
      <charset val="204"/>
    </font>
    <font>
      <sz val="10"/>
      <color indexed="14"/>
      <name val="Arial"/>
      <family val="2"/>
    </font>
    <font>
      <sz val="8"/>
      <name val="Arial MT"/>
    </font>
    <font>
      <sz val="10"/>
      <color indexed="10"/>
      <name val="Arial"/>
      <family val="2"/>
    </font>
    <font>
      <sz val="9"/>
      <color indexed="8"/>
      <name val="Arial"/>
      <family val="2"/>
      <charset val="204"/>
    </font>
    <font>
      <sz val="8"/>
      <color indexed="8"/>
      <name val="Arial"/>
      <family val="2"/>
      <charset val="204"/>
    </font>
    <font>
      <sz val="8"/>
      <name val="Pragmatica"/>
    </font>
    <font>
      <sz val="11"/>
      <color indexed="28"/>
      <name val="Calibri"/>
      <family val="2"/>
      <charset val="204"/>
    </font>
    <font>
      <sz val="11"/>
      <color indexed="58"/>
      <name val="Calibri"/>
      <family val="2"/>
      <charset val="204"/>
    </font>
    <font>
      <b/>
      <sz val="15"/>
      <color indexed="21"/>
      <name val="Calibri"/>
      <family val="2"/>
      <charset val="204"/>
    </font>
    <font>
      <b/>
      <sz val="13"/>
      <color indexed="21"/>
      <name val="Calibri"/>
      <family val="2"/>
      <charset val="204"/>
    </font>
    <font>
      <b/>
      <sz val="11"/>
      <color indexed="21"/>
      <name val="Calibri"/>
      <family val="2"/>
      <charset val="204"/>
    </font>
    <font>
      <b/>
      <sz val="18"/>
      <color indexed="21"/>
      <name val="Cambria"/>
      <family val="2"/>
      <charset val="204"/>
    </font>
    <font>
      <b/>
      <sz val="18"/>
      <color indexed="56"/>
      <name val="Cambria"/>
      <family val="2"/>
    </font>
    <font>
      <b/>
      <sz val="18"/>
      <color indexed="62"/>
      <name val="Cambria"/>
      <family val="2"/>
      <charset val="204"/>
    </font>
    <font>
      <b/>
      <sz val="11"/>
      <color indexed="10"/>
      <name val="Calibri"/>
      <family val="2"/>
      <charset val="204"/>
    </font>
    <font>
      <sz val="11"/>
      <color indexed="20"/>
      <name val="Calibri"/>
      <family val="2"/>
    </font>
    <font>
      <sz val="11"/>
      <color indexed="19"/>
      <name val="Calibri"/>
      <family val="2"/>
      <charset val="204"/>
    </font>
    <font>
      <sz val="11"/>
      <name val="Times New Roman Cyr"/>
      <family val="1"/>
      <charset val="204"/>
    </font>
    <font>
      <sz val="12"/>
      <name val="Journal"/>
    </font>
    <font>
      <sz val="10"/>
      <name val="Tahoma"/>
      <family val="2"/>
      <charset val="204"/>
    </font>
    <font>
      <sz val="10"/>
      <name val="Petersburg"/>
    </font>
    <font>
      <b/>
      <sz val="12"/>
      <name val="Arial CE"/>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theme="1"/>
      <name val="Calibri"/>
      <family val="2"/>
      <charset val="1"/>
      <scheme val="minor"/>
    </font>
    <font>
      <sz val="9"/>
      <color theme="1"/>
      <name val="Times New Roman"/>
      <family val="2"/>
      <charset val="204"/>
    </font>
    <font>
      <i/>
      <sz val="10"/>
      <name val="Times New Roman"/>
      <family val="1"/>
      <charset val="204"/>
    </font>
    <font>
      <sz val="12"/>
      <color theme="1"/>
      <name val="Calibri"/>
      <family val="2"/>
      <charset val="204"/>
      <scheme val="minor"/>
    </font>
    <font>
      <b/>
      <sz val="13.5"/>
      <name val="Times New Roman"/>
      <family val="1"/>
      <charset val="204"/>
    </font>
    <font>
      <sz val="5"/>
      <name val="Times New Roman"/>
      <family val="1"/>
      <charset val="204"/>
    </font>
    <font>
      <sz val="12"/>
      <color rgb="FF0070C0"/>
      <name val="Times New Roman"/>
      <family val="1"/>
      <charset val="204"/>
    </font>
    <font>
      <b/>
      <sz val="12"/>
      <color rgb="FF0070C0"/>
      <name val="Times New Roman"/>
      <family val="1"/>
      <charset val="204"/>
    </font>
    <font>
      <b/>
      <sz val="13.5"/>
      <color theme="1"/>
      <name val="Times New Roman"/>
      <family val="1"/>
      <charset val="204"/>
    </font>
    <font>
      <sz val="13.5"/>
      <name val="Calibri"/>
      <family val="2"/>
      <charset val="204"/>
      <scheme val="minor"/>
    </font>
    <font>
      <b/>
      <u/>
      <sz val="12"/>
      <name val="Times New Roman"/>
      <family val="1"/>
      <charset val="204"/>
    </font>
    <font>
      <sz val="11"/>
      <name val="Calibri"/>
      <family val="2"/>
      <scheme val="minor"/>
    </font>
    <font>
      <sz val="11"/>
      <color theme="1"/>
      <name val="Arial"/>
      <family val="2"/>
      <charset val="204"/>
    </font>
    <font>
      <strike/>
      <sz val="11"/>
      <color theme="1"/>
      <name val="Calibri"/>
      <family val="2"/>
      <charset val="204"/>
      <scheme val="minor"/>
    </font>
    <font>
      <strike/>
      <sz val="11"/>
      <color theme="1"/>
      <name val="Times New Roman"/>
      <family val="1"/>
      <charset val="204"/>
    </font>
    <font>
      <b/>
      <strike/>
      <sz val="12"/>
      <name val="Times New Roman"/>
      <family val="1"/>
      <charset val="204"/>
    </font>
    <font>
      <b/>
      <strike/>
      <sz val="11"/>
      <color theme="1"/>
      <name val="Times New Roman"/>
      <family val="1"/>
      <charset val="204"/>
    </font>
    <font>
      <strike/>
      <sz val="12"/>
      <name val="Times New Roman"/>
      <family val="1"/>
      <charset val="204"/>
    </font>
    <font>
      <b/>
      <sz val="11"/>
      <color rgb="FF00B0F0"/>
      <name val="Calibri"/>
      <family val="2"/>
      <charset val="204"/>
      <scheme val="minor"/>
    </font>
    <font>
      <sz val="11"/>
      <color rgb="FF00B050"/>
      <name val="Calibri"/>
      <family val="2"/>
      <charset val="204"/>
      <scheme val="minor"/>
    </font>
    <font>
      <b/>
      <sz val="13.5"/>
      <color rgb="FF00B050"/>
      <name val="Times New Roman"/>
      <family val="1"/>
      <charset val="204"/>
    </font>
    <font>
      <b/>
      <u/>
      <sz val="12"/>
      <name val="Calibri"/>
      <family val="2"/>
      <charset val="204"/>
      <scheme val="minor"/>
    </font>
    <font>
      <b/>
      <sz val="14"/>
      <name val="Times New Roman"/>
      <family val="1"/>
      <charset val="204"/>
    </font>
    <font>
      <sz val="14"/>
      <color theme="1"/>
      <name val="Calibri"/>
      <family val="2"/>
      <scheme val="minor"/>
    </font>
    <font>
      <b/>
      <i/>
      <sz val="10"/>
      <name val="Times New Roman"/>
      <family val="1"/>
      <charset val="204"/>
    </font>
    <font>
      <b/>
      <strike/>
      <sz val="10"/>
      <name val="Times New Roman"/>
      <family val="1"/>
      <charset val="204"/>
    </font>
    <font>
      <strike/>
      <sz val="10"/>
      <name val="Times New Roman"/>
      <family val="1"/>
      <charset val="204"/>
    </font>
    <font>
      <sz val="9"/>
      <name val="Times New Roman"/>
      <family val="1"/>
      <charset val="204"/>
    </font>
    <font>
      <sz val="9"/>
      <name val="Times New Roman"/>
      <family val="1"/>
    </font>
    <font>
      <b/>
      <sz val="11"/>
      <name val="Times New Roman"/>
      <family val="1"/>
      <charset val="204"/>
    </font>
  </fonts>
  <fills count="104">
    <fill>
      <patternFill patternType="none"/>
    </fill>
    <fill>
      <patternFill patternType="gray125"/>
    </fill>
    <fill>
      <patternFill patternType="solid">
        <fgColor rgb="FFFFFF0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rgb="FF00B0F0"/>
        <bgColor indexed="64"/>
      </patternFill>
    </fill>
    <fill>
      <patternFill patternType="solid">
        <fgColor indexed="9"/>
        <bgColor indexed="26"/>
      </patternFill>
    </fill>
    <fill>
      <patternFill patternType="solid">
        <fgColor indexed="47"/>
        <bgColor indexed="41"/>
      </patternFill>
    </fill>
    <fill>
      <patternFill patternType="solid">
        <fgColor indexed="45"/>
        <bgColor indexed="29"/>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48"/>
        <bgColor indexed="44"/>
      </patternFill>
    </fill>
    <fill>
      <patternFill patternType="solid">
        <fgColor indexed="31"/>
        <bgColor indexed="48"/>
      </patternFill>
    </fill>
    <fill>
      <patternFill patternType="solid">
        <fgColor indexed="29"/>
        <bgColor indexed="25"/>
      </patternFill>
    </fill>
    <fill>
      <patternFill patternType="solid">
        <fgColor indexed="45"/>
        <bgColor indexed="61"/>
      </patternFill>
    </fill>
    <fill>
      <patternFill patternType="solid">
        <fgColor indexed="35"/>
        <bgColor indexed="15"/>
      </patternFill>
    </fill>
    <fill>
      <patternFill patternType="solid">
        <fgColor indexed="9"/>
        <bgColor indexed="41"/>
      </patternFill>
    </fill>
    <fill>
      <patternFill patternType="solid">
        <fgColor indexed="46"/>
        <bgColor indexed="61"/>
      </patternFill>
    </fill>
    <fill>
      <patternFill patternType="solid">
        <fgColor indexed="15"/>
        <bgColor indexed="48"/>
      </patternFill>
    </fill>
    <fill>
      <patternFill patternType="solid">
        <fgColor indexed="41"/>
        <bgColor indexed="9"/>
      </patternFill>
    </fill>
    <fill>
      <patternFill patternType="solid">
        <fgColor indexed="47"/>
        <bgColor indexed="22"/>
      </patternFill>
    </fill>
    <fill>
      <patternFill patternType="solid">
        <fgColor indexed="22"/>
        <bgColor indexed="46"/>
      </patternFill>
    </fill>
    <fill>
      <patternFill patternType="solid">
        <fgColor indexed="44"/>
        <bgColor indexed="22"/>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11"/>
        <bgColor indexed="49"/>
      </patternFill>
    </fill>
    <fill>
      <patternFill patternType="solid">
        <fgColor indexed="44"/>
        <bgColor indexed="31"/>
      </patternFill>
    </fill>
    <fill>
      <patternFill patternType="solid">
        <fgColor indexed="51"/>
        <bgColor indexed="13"/>
      </patternFill>
    </fill>
    <fill>
      <patternFill patternType="solid">
        <fgColor indexed="44"/>
        <bgColor indexed="48"/>
      </patternFill>
    </fill>
    <fill>
      <patternFill patternType="solid">
        <fgColor indexed="25"/>
        <bgColor indexed="29"/>
      </patternFill>
    </fill>
    <fill>
      <patternFill patternType="solid">
        <fgColor indexed="22"/>
        <bgColor indexed="35"/>
      </patternFill>
    </fill>
    <fill>
      <patternFill patternType="solid">
        <fgColor indexed="34"/>
        <bgColor indexed="26"/>
      </patternFill>
    </fill>
    <fill>
      <patternFill patternType="solid">
        <fgColor indexed="49"/>
        <bgColor indexed="40"/>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30"/>
        <bgColor indexed="38"/>
      </patternFill>
    </fill>
    <fill>
      <patternFill patternType="solid">
        <fgColor indexed="24"/>
        <bgColor indexed="55"/>
      </patternFill>
    </fill>
    <fill>
      <patternFill patternType="solid">
        <fgColor indexed="52"/>
        <bgColor indexed="25"/>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1"/>
        <bgColor indexed="64"/>
      </patternFill>
    </fill>
    <fill>
      <patternFill patternType="solid">
        <fgColor indexed="62"/>
        <bgColor indexed="56"/>
      </patternFill>
    </fill>
    <fill>
      <patternFill patternType="solid">
        <fgColor indexed="10"/>
        <bgColor indexed="60"/>
      </patternFill>
    </fill>
    <fill>
      <patternFill patternType="solid">
        <fgColor indexed="10"/>
        <bgColor indexed="16"/>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0"/>
        <bgColor indexed="49"/>
      </patternFill>
    </fill>
    <fill>
      <patternFill patternType="solid">
        <fgColor indexed="62"/>
        <bgColor indexed="28"/>
      </patternFill>
    </fill>
    <fill>
      <patternFill patternType="solid">
        <fgColor indexed="50"/>
        <bgColor indexed="23"/>
      </patternFill>
    </fill>
    <fill>
      <patternFill patternType="solid">
        <fgColor indexed="57"/>
        <bgColor indexed="38"/>
      </patternFill>
    </fill>
    <fill>
      <patternFill patternType="solid">
        <fgColor indexed="54"/>
        <bgColor indexed="28"/>
      </patternFill>
    </fill>
    <fill>
      <patternFill patternType="solid">
        <fgColor indexed="53"/>
        <bgColor indexed="25"/>
      </patternFill>
    </fill>
    <fill>
      <patternFill patternType="solid">
        <fgColor indexed="55"/>
        <bgColor indexed="24"/>
      </patternFill>
    </fill>
    <fill>
      <patternFill patternType="solid">
        <fgColor indexed="55"/>
        <bgColor indexed="23"/>
      </patternFill>
    </fill>
    <fill>
      <patternFill patternType="solid">
        <fgColor indexed="61"/>
        <bgColor indexed="45"/>
      </patternFill>
    </fill>
    <fill>
      <patternFill patternType="solid">
        <fgColor indexed="26"/>
        <bgColor indexed="34"/>
      </patternFill>
    </fill>
    <fill>
      <patternFill patternType="solid">
        <fgColor indexed="43"/>
        <bgColor indexed="34"/>
      </patternFill>
    </fill>
    <fill>
      <patternFill patternType="solid">
        <fgColor rgb="FFFF000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rgb="FFCC0099"/>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top/>
      <bottom style="thick">
        <color indexed="40"/>
      </bottom>
      <diagonal/>
    </border>
    <border>
      <left/>
      <right/>
      <top/>
      <bottom style="thick">
        <color indexed="15"/>
      </bottom>
      <diagonal/>
    </border>
    <border>
      <left/>
      <right/>
      <top/>
      <bottom style="medium">
        <color indexed="15"/>
      </bottom>
      <diagonal/>
    </border>
    <border>
      <left/>
      <right/>
      <top/>
      <bottom style="double">
        <color indexed="10"/>
      </bottom>
      <diagonal/>
    </border>
    <border>
      <left style="double">
        <color indexed="8"/>
      </left>
      <right style="double">
        <color indexed="8"/>
      </right>
      <top style="double">
        <color indexed="8"/>
      </top>
      <bottom style="double">
        <color indexed="8"/>
      </bottom>
      <diagonal/>
    </border>
    <border>
      <left/>
      <right/>
      <top style="thin">
        <color indexed="40"/>
      </top>
      <bottom style="double">
        <color indexed="40"/>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s>
  <cellStyleXfs count="5442">
    <xf numFmtId="0" fontId="0" fillId="0" borderId="0"/>
    <xf numFmtId="0" fontId="21" fillId="0" borderId="0"/>
    <xf numFmtId="168" fontId="24" fillId="0" borderId="0" applyFont="0" applyFill="0" applyBorder="0" applyAlignment="0" applyProtection="0"/>
    <xf numFmtId="169" fontId="23" fillId="0" borderId="0" applyFont="0" applyFill="0" applyBorder="0" applyAlignment="0" applyProtection="0"/>
    <xf numFmtId="168" fontId="21" fillId="0" borderId="0" applyFont="0" applyFill="0" applyBorder="0" applyAlignment="0" applyProtection="0"/>
    <xf numFmtId="0" fontId="19" fillId="0" borderId="0"/>
    <xf numFmtId="0" fontId="18" fillId="0" borderId="0"/>
    <xf numFmtId="0" fontId="23" fillId="0" borderId="0"/>
    <xf numFmtId="9" fontId="31" fillId="0" borderId="0" applyFont="0" applyFill="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3" borderId="0" applyNumberFormat="0" applyBorder="0" applyAlignment="0" applyProtection="0"/>
    <xf numFmtId="0" fontId="33" fillId="6" borderId="0" applyNumberFormat="0" applyBorder="0" applyAlignment="0" applyProtection="0"/>
    <xf numFmtId="0" fontId="33" fillId="4"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4" borderId="0" applyNumberFormat="0" applyBorder="0" applyAlignment="0" applyProtection="0"/>
    <xf numFmtId="0" fontId="32" fillId="14"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6" borderId="0" applyNumberFormat="0" applyBorder="0" applyAlignment="0" applyProtection="0"/>
    <xf numFmtId="0" fontId="34" fillId="17"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1" borderId="0" applyNumberFormat="0" applyBorder="0" applyAlignment="0" applyProtection="0"/>
    <xf numFmtId="0" fontId="34" fillId="17" borderId="0" applyNumberFormat="0" applyBorder="0" applyAlignment="0" applyProtection="0"/>
    <xf numFmtId="0" fontId="34" fillId="4" borderId="0" applyNumberFormat="0" applyBorder="0" applyAlignment="0" applyProtection="0"/>
    <xf numFmtId="0" fontId="35" fillId="18"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9"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17" borderId="0" applyNumberFormat="0" applyBorder="0" applyAlignment="0" applyProtection="0"/>
    <xf numFmtId="0" fontId="34" fillId="23" borderId="0" applyNumberFormat="0" applyBorder="0" applyAlignment="0" applyProtection="0"/>
    <xf numFmtId="0" fontId="36" fillId="8" borderId="0" applyNumberFormat="0" applyBorder="0" applyAlignment="0" applyProtection="0"/>
    <xf numFmtId="0" fontId="37" fillId="3" borderId="13" applyNumberFormat="0" applyAlignment="0" applyProtection="0"/>
    <xf numFmtId="0" fontId="38" fillId="24" borderId="14" applyNumberFormat="0" applyAlignment="0" applyProtection="0"/>
    <xf numFmtId="0" fontId="32" fillId="0" borderId="0"/>
    <xf numFmtId="0" fontId="39" fillId="0" borderId="0" applyNumberFormat="0" applyFill="0" applyBorder="0" applyAlignment="0" applyProtection="0"/>
    <xf numFmtId="0" fontId="40" fillId="9" borderId="0" applyNumberFormat="0" applyBorder="0" applyAlignment="0" applyProtection="0"/>
    <xf numFmtId="0" fontId="41" fillId="0" borderId="15" applyNumberFormat="0" applyFill="0" applyAlignment="0" applyProtection="0"/>
    <xf numFmtId="0" fontId="42" fillId="0" borderId="16" applyNumberFormat="0" applyFill="0" applyAlignment="0" applyProtection="0"/>
    <xf numFmtId="0" fontId="43" fillId="0" borderId="17" applyNumberFormat="0" applyFill="0" applyAlignment="0" applyProtection="0"/>
    <xf numFmtId="0" fontId="43" fillId="0" borderId="0" applyNumberFormat="0" applyFill="0" applyBorder="0" applyAlignment="0" applyProtection="0"/>
    <xf numFmtId="0" fontId="44" fillId="4" borderId="13" applyNumberFormat="0" applyAlignment="0" applyProtection="0"/>
    <xf numFmtId="0" fontId="45" fillId="0" borderId="18" applyNumberFormat="0" applyFill="0" applyAlignment="0" applyProtection="0"/>
    <xf numFmtId="0" fontId="46" fillId="13" borderId="0" applyNumberFormat="0" applyBorder="0" applyAlignment="0" applyProtection="0"/>
    <xf numFmtId="0" fontId="24" fillId="5" borderId="19" applyNumberFormat="0" applyFont="0" applyAlignment="0" applyProtection="0"/>
    <xf numFmtId="0" fontId="47" fillId="3" borderId="20" applyNumberFormat="0" applyAlignment="0" applyProtection="0"/>
    <xf numFmtId="0" fontId="48" fillId="0" borderId="0" applyNumberFormat="0" applyFill="0" applyBorder="0" applyAlignment="0" applyProtection="0"/>
    <xf numFmtId="0" fontId="49" fillId="0" borderId="21" applyNumberFormat="0" applyFill="0" applyAlignment="0" applyProtection="0"/>
    <xf numFmtId="0" fontId="50"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9" borderId="0" applyNumberFormat="0" applyBorder="0" applyAlignment="0" applyProtection="0"/>
    <xf numFmtId="0" fontId="35" fillId="17" borderId="0" applyNumberFormat="0" applyBorder="0" applyAlignment="0" applyProtection="0"/>
    <xf numFmtId="0" fontId="35" fillId="23" borderId="0" applyNumberFormat="0" applyBorder="0" applyAlignment="0" applyProtection="0"/>
    <xf numFmtId="0" fontId="51" fillId="4" borderId="13" applyNumberFormat="0" applyAlignment="0" applyProtection="0"/>
    <xf numFmtId="9" fontId="52" fillId="0" borderId="0" applyFont="0" applyFill="0" applyBorder="0" applyAlignment="0" applyProtection="0"/>
    <xf numFmtId="0" fontId="53" fillId="11" borderId="20" applyNumberFormat="0" applyAlignment="0" applyProtection="0"/>
    <xf numFmtId="0" fontId="54" fillId="11" borderId="13" applyNumberFormat="0" applyAlignment="0" applyProtection="0"/>
    <xf numFmtId="166" fontId="21" fillId="0" borderId="0" applyFont="0" applyFill="0" applyBorder="0" applyAlignment="0" applyProtection="0"/>
    <xf numFmtId="166" fontId="21" fillId="0" borderId="0" applyFont="0" applyFill="0" applyBorder="0" applyAlignment="0" applyProtection="0"/>
    <xf numFmtId="170" fontId="52" fillId="0" borderId="0" applyFill="0" applyBorder="0" applyAlignment="0" applyProtection="0"/>
    <xf numFmtId="0" fontId="55" fillId="0" borderId="22" applyNumberFormat="0" applyFill="0" applyAlignment="0" applyProtection="0"/>
    <xf numFmtId="0" fontId="55" fillId="0" borderId="22"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xf numFmtId="0" fontId="23" fillId="0" borderId="0"/>
    <xf numFmtId="0" fontId="23" fillId="0" borderId="0"/>
    <xf numFmtId="0" fontId="31" fillId="0" borderId="0"/>
    <xf numFmtId="0" fontId="32" fillId="0" borderId="0"/>
    <xf numFmtId="0" fontId="21" fillId="0" borderId="0"/>
    <xf numFmtId="0" fontId="23" fillId="0" borderId="0"/>
    <xf numFmtId="0" fontId="23" fillId="0" borderId="0"/>
    <xf numFmtId="0" fontId="17" fillId="0" borderId="0"/>
    <xf numFmtId="0" fontId="17" fillId="0" borderId="0"/>
    <xf numFmtId="0" fontId="17" fillId="0" borderId="0"/>
    <xf numFmtId="0" fontId="17" fillId="0" borderId="0"/>
    <xf numFmtId="0" fontId="23" fillId="0" borderId="0"/>
    <xf numFmtId="0" fontId="33" fillId="0" borderId="0"/>
    <xf numFmtId="0" fontId="58" fillId="0" borderId="24" applyNumberFormat="0" applyFill="0" applyAlignment="0" applyProtection="0"/>
    <xf numFmtId="0" fontId="59" fillId="24" borderId="14" applyNumberFormat="0" applyAlignment="0" applyProtection="0"/>
    <xf numFmtId="0" fontId="60" fillId="0" borderId="0" applyNumberFormat="0" applyFill="0" applyBorder="0" applyAlignment="0" applyProtection="0"/>
    <xf numFmtId="0" fontId="61" fillId="13" borderId="0" applyNumberFormat="0" applyBorder="0" applyAlignment="0" applyProtection="0"/>
    <xf numFmtId="0" fontId="32" fillId="0" borderId="0"/>
    <xf numFmtId="0" fontId="62" fillId="0" borderId="0"/>
    <xf numFmtId="0" fontId="62" fillId="0" borderId="0"/>
    <xf numFmtId="0" fontId="62" fillId="0" borderId="0"/>
    <xf numFmtId="0" fontId="62" fillId="0" borderId="0"/>
    <xf numFmtId="0" fontId="29" fillId="0" borderId="0"/>
    <xf numFmtId="0" fontId="29" fillId="0" borderId="0"/>
    <xf numFmtId="0" fontId="29" fillId="0" borderId="0"/>
    <xf numFmtId="0" fontId="21" fillId="0" borderId="0"/>
    <xf numFmtId="0" fontId="31" fillId="0" borderId="0"/>
    <xf numFmtId="0" fontId="17" fillId="0" borderId="0"/>
    <xf numFmtId="0" fontId="17" fillId="0" borderId="0"/>
    <xf numFmtId="0" fontId="17" fillId="0" borderId="0"/>
    <xf numFmtId="0" fontId="17" fillId="0" borderId="0"/>
    <xf numFmtId="0" fontId="17" fillId="0" borderId="0"/>
    <xf numFmtId="0" fontId="21" fillId="0" borderId="0"/>
    <xf numFmtId="0" fontId="23" fillId="0" borderId="0"/>
    <xf numFmtId="0" fontId="21" fillId="0" borderId="0"/>
    <xf numFmtId="0" fontId="23" fillId="0" borderId="0"/>
    <xf numFmtId="0" fontId="23" fillId="0" borderId="0"/>
    <xf numFmtId="0" fontId="17" fillId="0" borderId="0"/>
    <xf numFmtId="0" fontId="17" fillId="0" borderId="0"/>
    <xf numFmtId="0" fontId="17" fillId="0" borderId="0"/>
    <xf numFmtId="0" fontId="17" fillId="0" borderId="0"/>
    <xf numFmtId="0" fontId="17" fillId="0" borderId="0"/>
    <xf numFmtId="0" fontId="17" fillId="0" borderId="0"/>
    <xf numFmtId="0" fontId="21" fillId="0" borderId="0"/>
    <xf numFmtId="0" fontId="31" fillId="0" borderId="0"/>
    <xf numFmtId="0" fontId="21" fillId="0" borderId="0"/>
    <xf numFmtId="0" fontId="21" fillId="0" borderId="0"/>
    <xf numFmtId="0" fontId="21" fillId="0" borderId="0"/>
    <xf numFmtId="0" fontId="21" fillId="0" borderId="0"/>
    <xf numFmtId="0" fontId="21" fillId="0" borderId="0"/>
    <xf numFmtId="0" fontId="17" fillId="0" borderId="0"/>
    <xf numFmtId="0" fontId="32" fillId="0" borderId="0"/>
    <xf numFmtId="0" fontId="31" fillId="0" borderId="0"/>
    <xf numFmtId="0" fontId="24" fillId="0" borderId="0"/>
    <xf numFmtId="0" fontId="17" fillId="0" borderId="0"/>
    <xf numFmtId="0" fontId="21" fillId="0" borderId="0"/>
    <xf numFmtId="0" fontId="23" fillId="0" borderId="0"/>
    <xf numFmtId="0" fontId="21" fillId="0" borderId="0"/>
    <xf numFmtId="0" fontId="23" fillId="0" borderId="0"/>
    <xf numFmtId="0" fontId="52" fillId="0" borderId="0"/>
    <xf numFmtId="0" fontId="17" fillId="0" borderId="0"/>
    <xf numFmtId="0" fontId="17" fillId="0" borderId="0"/>
    <xf numFmtId="0" fontId="17" fillId="0" borderId="0"/>
    <xf numFmtId="0" fontId="17" fillId="0" borderId="0"/>
    <xf numFmtId="0" fontId="23" fillId="0" borderId="0"/>
    <xf numFmtId="0" fontId="23" fillId="0" borderId="0"/>
    <xf numFmtId="0" fontId="32" fillId="0" borderId="0"/>
    <xf numFmtId="0" fontId="23" fillId="0" borderId="0"/>
    <xf numFmtId="0" fontId="23" fillId="0" borderId="0"/>
    <xf numFmtId="0" fontId="32" fillId="0" borderId="0"/>
    <xf numFmtId="0" fontId="23" fillId="0" borderId="0"/>
    <xf numFmtId="0" fontId="23" fillId="0" borderId="0"/>
    <xf numFmtId="0" fontId="32" fillId="0" borderId="0"/>
    <xf numFmtId="0" fontId="23" fillId="0" borderId="0"/>
    <xf numFmtId="0" fontId="32" fillId="0" borderId="0"/>
    <xf numFmtId="0" fontId="32" fillId="0" borderId="0"/>
    <xf numFmtId="0" fontId="32" fillId="0" borderId="0"/>
    <xf numFmtId="0" fontId="23" fillId="0" borderId="0"/>
    <xf numFmtId="0" fontId="33" fillId="0" borderId="0"/>
    <xf numFmtId="0" fontId="21" fillId="0" borderId="0"/>
    <xf numFmtId="0" fontId="17" fillId="0" borderId="0"/>
    <xf numFmtId="0" fontId="17" fillId="0" borderId="0"/>
    <xf numFmtId="0" fontId="17" fillId="0" borderId="0"/>
    <xf numFmtId="0" fontId="17" fillId="0" borderId="0"/>
    <xf numFmtId="0" fontId="21" fillId="0" borderId="0"/>
    <xf numFmtId="0" fontId="17" fillId="0" borderId="0"/>
    <xf numFmtId="0" fontId="17" fillId="0" borderId="0"/>
    <xf numFmtId="0" fontId="33" fillId="0" borderId="0"/>
    <xf numFmtId="0" fontId="17" fillId="0" borderId="0"/>
    <xf numFmtId="0" fontId="24" fillId="0" borderId="0"/>
    <xf numFmtId="0" fontId="33" fillId="0" borderId="0"/>
    <xf numFmtId="0" fontId="62" fillId="0" borderId="0"/>
    <xf numFmtId="0" fontId="33" fillId="0" borderId="0"/>
    <xf numFmtId="0" fontId="31" fillId="0" borderId="0"/>
    <xf numFmtId="0" fontId="23" fillId="0" borderId="0"/>
    <xf numFmtId="0" fontId="23" fillId="0" borderId="0"/>
    <xf numFmtId="0" fontId="23" fillId="0" borderId="0"/>
    <xf numFmtId="0" fontId="33" fillId="0" borderId="0"/>
    <xf numFmtId="0" fontId="52" fillId="0" borderId="0"/>
    <xf numFmtId="0" fontId="63" fillId="8" borderId="0" applyNumberFormat="0" applyBorder="0" applyAlignment="0" applyProtection="0"/>
    <xf numFmtId="0" fontId="64" fillId="0" borderId="0" applyNumberFormat="0" applyFill="0" applyBorder="0" applyAlignment="0" applyProtection="0"/>
    <xf numFmtId="0" fontId="32" fillId="5" borderId="19" applyNumberFormat="0" applyFont="0" applyAlignment="0" applyProtection="0"/>
    <xf numFmtId="9" fontId="23" fillId="0" borderId="0" applyFont="0" applyFill="0" applyBorder="0" applyAlignment="0" applyProtection="0"/>
    <xf numFmtId="9" fontId="32" fillId="0" borderId="0" applyFont="0" applyFill="0" applyBorder="0" applyAlignment="0" applyProtection="0"/>
    <xf numFmtId="9" fontId="52" fillId="0" borderId="0" applyFill="0" applyBorder="0" applyAlignment="0" applyProtection="0"/>
    <xf numFmtId="9" fontId="24" fillId="0" borderId="0" applyFont="0" applyFill="0" applyBorder="0" applyAlignment="0" applyProtection="0"/>
    <xf numFmtId="9" fontId="32" fillId="0" borderId="0" applyFill="0" applyBorder="0" applyAlignment="0" applyProtection="0"/>
    <xf numFmtId="9" fontId="21" fillId="0" borderId="0" applyFont="0" applyFill="0" applyBorder="0" applyAlignment="0" applyProtection="0"/>
    <xf numFmtId="9" fontId="33" fillId="0" borderId="0" applyFont="0" applyFill="0" applyBorder="0" applyAlignment="0" applyProtection="0"/>
    <xf numFmtId="0" fontId="65" fillId="0" borderId="18" applyNumberFormat="0" applyFill="0" applyAlignment="0" applyProtection="0"/>
    <xf numFmtId="0" fontId="66" fillId="0" borderId="0" applyNumberFormat="0" applyFill="0" applyBorder="0" applyAlignment="0" applyProtection="0"/>
    <xf numFmtId="172" fontId="2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7" fontId="3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67" fontId="21" fillId="0" borderId="0" applyFont="0" applyFill="0" applyBorder="0" applyAlignment="0" applyProtection="0"/>
    <xf numFmtId="167" fontId="33" fillId="0" borderId="0" applyFont="0" applyFill="0" applyBorder="0" applyAlignment="0" applyProtection="0"/>
    <xf numFmtId="0" fontId="67" fillId="9" borderId="0" applyNumberFormat="0" applyBorder="0" applyAlignment="0" applyProtection="0"/>
    <xf numFmtId="0" fontId="33" fillId="0" borderId="0"/>
    <xf numFmtId="0" fontId="37" fillId="3" borderId="13" applyNumberFormat="0" applyAlignment="0" applyProtection="0"/>
    <xf numFmtId="0" fontId="44" fillId="4" borderId="13" applyNumberFormat="0" applyAlignment="0" applyProtection="0"/>
    <xf numFmtId="0" fontId="24" fillId="5" borderId="19" applyNumberFormat="0" applyFont="0" applyAlignment="0" applyProtection="0"/>
    <xf numFmtId="0" fontId="47" fillId="3" borderId="20" applyNumberFormat="0" applyAlignment="0" applyProtection="0"/>
    <xf numFmtId="0" fontId="49" fillId="0" borderId="21" applyNumberFormat="0" applyFill="0" applyAlignment="0" applyProtection="0"/>
    <xf numFmtId="0" fontId="17" fillId="0" borderId="0"/>
    <xf numFmtId="0" fontId="17" fillId="0" borderId="0"/>
    <xf numFmtId="0" fontId="31" fillId="0" borderId="0"/>
    <xf numFmtId="0" fontId="17" fillId="0" borderId="0"/>
    <xf numFmtId="0" fontId="31" fillId="0" borderId="0"/>
    <xf numFmtId="0" fontId="16" fillId="0" borderId="0"/>
    <xf numFmtId="0" fontId="92" fillId="0" borderId="0" applyNumberFormat="0" applyFill="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0" borderId="0" applyNumberFormat="0" applyFill="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1" fillId="36" borderId="0" applyNumberFormat="0" applyBorder="0" applyAlignment="0" applyProtection="0"/>
    <xf numFmtId="0" fontId="91" fillId="36" borderId="0" applyNumberFormat="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3" fillId="0" borderId="0" applyNumberFormat="0" applyFill="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6" fillId="38" borderId="13" applyNumberFormat="0" applyAlignment="0" applyProtection="0"/>
    <xf numFmtId="0" fontId="86" fillId="38" borderId="13"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4" fontId="23" fillId="0" borderId="0" applyFill="0" applyBorder="0" applyAlignment="0" applyProtection="0"/>
    <xf numFmtId="165" fontId="31" fillId="0" borderId="0" applyFont="0" applyFill="0" applyBorder="0" applyAlignment="0" applyProtection="0"/>
    <xf numFmtId="0" fontId="15" fillId="0" borderId="0"/>
    <xf numFmtId="0" fontId="98" fillId="0" borderId="0"/>
    <xf numFmtId="0" fontId="100" fillId="0" borderId="0"/>
    <xf numFmtId="0" fontId="14" fillId="0" borderId="0"/>
    <xf numFmtId="0" fontId="106" fillId="0" borderId="0" applyNumberFormat="0" applyFill="0" applyBorder="0" applyAlignment="0" applyProtection="0">
      <alignment vertical="top"/>
      <protection locked="0"/>
    </xf>
    <xf numFmtId="0" fontId="13" fillId="0" borderId="0"/>
    <xf numFmtId="0" fontId="13" fillId="0" borderId="0"/>
    <xf numFmtId="0" fontId="12" fillId="0" borderId="0"/>
    <xf numFmtId="0" fontId="112" fillId="0" borderId="0"/>
    <xf numFmtId="0" fontId="21" fillId="0" borderId="0"/>
    <xf numFmtId="0" fontId="52" fillId="0" borderId="0"/>
    <xf numFmtId="0" fontId="21" fillId="0" borderId="0"/>
    <xf numFmtId="0" fontId="21" fillId="0" borderId="0"/>
    <xf numFmtId="0" fontId="52" fillId="0" borderId="0"/>
    <xf numFmtId="0" fontId="52" fillId="0" borderId="0"/>
    <xf numFmtId="0" fontId="123" fillId="0" borderId="0"/>
    <xf numFmtId="0" fontId="112" fillId="0" borderId="0"/>
    <xf numFmtId="0" fontId="112" fillId="0" borderId="0"/>
    <xf numFmtId="0" fontId="112" fillId="0" borderId="0"/>
    <xf numFmtId="0" fontId="21" fillId="0" borderId="0"/>
    <xf numFmtId="0" fontId="21" fillId="0" borderId="0"/>
    <xf numFmtId="0" fontId="21" fillId="0" borderId="0"/>
    <xf numFmtId="0" fontId="123" fillId="0" borderId="0"/>
    <xf numFmtId="0" fontId="112" fillId="0" borderId="0"/>
    <xf numFmtId="0" fontId="112" fillId="0" borderId="0"/>
    <xf numFmtId="0" fontId="112" fillId="0" borderId="0"/>
    <xf numFmtId="0" fontId="124" fillId="0" borderId="0"/>
    <xf numFmtId="0" fontId="123" fillId="0" borderId="0"/>
    <xf numFmtId="0" fontId="112" fillId="0" borderId="0"/>
    <xf numFmtId="0" fontId="112" fillId="0" borderId="0"/>
    <xf numFmtId="0" fontId="112"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4"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3" fillId="0" borderId="0"/>
    <xf numFmtId="0" fontId="112" fillId="0" borderId="0"/>
    <xf numFmtId="0" fontId="112" fillId="0" borderId="0"/>
    <xf numFmtId="0" fontId="112"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3"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3"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23" fillId="0" borderId="0"/>
    <xf numFmtId="0" fontId="23" fillId="0" borderId="0"/>
    <xf numFmtId="0" fontId="123" fillId="0" borderId="0"/>
    <xf numFmtId="0" fontId="123"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3" fillId="0" borderId="0"/>
    <xf numFmtId="0" fontId="112" fillId="0" borderId="0"/>
    <xf numFmtId="0" fontId="112" fillId="0" borderId="0"/>
    <xf numFmtId="0" fontId="112"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3" fillId="0" borderId="0"/>
    <xf numFmtId="0" fontId="112" fillId="0" borderId="0"/>
    <xf numFmtId="0" fontId="112" fillId="0" borderId="0"/>
    <xf numFmtId="0" fontId="112" fillId="0" borderId="0"/>
    <xf numFmtId="0" fontId="124"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3"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123" fillId="0" borderId="0"/>
    <xf numFmtId="0" fontId="123"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2"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52" fillId="0" borderId="0"/>
    <xf numFmtId="0" fontId="21" fillId="0" borderId="0"/>
    <xf numFmtId="0" fontId="21" fillId="0" borderId="0"/>
    <xf numFmtId="0" fontId="52" fillId="0" borderId="0"/>
    <xf numFmtId="0" fontId="52" fillId="0" borderId="0"/>
    <xf numFmtId="0" fontId="124" fillId="0" borderId="0"/>
    <xf numFmtId="0" fontId="123"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3"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3" fillId="0" borderId="0"/>
    <xf numFmtId="0" fontId="123" fillId="0" borderId="0"/>
    <xf numFmtId="0" fontId="112" fillId="0" borderId="0"/>
    <xf numFmtId="0" fontId="112" fillId="0" borderId="0"/>
    <xf numFmtId="0" fontId="112"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3"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124" fillId="0" borderId="0"/>
    <xf numFmtId="0" fontId="23" fillId="0" borderId="0"/>
    <xf numFmtId="0" fontId="23" fillId="0" borderId="0"/>
    <xf numFmtId="0" fontId="123" fillId="0" borderId="0"/>
    <xf numFmtId="0" fontId="123"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3" fillId="0" borderId="0"/>
    <xf numFmtId="0" fontId="112" fillId="0" borderId="0"/>
    <xf numFmtId="0" fontId="112" fillId="0" borderId="0"/>
    <xf numFmtId="0" fontId="112" fillId="0" borderId="0"/>
    <xf numFmtId="0" fontId="123" fillId="0" borderId="0"/>
    <xf numFmtId="0" fontId="112" fillId="0" borderId="0"/>
    <xf numFmtId="0" fontId="112" fillId="0" borderId="0"/>
    <xf numFmtId="0" fontId="112" fillId="0" borderId="0"/>
    <xf numFmtId="0" fontId="124"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32" fillId="44" borderId="0" applyNumberFormat="0" applyBorder="0" applyAlignment="0" applyProtection="0"/>
    <xf numFmtId="0" fontId="32" fillId="7" borderId="0" applyNumberFormat="0" applyBorder="0" applyAlignment="0" applyProtection="0"/>
    <xf numFmtId="0" fontId="32" fillId="44" borderId="0" applyNumberFormat="0" applyBorder="0" applyAlignment="0" applyProtection="0"/>
    <xf numFmtId="0" fontId="33" fillId="7" borderId="0" applyNumberFormat="0" applyBorder="0" applyAlignment="0" applyProtection="0"/>
    <xf numFmtId="0" fontId="32" fillId="34" borderId="0" applyNumberFormat="0" applyBorder="0" applyAlignment="0" applyProtection="0"/>
    <xf numFmtId="0" fontId="32" fillId="44" borderId="0" applyNumberFormat="0" applyBorder="0" applyAlignment="0" applyProtection="0"/>
    <xf numFmtId="0" fontId="32" fillId="3" borderId="0" applyNumberFormat="0" applyBorder="0" applyAlignment="0" applyProtection="0"/>
    <xf numFmtId="0" fontId="32" fillId="4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45" borderId="0" applyNumberFormat="0" applyBorder="0" applyAlignment="0" applyProtection="0"/>
    <xf numFmtId="0" fontId="32" fillId="8" borderId="0" applyNumberFormat="0" applyBorder="0" applyAlignment="0" applyProtection="0"/>
    <xf numFmtId="0" fontId="32" fillId="45" borderId="0" applyNumberFormat="0" applyBorder="0" applyAlignment="0" applyProtection="0"/>
    <xf numFmtId="0" fontId="33" fillId="8" borderId="0" applyNumberFormat="0" applyBorder="0" applyAlignment="0" applyProtection="0"/>
    <xf numFmtId="0" fontId="32" fillId="46" borderId="0" applyNumberFormat="0" applyBorder="0" applyAlignment="0" applyProtection="0"/>
    <xf numFmtId="0" fontId="32" fillId="45" borderId="0" applyNumberFormat="0" applyBorder="0" applyAlignment="0" applyProtection="0"/>
    <xf numFmtId="0" fontId="32" fillId="4" borderId="0" applyNumberFormat="0" applyBorder="0" applyAlignment="0" applyProtection="0"/>
    <xf numFmtId="0" fontId="32" fillId="4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9" borderId="0" applyNumberFormat="0" applyBorder="0" applyAlignment="0" applyProtection="0"/>
    <xf numFmtId="0" fontId="32" fillId="38" borderId="0" applyNumberFormat="0" applyBorder="0" applyAlignment="0" applyProtection="0"/>
    <xf numFmtId="0" fontId="33" fillId="9"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44" borderId="0" applyNumberFormat="0" applyBorder="0" applyAlignment="0" applyProtection="0"/>
    <xf numFmtId="0" fontId="32" fillId="10" borderId="0" applyNumberFormat="0" applyBorder="0" applyAlignment="0" applyProtection="0"/>
    <xf numFmtId="0" fontId="32" fillId="44" borderId="0" applyNumberFormat="0" applyBorder="0" applyAlignment="0" applyProtection="0"/>
    <xf numFmtId="0" fontId="33" fillId="10" borderId="0" applyNumberFormat="0" applyBorder="0" applyAlignment="0" applyProtection="0"/>
    <xf numFmtId="0" fontId="32" fillId="47" borderId="0" applyNumberFormat="0" applyBorder="0" applyAlignment="0" applyProtection="0"/>
    <xf numFmtId="0" fontId="32" fillId="44" borderId="0" applyNumberFormat="0" applyBorder="0" applyAlignment="0" applyProtection="0"/>
    <xf numFmtId="0" fontId="32" fillId="3" borderId="0" applyNumberFormat="0" applyBorder="0" applyAlignment="0" applyProtection="0"/>
    <xf numFmtId="0" fontId="32" fillId="4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48" borderId="0" applyNumberFormat="0" applyBorder="0" applyAlignment="0" applyProtection="0"/>
    <xf numFmtId="0" fontId="32" fillId="6" borderId="0" applyNumberFormat="0" applyBorder="0" applyAlignment="0" applyProtection="0"/>
    <xf numFmtId="0" fontId="32" fillId="48" borderId="0" applyNumberFormat="0" applyBorder="0" applyAlignment="0" applyProtection="0"/>
    <xf numFmtId="0" fontId="33" fillId="6" borderId="0" applyNumberFormat="0" applyBorder="0" applyAlignment="0" applyProtection="0"/>
    <xf numFmtId="0" fontId="32" fillId="49"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5" borderId="0" applyNumberFormat="0" applyBorder="0" applyAlignment="0" applyProtection="0"/>
    <xf numFmtId="0" fontId="32" fillId="4" borderId="0" applyNumberFormat="0" applyBorder="0" applyAlignment="0" applyProtection="0"/>
    <xf numFmtId="0" fontId="32" fillId="45" borderId="0" applyNumberFormat="0" applyBorder="0" applyAlignment="0" applyProtection="0"/>
    <xf numFmtId="0" fontId="33" fillId="4" borderId="0" applyNumberFormat="0" applyBorder="0" applyAlignment="0" applyProtection="0"/>
    <xf numFmtId="0" fontId="32" fillId="3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7" borderId="0" applyNumberFormat="0" applyBorder="0" applyAlignment="0" applyProtection="0"/>
    <xf numFmtId="0" fontId="32" fillId="50" borderId="0" applyNumberFormat="0" applyBorder="0" applyProtection="0">
      <alignment horizontal="left"/>
    </xf>
    <xf numFmtId="0" fontId="32" fillId="50" borderId="0" applyNumberFormat="0" applyBorder="0" applyProtection="0">
      <alignment horizontal="left"/>
    </xf>
    <xf numFmtId="0" fontId="32" fillId="50" borderId="0" applyNumberFormat="0" applyBorder="0" applyProtection="0">
      <alignment horizontal="left"/>
    </xf>
    <xf numFmtId="0" fontId="32" fillId="50" borderId="0" applyNumberFormat="0" applyBorder="0" applyProtection="0">
      <alignment horizontal="left"/>
    </xf>
    <xf numFmtId="0" fontId="32" fillId="51" borderId="0" applyNumberFormat="0" applyBorder="0" applyProtection="0">
      <alignment horizontal="left"/>
    </xf>
    <xf numFmtId="0" fontId="32" fillId="8" borderId="0" applyNumberFormat="0" applyBorder="0" applyAlignment="0" applyProtection="0"/>
    <xf numFmtId="0" fontId="32" fillId="52" borderId="0" applyNumberFormat="0" applyBorder="0" applyProtection="0">
      <alignment horizontal="left"/>
    </xf>
    <xf numFmtId="0" fontId="32" fillId="52" borderId="0" applyNumberFormat="0" applyBorder="0" applyProtection="0">
      <alignment horizontal="left"/>
    </xf>
    <xf numFmtId="0" fontId="32" fillId="52" borderId="0" applyNumberFormat="0" applyBorder="0" applyProtection="0">
      <alignment horizontal="left"/>
    </xf>
    <xf numFmtId="0" fontId="32" fillId="52" borderId="0" applyNumberFormat="0" applyBorder="0" applyProtection="0">
      <alignment horizontal="left"/>
    </xf>
    <xf numFmtId="0" fontId="32" fillId="53" borderId="0" applyNumberFormat="0" applyBorder="0" applyProtection="0">
      <alignment horizontal="left"/>
    </xf>
    <xf numFmtId="0" fontId="32" fillId="9" borderId="0" applyNumberFormat="0" applyBorder="0" applyAlignment="0" applyProtection="0"/>
    <xf numFmtId="0" fontId="32" fillId="54" borderId="0" applyNumberFormat="0" applyBorder="0" applyProtection="0">
      <alignment horizontal="left"/>
    </xf>
    <xf numFmtId="0" fontId="32" fillId="54" borderId="0" applyNumberFormat="0" applyBorder="0" applyProtection="0">
      <alignment horizontal="left"/>
    </xf>
    <xf numFmtId="0" fontId="32" fillId="54" borderId="0" applyNumberFormat="0" applyBorder="0" applyProtection="0">
      <alignment horizontal="left"/>
    </xf>
    <xf numFmtId="0" fontId="32" fillId="54" borderId="0" applyNumberFormat="0" applyBorder="0" applyProtection="0">
      <alignment horizontal="left"/>
    </xf>
    <xf numFmtId="0" fontId="32" fillId="37" borderId="0" applyNumberFormat="0" applyBorder="0" applyProtection="0">
      <alignment horizontal="left"/>
    </xf>
    <xf numFmtId="0" fontId="32" fillId="10" borderId="0" applyNumberFormat="0" applyBorder="0" applyAlignment="0" applyProtection="0"/>
    <xf numFmtId="0" fontId="32" fillId="55" borderId="0" applyNumberFormat="0" applyBorder="0" applyProtection="0">
      <alignment horizontal="left"/>
    </xf>
    <xf numFmtId="0" fontId="32" fillId="55" borderId="0" applyNumberFormat="0" applyBorder="0" applyProtection="0">
      <alignment horizontal="left"/>
    </xf>
    <xf numFmtId="0" fontId="32" fillId="55" borderId="0" applyNumberFormat="0" applyBorder="0" applyProtection="0">
      <alignment horizontal="left"/>
    </xf>
    <xf numFmtId="0" fontId="32" fillId="55" borderId="0" applyNumberFormat="0" applyBorder="0" applyProtection="0">
      <alignment horizontal="left"/>
    </xf>
    <xf numFmtId="0" fontId="32" fillId="56" borderId="0" applyNumberFormat="0" applyBorder="0" applyProtection="0">
      <alignment horizontal="left"/>
    </xf>
    <xf numFmtId="0" fontId="32" fillId="6" borderId="0" applyNumberFormat="0" applyBorder="0" applyAlignment="0" applyProtection="0"/>
    <xf numFmtId="0" fontId="32" fillId="57" borderId="0" applyNumberFormat="0" applyBorder="0" applyProtection="0">
      <alignment horizontal="left"/>
    </xf>
    <xf numFmtId="0" fontId="32" fillId="57" borderId="0" applyNumberFormat="0" applyBorder="0" applyProtection="0">
      <alignment horizontal="left"/>
    </xf>
    <xf numFmtId="0" fontId="32" fillId="57" borderId="0" applyNumberFormat="0" applyBorder="0" applyProtection="0">
      <alignment horizontal="left"/>
    </xf>
    <xf numFmtId="0" fontId="32" fillId="57" borderId="0" applyNumberFormat="0" applyBorder="0" applyProtection="0">
      <alignment horizontal="left"/>
    </xf>
    <xf numFmtId="0" fontId="32" fillId="48" borderId="0" applyNumberFormat="0" applyBorder="0" applyProtection="0">
      <alignment horizontal="left"/>
    </xf>
    <xf numFmtId="0" fontId="32" fillId="4" borderId="0" applyNumberFormat="0" applyBorder="0" applyAlignment="0" applyProtection="0"/>
    <xf numFmtId="0" fontId="32" fillId="58" borderId="0" applyNumberFormat="0" applyBorder="0" applyProtection="0">
      <alignment horizontal="left"/>
    </xf>
    <xf numFmtId="0" fontId="32" fillId="58" borderId="0" applyNumberFormat="0" applyBorder="0" applyProtection="0">
      <alignment horizontal="left"/>
    </xf>
    <xf numFmtId="0" fontId="32" fillId="58" borderId="0" applyNumberFormat="0" applyBorder="0" applyProtection="0">
      <alignment horizontal="left"/>
    </xf>
    <xf numFmtId="0" fontId="32" fillId="58" borderId="0" applyNumberFormat="0" applyBorder="0" applyProtection="0">
      <alignment horizontal="left"/>
    </xf>
    <xf numFmtId="0" fontId="32" fillId="59" borderId="0" applyNumberFormat="0" applyBorder="0" applyProtection="0">
      <alignment horizontal="left"/>
    </xf>
    <xf numFmtId="0" fontId="32" fillId="60" borderId="0" applyNumberFormat="0" applyBorder="0" applyAlignment="0" applyProtection="0"/>
    <xf numFmtId="0" fontId="32" fillId="14" borderId="0" applyNumberFormat="0" applyBorder="0" applyAlignment="0" applyProtection="0"/>
    <xf numFmtId="0" fontId="32" fillId="60" borderId="0" applyNumberFormat="0" applyBorder="0" applyAlignment="0" applyProtection="0"/>
    <xf numFmtId="0" fontId="33" fillId="14" borderId="0" applyNumberFormat="0" applyBorder="0" applyAlignment="0" applyProtection="0"/>
    <xf numFmtId="0" fontId="32" fillId="61" borderId="0" applyNumberFormat="0" applyBorder="0" applyAlignment="0" applyProtection="0"/>
    <xf numFmtId="0" fontId="32" fillId="60" borderId="0" applyNumberFormat="0" applyBorder="0" applyAlignment="0" applyProtection="0"/>
    <xf numFmtId="0" fontId="32" fillId="11" borderId="0" applyNumberFormat="0" applyBorder="0" applyAlignment="0" applyProtection="0"/>
    <xf numFmtId="0" fontId="32" fillId="60"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2" fillId="12" borderId="0" applyNumberFormat="0" applyBorder="0" applyAlignment="0" applyProtection="0"/>
    <xf numFmtId="0" fontId="32" fillId="63" borderId="0" applyNumberFormat="0" applyBorder="0" applyAlignment="0" applyProtection="0"/>
    <xf numFmtId="0" fontId="33" fillId="12"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4" borderId="0" applyNumberFormat="0" applyBorder="0" applyAlignment="0" applyProtection="0"/>
    <xf numFmtId="0" fontId="32" fillId="15" borderId="0" applyNumberFormat="0" applyBorder="0" applyAlignment="0" applyProtection="0"/>
    <xf numFmtId="0" fontId="32" fillId="64" borderId="0" applyNumberFormat="0" applyBorder="0" applyAlignment="0" applyProtection="0"/>
    <xf numFmtId="0" fontId="33" fillId="15" borderId="0" applyNumberFormat="0" applyBorder="0" applyAlignment="0" applyProtection="0"/>
    <xf numFmtId="0" fontId="32" fillId="65" borderId="0" applyNumberFormat="0" applyBorder="0" applyAlignment="0" applyProtection="0"/>
    <xf numFmtId="0" fontId="32" fillId="64" borderId="0" applyNumberFormat="0" applyBorder="0" applyAlignment="0" applyProtection="0"/>
    <xf numFmtId="0" fontId="32" fillId="13" borderId="0" applyNumberFormat="0" applyBorder="0" applyAlignment="0" applyProtection="0"/>
    <xf numFmtId="0" fontId="32" fillId="64" borderId="0" applyNumberFormat="0" applyBorder="0" applyAlignment="0" applyProtection="0"/>
    <xf numFmtId="0" fontId="32" fillId="64" borderId="0" applyNumberFormat="0" applyBorder="0" applyAlignment="0" applyProtection="0"/>
    <xf numFmtId="0" fontId="32" fillId="60" borderId="0" applyNumberFormat="0" applyBorder="0" applyAlignment="0" applyProtection="0"/>
    <xf numFmtId="0" fontId="32" fillId="10" borderId="0" applyNumberFormat="0" applyBorder="0" applyAlignment="0" applyProtection="0"/>
    <xf numFmtId="0" fontId="32" fillId="60" borderId="0" applyNumberFormat="0" applyBorder="0" applyAlignment="0" applyProtection="0"/>
    <xf numFmtId="0" fontId="33" fillId="10" borderId="0" applyNumberFormat="0" applyBorder="0" applyAlignment="0" applyProtection="0"/>
    <xf numFmtId="0" fontId="32" fillId="47" borderId="0" applyNumberFormat="0" applyBorder="0" applyAlignment="0" applyProtection="0"/>
    <xf numFmtId="0" fontId="32" fillId="60" borderId="0" applyNumberFormat="0" applyBorder="0" applyAlignment="0" applyProtection="0"/>
    <xf numFmtId="0" fontId="32" fillId="11" borderId="0" applyNumberFormat="0" applyBorder="0" applyAlignment="0" applyProtection="0"/>
    <xf numFmtId="0" fontId="32" fillId="60"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6" borderId="0" applyNumberFormat="0" applyBorder="0" applyAlignment="0" applyProtection="0"/>
    <xf numFmtId="0" fontId="32" fillId="14" borderId="0" applyNumberFormat="0" applyBorder="0" applyAlignment="0" applyProtection="0"/>
    <xf numFmtId="0" fontId="32" fillId="66" borderId="0" applyNumberFormat="0" applyBorder="0" applyAlignment="0" applyProtection="0"/>
    <xf numFmtId="0" fontId="33" fillId="14" borderId="0" applyNumberFormat="0" applyBorder="0" applyAlignment="0" applyProtection="0"/>
    <xf numFmtId="0" fontId="32" fillId="61"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61" borderId="0" applyNumberFormat="0" applyBorder="0" applyAlignment="0" applyProtection="0"/>
    <xf numFmtId="0" fontId="32" fillId="61" borderId="0" applyNumberFormat="0" applyBorder="0" applyAlignment="0" applyProtection="0"/>
    <xf numFmtId="0" fontId="32" fillId="45" borderId="0" applyNumberFormat="0" applyBorder="0" applyAlignment="0" applyProtection="0"/>
    <xf numFmtId="0" fontId="32" fillId="16" borderId="0" applyNumberFormat="0" applyBorder="0" applyAlignment="0" applyProtection="0"/>
    <xf numFmtId="0" fontId="32" fillId="45" borderId="0" applyNumberFormat="0" applyBorder="0" applyAlignment="0" applyProtection="0"/>
    <xf numFmtId="0" fontId="33" fillId="16" borderId="0" applyNumberFormat="0" applyBorder="0" applyAlignment="0" applyProtection="0"/>
    <xf numFmtId="0" fontId="32" fillId="67" borderId="0" applyNumberFormat="0" applyBorder="0" applyAlignment="0" applyProtection="0"/>
    <xf numFmtId="0" fontId="32" fillId="45" borderId="0" applyNumberFormat="0" applyBorder="0" applyAlignment="0" applyProtection="0"/>
    <xf numFmtId="0" fontId="32" fillId="4" borderId="0" applyNumberFormat="0" applyBorder="0" applyAlignment="0" applyProtection="0"/>
    <xf numFmtId="0" fontId="32" fillId="4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14" borderId="0" applyNumberFormat="0" applyBorder="0" applyAlignment="0" applyProtection="0"/>
    <xf numFmtId="0" fontId="32" fillId="57" borderId="0" applyNumberFormat="0" applyBorder="0" applyProtection="0">
      <alignment horizontal="left"/>
    </xf>
    <xf numFmtId="0" fontId="32" fillId="57" borderId="0" applyNumberFormat="0" applyBorder="0" applyProtection="0">
      <alignment horizontal="left"/>
    </xf>
    <xf numFmtId="0" fontId="32" fillId="57" borderId="0" applyNumberFormat="0" applyBorder="0" applyProtection="0">
      <alignment horizontal="left"/>
    </xf>
    <xf numFmtId="0" fontId="32" fillId="57" borderId="0" applyNumberFormat="0" applyBorder="0" applyProtection="0">
      <alignment horizontal="left"/>
    </xf>
    <xf numFmtId="0" fontId="32" fillId="68" borderId="0" applyNumberFormat="0" applyBorder="0" applyProtection="0">
      <alignment horizontal="left"/>
    </xf>
    <xf numFmtId="0" fontId="32" fillId="12" borderId="0" applyNumberFormat="0" applyBorder="0" applyAlignment="0" applyProtection="0"/>
    <xf numFmtId="0" fontId="32" fillId="69" borderId="0" applyNumberFormat="0" applyBorder="0" applyProtection="0">
      <alignment horizontal="left"/>
    </xf>
    <xf numFmtId="0" fontId="32" fillId="69" borderId="0" applyNumberFormat="0" applyBorder="0" applyProtection="0">
      <alignment horizontal="left"/>
    </xf>
    <xf numFmtId="0" fontId="32" fillId="69" borderId="0" applyNumberFormat="0" applyBorder="0" applyProtection="0">
      <alignment horizontal="left"/>
    </xf>
    <xf numFmtId="0" fontId="32" fillId="69" borderId="0" applyNumberFormat="0" applyBorder="0" applyProtection="0">
      <alignment horizontal="left"/>
    </xf>
    <xf numFmtId="0" fontId="32" fillId="52" borderId="0" applyNumberFormat="0" applyBorder="0" applyProtection="0">
      <alignment horizontal="left"/>
    </xf>
    <xf numFmtId="0" fontId="32" fillId="15" borderId="0" applyNumberFormat="0" applyBorder="0" applyAlignment="0" applyProtection="0"/>
    <xf numFmtId="0" fontId="32" fillId="54" borderId="0" applyNumberFormat="0" applyBorder="0" applyProtection="0">
      <alignment horizontal="left"/>
    </xf>
    <xf numFmtId="0" fontId="32" fillId="54" borderId="0" applyNumberFormat="0" applyBorder="0" applyProtection="0">
      <alignment horizontal="left"/>
    </xf>
    <xf numFmtId="0" fontId="32" fillId="54" borderId="0" applyNumberFormat="0" applyBorder="0" applyProtection="0">
      <alignment horizontal="left"/>
    </xf>
    <xf numFmtId="0" fontId="32" fillId="54" borderId="0" applyNumberFormat="0" applyBorder="0" applyProtection="0">
      <alignment horizontal="left"/>
    </xf>
    <xf numFmtId="0" fontId="32" fillId="65" borderId="0" applyNumberFormat="0" applyBorder="0" applyProtection="0">
      <alignment horizontal="left"/>
    </xf>
    <xf numFmtId="0" fontId="32" fillId="10" borderId="0" applyNumberFormat="0" applyBorder="0" applyAlignment="0" applyProtection="0"/>
    <xf numFmtId="0" fontId="32" fillId="70" borderId="0" applyNumberFormat="0" applyBorder="0" applyProtection="0">
      <alignment horizontal="left"/>
    </xf>
    <xf numFmtId="0" fontId="32" fillId="70" borderId="0" applyNumberFormat="0" applyBorder="0" applyProtection="0">
      <alignment horizontal="left"/>
    </xf>
    <xf numFmtId="0" fontId="32" fillId="70" borderId="0" applyNumberFormat="0" applyBorder="0" applyProtection="0">
      <alignment horizontal="left"/>
    </xf>
    <xf numFmtId="0" fontId="32" fillId="70" borderId="0" applyNumberFormat="0" applyBorder="0" applyProtection="0">
      <alignment horizontal="left"/>
    </xf>
    <xf numFmtId="0" fontId="32" fillId="56" borderId="0" applyNumberFormat="0" applyBorder="0" applyProtection="0">
      <alignment horizontal="left"/>
    </xf>
    <xf numFmtId="0" fontId="32" fillId="14" borderId="0" applyNumberFormat="0" applyBorder="0" applyAlignment="0" applyProtection="0"/>
    <xf numFmtId="0" fontId="32" fillId="57" borderId="0" applyNumberFormat="0" applyBorder="0" applyProtection="0">
      <alignment horizontal="left"/>
    </xf>
    <xf numFmtId="0" fontId="32" fillId="57" borderId="0" applyNumberFormat="0" applyBorder="0" applyProtection="0">
      <alignment horizontal="left"/>
    </xf>
    <xf numFmtId="0" fontId="32" fillId="57" borderId="0" applyNumberFormat="0" applyBorder="0" applyProtection="0">
      <alignment horizontal="left"/>
    </xf>
    <xf numFmtId="0" fontId="32" fillId="57" borderId="0" applyNumberFormat="0" applyBorder="0" applyProtection="0">
      <alignment horizontal="left"/>
    </xf>
    <xf numFmtId="0" fontId="32" fillId="68" borderId="0" applyNumberFormat="0" applyBorder="0" applyProtection="0">
      <alignment horizontal="left"/>
    </xf>
    <xf numFmtId="0" fontId="32" fillId="16" borderId="0" applyNumberFormat="0" applyBorder="0" applyAlignment="0" applyProtection="0"/>
    <xf numFmtId="0" fontId="32" fillId="71" borderId="0" applyNumberFormat="0" applyBorder="0" applyProtection="0">
      <alignment horizontal="left"/>
    </xf>
    <xf numFmtId="0" fontId="32" fillId="71" borderId="0" applyNumberFormat="0" applyBorder="0" applyProtection="0">
      <alignment horizontal="left"/>
    </xf>
    <xf numFmtId="0" fontId="32" fillId="71" borderId="0" applyNumberFormat="0" applyBorder="0" applyProtection="0">
      <alignment horizontal="left"/>
    </xf>
    <xf numFmtId="0" fontId="32" fillId="71" borderId="0" applyNumberFormat="0" applyBorder="0" applyProtection="0">
      <alignment horizontal="left"/>
    </xf>
    <xf numFmtId="0" fontId="32" fillId="67" borderId="0" applyNumberFormat="0" applyBorder="0" applyProtection="0">
      <alignment horizontal="left"/>
    </xf>
    <xf numFmtId="0" fontId="35" fillId="72" borderId="0" applyNumberFormat="0" applyBorder="0" applyAlignment="0" applyProtection="0"/>
    <xf numFmtId="0" fontId="35" fillId="72" borderId="0" applyNumberFormat="0" applyBorder="0" applyAlignment="0" applyProtection="0"/>
    <xf numFmtId="0" fontId="34" fillId="18" borderId="0" applyNumberFormat="0" applyBorder="0" applyAlignment="0" applyProtection="0"/>
    <xf numFmtId="0" fontId="35" fillId="73" borderId="0" applyNumberFormat="0" applyBorder="0" applyAlignment="0" applyProtection="0"/>
    <xf numFmtId="0" fontId="35" fillId="72" borderId="0" applyNumberFormat="0" applyBorder="0" applyAlignment="0" applyProtection="0"/>
    <xf numFmtId="0" fontId="35" fillId="17"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4" fillId="12"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4" fillId="15" borderId="0" applyNumberFormat="0" applyBorder="0" applyAlignment="0" applyProtection="0"/>
    <xf numFmtId="0" fontId="35" fillId="65" borderId="0" applyNumberFormat="0" applyBorder="0" applyAlignment="0" applyProtection="0"/>
    <xf numFmtId="0" fontId="35" fillId="64" borderId="0" applyNumberFormat="0" applyBorder="0" applyAlignment="0" applyProtection="0"/>
    <xf numFmtId="0" fontId="35" fillId="13"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4" fillId="19" borderId="0" applyNumberFormat="0" applyBorder="0" applyAlignment="0" applyProtection="0"/>
    <xf numFmtId="0" fontId="35" fillId="74" borderId="0" applyNumberFormat="0" applyBorder="0" applyAlignment="0" applyProtection="0"/>
    <xf numFmtId="0" fontId="35" fillId="60" borderId="0" applyNumberFormat="0" applyBorder="0" applyAlignment="0" applyProtection="0"/>
    <xf numFmtId="0" fontId="35" fillId="11" borderId="0" applyNumberFormat="0" applyBorder="0" applyAlignment="0" applyProtection="0"/>
    <xf numFmtId="0" fontId="35" fillId="60"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4" fillId="17"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20" borderId="0" applyNumberFormat="0" applyBorder="0" applyAlignment="0" applyProtection="0"/>
    <xf numFmtId="0" fontId="35" fillId="75" borderId="0" applyNumberFormat="0" applyBorder="0" applyAlignment="0" applyProtection="0"/>
    <xf numFmtId="0" fontId="35" fillId="45" borderId="0" applyNumberFormat="0" applyBorder="0" applyAlignment="0" applyProtection="0"/>
    <xf numFmtId="0" fontId="35" fillId="4" borderId="0" applyNumberFormat="0" applyBorder="0" applyAlignment="0" applyProtection="0"/>
    <xf numFmtId="0" fontId="35" fillId="45"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18" borderId="0" applyNumberFormat="0" applyBorder="0" applyAlignment="0" applyProtection="0"/>
    <xf numFmtId="0" fontId="35" fillId="57" borderId="0" applyNumberFormat="0" applyBorder="0" applyProtection="0">
      <alignment horizontal="left"/>
    </xf>
    <xf numFmtId="0" fontId="35" fillId="57" borderId="0" applyNumberFormat="0" applyBorder="0" applyProtection="0">
      <alignment horizontal="left"/>
    </xf>
    <xf numFmtId="0" fontId="35" fillId="57" borderId="0" applyNumberFormat="0" applyBorder="0" applyProtection="0">
      <alignment horizontal="left"/>
    </xf>
    <xf numFmtId="0" fontId="35" fillId="57" borderId="0" applyNumberFormat="0" applyBorder="0" applyProtection="0">
      <alignment horizontal="left"/>
    </xf>
    <xf numFmtId="0" fontId="35" fillId="76" borderId="0" applyNumberFormat="0" applyBorder="0" applyProtection="0">
      <alignment horizontal="left"/>
    </xf>
    <xf numFmtId="0" fontId="35" fillId="12" borderId="0" applyNumberFormat="0" applyBorder="0" applyAlignment="0" applyProtection="0"/>
    <xf numFmtId="0" fontId="35" fillId="69" borderId="0" applyNumberFormat="0" applyBorder="0" applyProtection="0">
      <alignment horizontal="left"/>
    </xf>
    <xf numFmtId="0" fontId="35" fillId="69" borderId="0" applyNumberFormat="0" applyBorder="0" applyProtection="0">
      <alignment horizontal="left"/>
    </xf>
    <xf numFmtId="0" fontId="35" fillId="69" borderId="0" applyNumberFormat="0" applyBorder="0" applyProtection="0">
      <alignment horizontal="left"/>
    </xf>
    <xf numFmtId="0" fontId="35" fillId="69" borderId="0" applyNumberFormat="0" applyBorder="0" applyProtection="0">
      <alignment horizontal="left"/>
    </xf>
    <xf numFmtId="0" fontId="35" fillId="52" borderId="0" applyNumberFormat="0" applyBorder="0" applyProtection="0">
      <alignment horizontal="left"/>
    </xf>
    <xf numFmtId="0" fontId="35" fillId="15" borderId="0" applyNumberFormat="0" applyBorder="0" applyAlignment="0" applyProtection="0"/>
    <xf numFmtId="0" fontId="35" fillId="54" borderId="0" applyNumberFormat="0" applyBorder="0" applyProtection="0">
      <alignment horizontal="left"/>
    </xf>
    <xf numFmtId="0" fontId="35" fillId="54" borderId="0" applyNumberFormat="0" applyBorder="0" applyProtection="0">
      <alignment horizontal="left"/>
    </xf>
    <xf numFmtId="0" fontId="35" fillId="54" borderId="0" applyNumberFormat="0" applyBorder="0" applyProtection="0">
      <alignment horizontal="left"/>
    </xf>
    <xf numFmtId="0" fontId="35" fillId="54" borderId="0" applyNumberFormat="0" applyBorder="0" applyProtection="0">
      <alignment horizontal="left"/>
    </xf>
    <xf numFmtId="0" fontId="35" fillId="65" borderId="0" applyNumberFormat="0" applyBorder="0" applyProtection="0">
      <alignment horizontal="left"/>
    </xf>
    <xf numFmtId="0" fontId="35" fillId="19" borderId="0" applyNumberFormat="0" applyBorder="0" applyAlignment="0" applyProtection="0"/>
    <xf numFmtId="0" fontId="35" fillId="77" borderId="0" applyNumberFormat="0" applyBorder="0" applyProtection="0">
      <alignment horizontal="left"/>
    </xf>
    <xf numFmtId="0" fontId="35" fillId="77" borderId="0" applyNumberFormat="0" applyBorder="0" applyProtection="0">
      <alignment horizontal="left"/>
    </xf>
    <xf numFmtId="0" fontId="35" fillId="77" borderId="0" applyNumberFormat="0" applyBorder="0" applyProtection="0">
      <alignment horizontal="left"/>
    </xf>
    <xf numFmtId="0" fontId="35" fillId="77" borderId="0" applyNumberFormat="0" applyBorder="0" applyProtection="0">
      <alignment horizontal="left"/>
    </xf>
    <xf numFmtId="0" fontId="35" fillId="74" borderId="0" applyNumberFormat="0" applyBorder="0" applyProtection="0">
      <alignment horizontal="left"/>
    </xf>
    <xf numFmtId="0" fontId="35" fillId="17" borderId="0" applyNumberFormat="0" applyBorder="0" applyAlignment="0" applyProtection="0"/>
    <xf numFmtId="0" fontId="35" fillId="57" borderId="0" applyNumberFormat="0" applyBorder="0" applyProtection="0">
      <alignment horizontal="left"/>
    </xf>
    <xf numFmtId="0" fontId="35" fillId="57" borderId="0" applyNumberFormat="0" applyBorder="0" applyProtection="0">
      <alignment horizontal="left"/>
    </xf>
    <xf numFmtId="0" fontId="35" fillId="57" borderId="0" applyNumberFormat="0" applyBorder="0" applyProtection="0">
      <alignment horizontal="left"/>
    </xf>
    <xf numFmtId="0" fontId="35" fillId="57" borderId="0" applyNumberFormat="0" applyBorder="0" applyProtection="0">
      <alignment horizontal="left"/>
    </xf>
    <xf numFmtId="0" fontId="35" fillId="72" borderId="0" applyNumberFormat="0" applyBorder="0" applyProtection="0">
      <alignment horizontal="left"/>
    </xf>
    <xf numFmtId="0" fontId="35" fillId="20" borderId="0" applyNumberFormat="0" applyBorder="0" applyAlignment="0" applyProtection="0"/>
    <xf numFmtId="0" fontId="35" fillId="52" borderId="0" applyNumberFormat="0" applyBorder="0" applyProtection="0">
      <alignment horizontal="left"/>
    </xf>
    <xf numFmtId="0" fontId="35" fillId="52" borderId="0" applyNumberFormat="0" applyBorder="0" applyProtection="0">
      <alignment horizontal="left"/>
    </xf>
    <xf numFmtId="0" fontId="35" fillId="52" borderId="0" applyNumberFormat="0" applyBorder="0" applyProtection="0">
      <alignment horizontal="left"/>
    </xf>
    <xf numFmtId="0" fontId="35" fillId="52" borderId="0" applyNumberFormat="0" applyBorder="0" applyProtection="0">
      <alignment horizontal="left"/>
    </xf>
    <xf numFmtId="0" fontId="35" fillId="78" borderId="0" applyNumberFormat="0" applyBorder="0" applyProtection="0">
      <alignment horizontal="left"/>
    </xf>
    <xf numFmtId="0" fontId="93" fillId="32" borderId="0" applyNumberFormat="0" applyBorder="0" applyAlignment="0" applyProtection="0"/>
    <xf numFmtId="0" fontId="93" fillId="33" borderId="0" applyNumberFormat="0" applyBorder="0" applyAlignment="0" applyProtection="0"/>
    <xf numFmtId="0" fontId="92" fillId="34" borderId="0" applyNumberFormat="0" applyBorder="0" applyAlignment="0" applyProtection="0"/>
    <xf numFmtId="0" fontId="92" fillId="0" borderId="0" applyNumberFormat="0" applyFill="0" applyBorder="0" applyAlignment="0" applyProtection="0"/>
    <xf numFmtId="0" fontId="90" fillId="35" borderId="0" applyNumberFormat="0" applyBorder="0" applyAlignment="0" applyProtection="0"/>
    <xf numFmtId="0" fontId="36" fillId="8" borderId="0" applyNumberFormat="0" applyBorder="0" applyAlignment="0" applyProtection="0"/>
    <xf numFmtId="185" fontId="125" fillId="0" borderId="12" applyAlignment="0" applyProtection="0"/>
    <xf numFmtId="186" fontId="126" fillId="0" borderId="0" applyFill="0" applyBorder="0" applyAlignment="0"/>
    <xf numFmtId="187" fontId="126" fillId="0" borderId="0" applyFill="0" applyBorder="0" applyAlignment="0"/>
    <xf numFmtId="188" fontId="126" fillId="0" borderId="0" applyFill="0" applyBorder="0" applyAlignment="0"/>
    <xf numFmtId="189" fontId="126" fillId="0" borderId="0" applyFill="0" applyBorder="0" applyAlignment="0"/>
    <xf numFmtId="190" fontId="126" fillId="0" borderId="0" applyFill="0" applyBorder="0" applyAlignment="0"/>
    <xf numFmtId="186" fontId="126" fillId="0" borderId="0" applyFill="0" applyBorder="0" applyAlignment="0"/>
    <xf numFmtId="191" fontId="126" fillId="0" borderId="0" applyFill="0" applyBorder="0" applyAlignment="0"/>
    <xf numFmtId="187" fontId="126" fillId="0" borderId="0" applyFill="0" applyBorder="0" applyAlignment="0"/>
    <xf numFmtId="49" fontId="114" fillId="0" borderId="1">
      <alignment horizontal="center" vertical="center"/>
      <protection locked="0"/>
    </xf>
    <xf numFmtId="183" fontId="29" fillId="0" borderId="27" applyBorder="0" applyAlignment="0">
      <alignment horizontal="right" wrapText="1"/>
    </xf>
    <xf numFmtId="0" fontId="112" fillId="0" borderId="0" applyFont="0" applyFill="0" applyBorder="0" applyAlignment="0" applyProtection="0"/>
    <xf numFmtId="186" fontId="112" fillId="0" borderId="0" applyFont="0" applyFill="0" applyBorder="0" applyAlignment="0" applyProtection="0"/>
    <xf numFmtId="183" fontId="29" fillId="0" borderId="27" applyBorder="0" applyAlignment="0">
      <alignment horizontal="right" wrapText="1"/>
    </xf>
    <xf numFmtId="183" fontId="29" fillId="0" borderId="27" applyBorder="0" applyAlignment="0">
      <alignment horizontal="right" wrapText="1"/>
    </xf>
    <xf numFmtId="183" fontId="29" fillId="0" borderId="27" applyBorder="0" applyAlignment="0">
      <alignment horizontal="right" wrapText="1"/>
    </xf>
    <xf numFmtId="168" fontId="24" fillId="0" borderId="0" applyFont="0" applyFill="0" applyBorder="0" applyAlignment="0" applyProtection="0"/>
    <xf numFmtId="184" fontId="52" fillId="0" borderId="0" applyFill="0" applyBorder="0" applyAlignment="0" applyProtection="0"/>
    <xf numFmtId="208" fontId="52" fillId="0" borderId="0" applyFill="0" applyBorder="0" applyAlignment="0" applyProtection="0"/>
    <xf numFmtId="184" fontId="52" fillId="0" borderId="0" applyFill="0" applyBorder="0" applyAlignment="0" applyProtection="0"/>
    <xf numFmtId="184" fontId="23" fillId="0" borderId="0" applyFill="0" applyBorder="0" applyAlignment="0" applyProtection="0"/>
    <xf numFmtId="168" fontId="24" fillId="0" borderId="0" applyFont="0" applyFill="0" applyBorder="0" applyAlignment="0" applyProtection="0"/>
    <xf numFmtId="183" fontId="29" fillId="0" borderId="27" applyBorder="0" applyAlignment="0">
      <alignment horizontal="right" wrapText="1"/>
    </xf>
    <xf numFmtId="183" fontId="29" fillId="0" borderId="27" applyBorder="0" applyAlignment="0">
      <alignment horizontal="right" wrapText="1"/>
    </xf>
    <xf numFmtId="183" fontId="29" fillId="0" borderId="27" applyBorder="0" applyAlignment="0">
      <alignment horizontal="right" wrapText="1"/>
    </xf>
    <xf numFmtId="183" fontId="29" fillId="0" borderId="27" applyBorder="0" applyAlignment="0">
      <alignment horizontal="right" wrapText="1"/>
    </xf>
    <xf numFmtId="183" fontId="29" fillId="0" borderId="27" applyBorder="0" applyAlignment="0">
      <alignment horizontal="right" wrapText="1"/>
    </xf>
    <xf numFmtId="183" fontId="29" fillId="0" borderId="27" applyBorder="0" applyAlignment="0">
      <alignment horizontal="right" wrapText="1"/>
    </xf>
    <xf numFmtId="183" fontId="29" fillId="0" borderId="27" applyBorder="0" applyAlignment="0">
      <alignment horizontal="right" wrapText="1"/>
    </xf>
    <xf numFmtId="183" fontId="29" fillId="0" borderId="27" applyBorder="0" applyAlignment="0">
      <alignment horizontal="right" wrapText="1"/>
    </xf>
    <xf numFmtId="183" fontId="29" fillId="0" borderId="27" applyBorder="0" applyAlignment="0">
      <alignment horizontal="right" wrapText="1"/>
    </xf>
    <xf numFmtId="183" fontId="29" fillId="0" borderId="27" applyBorder="0" applyAlignment="0">
      <alignment horizontal="right" wrapText="1"/>
    </xf>
    <xf numFmtId="183" fontId="29" fillId="0" borderId="27" applyBorder="0" applyAlignment="0">
      <alignment horizontal="right" wrapText="1"/>
    </xf>
    <xf numFmtId="183" fontId="29" fillId="0" borderId="27" applyBorder="0" applyAlignment="0">
      <alignment horizontal="right" wrapText="1"/>
    </xf>
    <xf numFmtId="183" fontId="29" fillId="0" borderId="27" applyBorder="0" applyAlignment="0">
      <alignment horizontal="right" wrapText="1"/>
    </xf>
    <xf numFmtId="192" fontId="112" fillId="0" borderId="0" applyFont="0" applyFill="0" applyBorder="0" applyAlignment="0" applyProtection="0"/>
    <xf numFmtId="0" fontId="127" fillId="0" borderId="0" applyNumberFormat="0" applyFill="0" applyBorder="0" applyAlignment="0" applyProtection="0"/>
    <xf numFmtId="0" fontId="112" fillId="0" borderId="0" applyFont="0" applyFill="0" applyBorder="0" applyAlignment="0" applyProtection="0"/>
    <xf numFmtId="187" fontId="112" fillId="0" borderId="0" applyFont="0" applyFill="0" applyBorder="0" applyAlignment="0" applyProtection="0"/>
    <xf numFmtId="191" fontId="112" fillId="0" borderId="0" applyFont="0" applyFill="0" applyBorder="0" applyAlignment="0" applyProtection="0"/>
    <xf numFmtId="0" fontId="127" fillId="0" borderId="0" applyNumberFormat="0" applyFill="0" applyBorder="0" applyAlignment="0" applyProtection="0"/>
    <xf numFmtId="193" fontId="112" fillId="0" borderId="0" applyFont="0" applyFill="0" applyBorder="0" applyAlignment="0" applyProtection="0"/>
    <xf numFmtId="14" fontId="126" fillId="0" borderId="0" applyFill="0" applyBorder="0" applyAlignment="0"/>
    <xf numFmtId="49" fontId="23" fillId="0" borderId="1">
      <alignment horizontal="left" vertical="center"/>
      <protection locked="0"/>
    </xf>
    <xf numFmtId="194" fontId="77" fillId="0" borderId="0" applyFont="0" applyFill="0" applyBorder="0" applyAlignment="0" applyProtection="0"/>
    <xf numFmtId="195" fontId="77" fillId="0" borderId="0" applyFont="0" applyFill="0" applyBorder="0" applyAlignment="0" applyProtection="0"/>
    <xf numFmtId="186" fontId="128" fillId="0" borderId="0" applyFill="0" applyBorder="0" applyAlignment="0"/>
    <xf numFmtId="187" fontId="128" fillId="0" borderId="0" applyFill="0" applyBorder="0" applyAlignment="0"/>
    <xf numFmtId="186" fontId="128" fillId="0" borderId="0" applyFill="0" applyBorder="0" applyAlignment="0"/>
    <xf numFmtId="191" fontId="128" fillId="0" borderId="0" applyFill="0" applyBorder="0" applyAlignment="0"/>
    <xf numFmtId="187" fontId="128" fillId="0" borderId="0" applyFill="0" applyBorder="0" applyAlignment="0"/>
    <xf numFmtId="0" fontId="91" fillId="36" borderId="0" applyNumberFormat="0" applyBorder="0" applyAlignment="0" applyProtection="0"/>
    <xf numFmtId="196" fontId="23" fillId="0" borderId="0" applyFont="0" applyFill="0" applyBorder="0" applyAlignment="0" applyProtection="0"/>
    <xf numFmtId="0" fontId="32" fillId="0" borderId="0"/>
    <xf numFmtId="0" fontId="87" fillId="0" borderId="0" applyNumberFormat="0" applyFill="0" applyBorder="0" applyAlignment="0" applyProtection="0"/>
    <xf numFmtId="197" fontId="128" fillId="0" borderId="0" applyNumberFormat="0" applyFill="0" applyBorder="0" applyAlignment="0" applyProtection="0"/>
    <xf numFmtId="198" fontId="129" fillId="0" borderId="0" applyAlignment="0">
      <alignment wrapText="1"/>
    </xf>
    <xf numFmtId="0" fontId="88" fillId="37" borderId="0" applyNumberFormat="0" applyBorder="0" applyAlignment="0" applyProtection="0"/>
    <xf numFmtId="0" fontId="40" fillId="9" borderId="0" applyNumberFormat="0" applyBorder="0" applyAlignment="0" applyProtection="0"/>
    <xf numFmtId="38" fontId="130" fillId="79" borderId="0" applyNumberFormat="0" applyBorder="0" applyAlignment="0" applyProtection="0"/>
    <xf numFmtId="0" fontId="131" fillId="0" borderId="40" applyNumberFormat="0" applyAlignment="0" applyProtection="0">
      <alignment horizontal="left" vertical="center"/>
    </xf>
    <xf numFmtId="0" fontId="131" fillId="0" borderId="40" applyNumberFormat="0" applyAlignment="0" applyProtection="0">
      <alignment horizontal="left" vertical="center"/>
    </xf>
    <xf numFmtId="0" fontId="131" fillId="0" borderId="40" applyNumberFormat="0" applyAlignment="0" applyProtection="0">
      <alignment horizontal="left" vertical="center"/>
    </xf>
    <xf numFmtId="0" fontId="131" fillId="0" borderId="40" applyNumberFormat="0" applyAlignment="0" applyProtection="0">
      <alignment horizontal="left" vertical="center"/>
    </xf>
    <xf numFmtId="0" fontId="131" fillId="0" borderId="40" applyNumberFormat="0" applyAlignment="0" applyProtection="0">
      <alignment horizontal="left" vertical="center"/>
    </xf>
    <xf numFmtId="0" fontId="131" fillId="0" borderId="40" applyNumberFormat="0" applyAlignment="0" applyProtection="0">
      <alignment horizontal="left" vertical="center"/>
    </xf>
    <xf numFmtId="0" fontId="131" fillId="0" borderId="8">
      <alignment horizontal="left" vertical="center"/>
    </xf>
    <xf numFmtId="0" fontId="84" fillId="0" borderId="0" applyNumberFormat="0" applyFill="0" applyBorder="0" applyAlignment="0" applyProtection="0"/>
    <xf numFmtId="0" fontId="41" fillId="0" borderId="15" applyNumberFormat="0" applyFill="0" applyAlignment="0" applyProtection="0"/>
    <xf numFmtId="0" fontId="85" fillId="0" borderId="0" applyNumberFormat="0" applyFill="0" applyBorder="0" applyAlignment="0" applyProtection="0"/>
    <xf numFmtId="0" fontId="42" fillId="0" borderId="16" applyNumberFormat="0" applyFill="0" applyAlignment="0" applyProtection="0"/>
    <xf numFmtId="0" fontId="43" fillId="0" borderId="17" applyNumberFormat="0" applyFill="0" applyAlignment="0" applyProtection="0"/>
    <xf numFmtId="199" fontId="132" fillId="0" borderId="0" applyNumberFormat="0"/>
    <xf numFmtId="0" fontId="115" fillId="0" borderId="0" applyNumberFormat="0" applyFill="0" applyBorder="0" applyAlignment="0" applyProtection="0">
      <alignment vertical="top"/>
      <protection locked="0"/>
    </xf>
    <xf numFmtId="0" fontId="133" fillId="0" borderId="0"/>
    <xf numFmtId="10" fontId="130" fillId="80" borderId="1" applyNumberFormat="0" applyBorder="0" applyAlignment="0" applyProtection="0"/>
    <xf numFmtId="49" fontId="23" fillId="0" borderId="0" applyNumberFormat="0" applyFont="0" applyAlignment="0">
      <alignment vertical="top" wrapText="1"/>
      <protection locked="0"/>
    </xf>
    <xf numFmtId="49" fontId="23" fillId="0" borderId="0" applyNumberFormat="0" applyFont="0" applyAlignment="0">
      <alignment vertical="top" wrapText="1"/>
    </xf>
    <xf numFmtId="49" fontId="23" fillId="0" borderId="0" applyNumberFormat="0" applyFont="0" applyAlignment="0">
      <alignment vertical="top" wrapText="1"/>
    </xf>
    <xf numFmtId="49" fontId="23" fillId="0" borderId="0" applyNumberFormat="0" applyFont="0" applyAlignment="0">
      <alignment vertical="top" wrapText="1"/>
    </xf>
    <xf numFmtId="0" fontId="23" fillId="0" borderId="0" applyNumberFormat="0" applyAlignment="0">
      <protection locked="0"/>
    </xf>
    <xf numFmtId="49" fontId="119" fillId="42" borderId="48">
      <alignment horizontal="left" vertical="center"/>
      <protection locked="0"/>
    </xf>
    <xf numFmtId="4" fontId="119" fillId="42" borderId="48">
      <alignment horizontal="right" vertical="center"/>
      <protection locked="0"/>
    </xf>
    <xf numFmtId="4" fontId="134" fillId="42" borderId="48">
      <alignment horizontal="right" vertical="center"/>
      <protection locked="0"/>
    </xf>
    <xf numFmtId="49" fontId="135" fillId="42" borderId="1">
      <alignment horizontal="left" vertical="center"/>
      <protection locked="0"/>
    </xf>
    <xf numFmtId="49" fontId="136" fillId="42" borderId="1">
      <alignment horizontal="left" vertical="center"/>
      <protection locked="0"/>
    </xf>
    <xf numFmtId="4" fontId="135" fillId="42" borderId="1">
      <alignment horizontal="right" vertical="center"/>
      <protection locked="0"/>
    </xf>
    <xf numFmtId="4" fontId="137" fillId="42" borderId="1">
      <alignment horizontal="right" vertical="center"/>
      <protection locked="0"/>
    </xf>
    <xf numFmtId="49" fontId="114" fillId="42" borderId="1">
      <alignment horizontal="left" vertical="center"/>
      <protection locked="0"/>
    </xf>
    <xf numFmtId="49" fontId="134" fillId="42" borderId="1">
      <alignment horizontal="left" vertical="center"/>
      <protection locked="0"/>
    </xf>
    <xf numFmtId="4" fontId="114" fillId="42" borderId="1">
      <alignment horizontal="right" vertical="center"/>
      <protection locked="0"/>
    </xf>
    <xf numFmtId="4" fontId="134" fillId="42" borderId="1">
      <alignment horizontal="right" vertical="center"/>
      <protection locked="0"/>
    </xf>
    <xf numFmtId="49" fontId="120" fillId="42" borderId="1">
      <alignment horizontal="left" vertical="center"/>
      <protection locked="0"/>
    </xf>
    <xf numFmtId="49" fontId="138" fillId="42" borderId="1">
      <alignment horizontal="left" vertical="center"/>
      <protection locked="0"/>
    </xf>
    <xf numFmtId="4" fontId="120" fillId="42" borderId="1">
      <alignment horizontal="right" vertical="center"/>
      <protection locked="0"/>
    </xf>
    <xf numFmtId="4" fontId="139" fillId="42" borderId="1">
      <alignment horizontal="right" vertical="center"/>
      <protection locked="0"/>
    </xf>
    <xf numFmtId="49" fontId="118" fillId="0" borderId="1">
      <alignment horizontal="left" vertical="center"/>
      <protection locked="0"/>
    </xf>
    <xf numFmtId="49" fontId="140" fillId="0" borderId="1">
      <alignment horizontal="left" vertical="center"/>
      <protection locked="0"/>
    </xf>
    <xf numFmtId="4" fontId="118" fillId="0" borderId="1">
      <alignment horizontal="right" vertical="center"/>
      <protection locked="0"/>
    </xf>
    <xf numFmtId="4" fontId="140" fillId="0" borderId="1">
      <alignment horizontal="right" vertical="center"/>
      <protection locked="0"/>
    </xf>
    <xf numFmtId="49" fontId="121" fillId="0" borderId="1">
      <alignment horizontal="left" vertical="center"/>
      <protection locked="0"/>
    </xf>
    <xf numFmtId="49" fontId="141" fillId="0" borderId="1">
      <alignment horizontal="left" vertical="center"/>
      <protection locked="0"/>
    </xf>
    <xf numFmtId="4" fontId="121" fillId="0" borderId="1">
      <alignment horizontal="right" vertical="center"/>
      <protection locked="0"/>
    </xf>
    <xf numFmtId="49" fontId="118" fillId="0" borderId="1">
      <alignment horizontal="left" vertical="center"/>
      <protection locked="0"/>
    </xf>
    <xf numFmtId="49" fontId="140" fillId="0" borderId="1">
      <alignment horizontal="left" vertical="center"/>
      <protection locked="0"/>
    </xf>
    <xf numFmtId="4" fontId="118" fillId="0" borderId="1">
      <alignment horizontal="right" vertical="center"/>
      <protection locked="0"/>
    </xf>
    <xf numFmtId="186" fontId="142" fillId="0" borderId="0" applyFill="0" applyBorder="0" applyAlignment="0"/>
    <xf numFmtId="187" fontId="142" fillId="0" borderId="0" applyFill="0" applyBorder="0" applyAlignment="0"/>
    <xf numFmtId="186" fontId="142" fillId="0" borderId="0" applyFill="0" applyBorder="0" applyAlignment="0"/>
    <xf numFmtId="191" fontId="142" fillId="0" borderId="0" applyFill="0" applyBorder="0" applyAlignment="0"/>
    <xf numFmtId="187" fontId="142" fillId="0" borderId="0" applyFill="0" applyBorder="0" applyAlignment="0"/>
    <xf numFmtId="200" fontId="77" fillId="0" borderId="0" applyFont="0" applyFill="0" applyBorder="0" applyAlignment="0" applyProtection="0"/>
    <xf numFmtId="201" fontId="77" fillId="0" borderId="0" applyFont="0" applyFill="0" applyBorder="0" applyAlignment="0" applyProtection="0"/>
    <xf numFmtId="0" fontId="89" fillId="38" borderId="0" applyNumberFormat="0" applyBorder="0" applyAlignment="0" applyProtection="0"/>
    <xf numFmtId="0" fontId="46" fillId="13" borderId="0" applyNumberFormat="0" applyBorder="0" applyAlignment="0" applyProtection="0"/>
    <xf numFmtId="0" fontId="116" fillId="0" borderId="0" applyNumberFormat="0" applyFill="0" applyBorder="0" applyAlignment="0" applyProtection="0"/>
    <xf numFmtId="0" fontId="77" fillId="0" borderId="0"/>
    <xf numFmtId="0" fontId="23" fillId="0" borderId="0"/>
    <xf numFmtId="0" fontId="23" fillId="0" borderId="0"/>
    <xf numFmtId="9" fontId="143" fillId="0" borderId="0"/>
    <xf numFmtId="9" fontId="143" fillId="0" borderId="0"/>
    <xf numFmtId="0" fontId="24" fillId="5" borderId="19" applyNumberFormat="0" applyFont="0" applyAlignment="0" applyProtection="0"/>
    <xf numFmtId="0" fontId="24" fillId="5" borderId="19" applyNumberFormat="0" applyFont="0" applyAlignment="0" applyProtection="0"/>
    <xf numFmtId="4" fontId="107" fillId="81" borderId="1">
      <alignment horizontal="right" vertical="center"/>
      <protection locked="0"/>
    </xf>
    <xf numFmtId="4" fontId="107" fillId="82" borderId="1">
      <alignment horizontal="right" vertical="center"/>
      <protection locked="0"/>
    </xf>
    <xf numFmtId="4" fontId="107" fillId="79" borderId="1">
      <alignment horizontal="right" vertical="center"/>
      <protection locked="0"/>
    </xf>
    <xf numFmtId="190" fontId="112" fillId="0" borderId="0" applyFont="0" applyFill="0" applyBorder="0" applyAlignment="0" applyProtection="0"/>
    <xf numFmtId="192" fontId="112" fillId="0" borderId="0" applyFont="0" applyFill="0" applyBorder="0" applyAlignment="0" applyProtection="0"/>
    <xf numFmtId="10" fontId="23" fillId="0" borderId="0" applyFont="0" applyFill="0" applyBorder="0" applyAlignment="0" applyProtection="0"/>
    <xf numFmtId="202" fontId="112" fillId="0" borderId="0" applyFont="0" applyFill="0" applyBorder="0" applyAlignment="0" applyProtection="0"/>
    <xf numFmtId="186" fontId="144" fillId="0" borderId="0" applyFill="0" applyBorder="0" applyAlignment="0"/>
    <xf numFmtId="187" fontId="144" fillId="0" borderId="0" applyFill="0" applyBorder="0" applyAlignment="0"/>
    <xf numFmtId="186" fontId="144" fillId="0" borderId="0" applyFill="0" applyBorder="0" applyAlignment="0"/>
    <xf numFmtId="191" fontId="144" fillId="0" borderId="0" applyFill="0" applyBorder="0" applyAlignment="0"/>
    <xf numFmtId="187" fontId="144" fillId="0" borderId="0" applyFill="0" applyBorder="0" applyAlignment="0"/>
    <xf numFmtId="49" fontId="114" fillId="0" borderId="1">
      <alignment horizontal="left" vertical="center" wrapText="1"/>
      <protection locked="0"/>
    </xf>
    <xf numFmtId="0" fontId="145" fillId="3" borderId="0">
      <alignment horizontal="center" vertical="center"/>
    </xf>
    <xf numFmtId="0" fontId="145" fillId="44" borderId="0">
      <alignment horizontal="center" vertical="center"/>
    </xf>
    <xf numFmtId="0" fontId="145" fillId="3" borderId="0">
      <alignment horizontal="center" vertical="center"/>
    </xf>
    <xf numFmtId="0" fontId="146" fillId="3" borderId="0">
      <alignment horizontal="left" vertical="center"/>
    </xf>
    <xf numFmtId="0" fontId="146" fillId="44" borderId="0">
      <alignment horizontal="left" vertical="center"/>
    </xf>
    <xf numFmtId="0" fontId="146" fillId="3" borderId="0">
      <alignment horizontal="left" vertical="center"/>
    </xf>
    <xf numFmtId="0" fontId="23" fillId="0" borderId="0" applyNumberFormat="0" applyFill="0" applyBorder="0" applyAlignment="0" applyProtection="0"/>
    <xf numFmtId="0" fontId="52" fillId="0" borderId="0"/>
    <xf numFmtId="0" fontId="100" fillId="0" borderId="0"/>
    <xf numFmtId="1" fontId="147" fillId="0" borderId="0"/>
    <xf numFmtId="0" fontId="23" fillId="0" borderId="0" applyNumberFormat="0" applyFill="0" applyBorder="0" applyAlignment="0" applyProtection="0"/>
    <xf numFmtId="1" fontId="147" fillId="0" borderId="0"/>
    <xf numFmtId="49" fontId="126" fillId="0" borderId="0" applyFill="0" applyBorder="0" applyAlignment="0"/>
    <xf numFmtId="202" fontId="126" fillId="0" borderId="0" applyFill="0" applyBorder="0" applyAlignment="0"/>
    <xf numFmtId="203" fontId="126" fillId="0" borderId="0" applyFill="0" applyBorder="0" applyAlignment="0"/>
    <xf numFmtId="0" fontId="23" fillId="0" borderId="0" applyNumberFormat="0" applyFill="0" applyBorder="0" applyAlignment="0" applyProtection="0"/>
    <xf numFmtId="0" fontId="111" fillId="0" borderId="0">
      <alignment horizontal="centerContinuous"/>
    </xf>
    <xf numFmtId="0" fontId="111" fillId="0" borderId="0">
      <alignment horizontal="centerContinuous"/>
    </xf>
    <xf numFmtId="0" fontId="163" fillId="0" borderId="0">
      <alignment horizontal="center"/>
    </xf>
    <xf numFmtId="0" fontId="147" fillId="0" borderId="0"/>
    <xf numFmtId="204" fontId="23" fillId="0" borderId="0" applyFont="0" applyFill="0" applyBorder="0" applyAlignment="0" applyProtection="0"/>
    <xf numFmtId="205" fontId="23" fillId="0" borderId="0" applyFont="0" applyFill="0" applyBorder="0" applyAlignment="0" applyProtection="0"/>
    <xf numFmtId="0" fontId="90" fillId="0" borderId="0" applyNumberFormat="0" applyFill="0" applyBorder="0" applyAlignment="0" applyProtection="0"/>
    <xf numFmtId="0" fontId="35" fillId="72" borderId="0" applyNumberFormat="0" applyBorder="0" applyAlignment="0" applyProtection="0"/>
    <xf numFmtId="0" fontId="34" fillId="25" borderId="0" applyNumberFormat="0" applyBorder="0" applyAlignment="0" applyProtection="0"/>
    <xf numFmtId="0" fontId="35" fillId="83" borderId="0" applyNumberFormat="0" applyBorder="0" applyAlignment="0" applyProtection="0"/>
    <xf numFmtId="0" fontId="35" fillId="25" borderId="0" applyNumberFormat="0" applyBorder="0" applyAlignment="0" applyProtection="0"/>
    <xf numFmtId="0" fontId="35" fillId="17"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84" borderId="0" applyNumberFormat="0" applyBorder="0" applyAlignment="0" applyProtection="0"/>
    <xf numFmtId="0" fontId="34" fillId="26" borderId="0" applyNumberFormat="0" applyBorder="0" applyAlignment="0" applyProtection="0"/>
    <xf numFmtId="0" fontId="35" fillId="85" borderId="0" applyNumberFormat="0" applyBorder="0" applyAlignment="0" applyProtection="0"/>
    <xf numFmtId="0" fontId="35" fillId="26" borderId="0" applyNumberFormat="0" applyBorder="0" applyAlignment="0" applyProtection="0"/>
    <xf numFmtId="0" fontId="35" fillId="84" borderId="0" applyNumberFormat="0" applyBorder="0" applyAlignment="0" applyProtection="0"/>
    <xf numFmtId="0" fontId="35" fillId="84" borderId="0" applyNumberFormat="0" applyBorder="0" applyAlignment="0" applyProtection="0"/>
    <xf numFmtId="0" fontId="35" fillId="85" borderId="0" applyNumberFormat="0" applyBorder="0" applyAlignment="0" applyProtection="0"/>
    <xf numFmtId="0" fontId="35" fillId="85" borderId="0" applyNumberFormat="0" applyBorder="0" applyAlignment="0" applyProtection="0"/>
    <xf numFmtId="0" fontId="35" fillId="86" borderId="0" applyNumberFormat="0" applyBorder="0" applyAlignment="0" applyProtection="0"/>
    <xf numFmtId="0" fontId="34" fillId="27" borderId="0" applyNumberFormat="0" applyBorder="0" applyAlignment="0" applyProtection="0"/>
    <xf numFmtId="0" fontId="35" fillId="27"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35" fillId="87" borderId="0" applyNumberFormat="0" applyBorder="0" applyAlignment="0" applyProtection="0"/>
    <xf numFmtId="0" fontId="34" fillId="19" borderId="0" applyNumberFormat="0" applyBorder="0" applyAlignment="0" applyProtection="0"/>
    <xf numFmtId="0" fontId="35" fillId="74"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87" borderId="0" applyNumberFormat="0" applyBorder="0" applyAlignment="0" applyProtection="0"/>
    <xf numFmtId="0" fontId="35" fillId="87" borderId="0" applyNumberFormat="0" applyBorder="0" applyAlignment="0" applyProtection="0"/>
    <xf numFmtId="0" fontId="35" fillId="87" borderId="0" applyNumberFormat="0" applyBorder="0" applyAlignment="0" applyProtection="0"/>
    <xf numFmtId="0" fontId="35" fillId="72" borderId="0" applyNumberFormat="0" applyBorder="0" applyAlignment="0" applyProtection="0"/>
    <xf numFmtId="0" fontId="34" fillId="17" borderId="0" applyNumberFormat="0" applyBorder="0" applyAlignment="0" applyProtection="0"/>
    <xf numFmtId="0" fontId="35" fillId="17"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88" borderId="0" applyNumberFormat="0" applyBorder="0" applyAlignment="0" applyProtection="0"/>
    <xf numFmtId="0" fontId="34" fillId="23" borderId="0" applyNumberFormat="0" applyBorder="0" applyAlignment="0" applyProtection="0"/>
    <xf numFmtId="0" fontId="35" fillId="23" borderId="0" applyNumberFormat="0" applyBorder="0" applyAlignment="0" applyProtection="0"/>
    <xf numFmtId="0" fontId="35" fillId="88" borderId="0" applyNumberFormat="0" applyBorder="0" applyAlignment="0" applyProtection="0"/>
    <xf numFmtId="0" fontId="35" fillId="88" borderId="0" applyNumberFormat="0" applyBorder="0" applyAlignment="0" applyProtection="0"/>
    <xf numFmtId="0" fontId="35" fillId="88" borderId="0" applyNumberFormat="0" applyBorder="0" applyAlignment="0" applyProtection="0"/>
    <xf numFmtId="0" fontId="35" fillId="25" borderId="0" applyNumberFormat="0" applyBorder="0" applyAlignment="0" applyProtection="0"/>
    <xf numFmtId="0" fontId="35" fillId="89" borderId="0" applyNumberFormat="0" applyBorder="0" applyProtection="0">
      <alignment horizontal="left"/>
    </xf>
    <xf numFmtId="0" fontId="35" fillId="89" borderId="0" applyNumberFormat="0" applyBorder="0" applyProtection="0">
      <alignment horizontal="left"/>
    </xf>
    <xf numFmtId="0" fontId="35" fillId="89" borderId="0" applyNumberFormat="0" applyBorder="0" applyProtection="0">
      <alignment horizontal="left"/>
    </xf>
    <xf numFmtId="0" fontId="35" fillId="89" borderId="0" applyNumberFormat="0" applyBorder="0" applyProtection="0">
      <alignment horizontal="left"/>
    </xf>
    <xf numFmtId="0" fontId="35" fillId="90" borderId="0" applyNumberFormat="0" applyBorder="0" applyProtection="0">
      <alignment horizontal="left"/>
    </xf>
    <xf numFmtId="0" fontId="35" fillId="26" borderId="0" applyNumberFormat="0" applyBorder="0" applyAlignment="0" applyProtection="0"/>
    <xf numFmtId="0" fontId="35" fillId="69" borderId="0" applyNumberFormat="0" applyBorder="0" applyProtection="0">
      <alignment horizontal="left"/>
    </xf>
    <xf numFmtId="0" fontId="35" fillId="69" borderId="0" applyNumberFormat="0" applyBorder="0" applyProtection="0">
      <alignment horizontal="left"/>
    </xf>
    <xf numFmtId="0" fontId="35" fillId="69" borderId="0" applyNumberFormat="0" applyBorder="0" applyProtection="0">
      <alignment horizontal="left"/>
    </xf>
    <xf numFmtId="0" fontId="35" fillId="69" borderId="0" applyNumberFormat="0" applyBorder="0" applyProtection="0">
      <alignment horizontal="left"/>
    </xf>
    <xf numFmtId="0" fontId="35" fillId="84" borderId="0" applyNumberFormat="0" applyBorder="0" applyProtection="0">
      <alignment horizontal="left"/>
    </xf>
    <xf numFmtId="0" fontId="35" fillId="27" borderId="0" applyNumberFormat="0" applyBorder="0" applyAlignment="0" applyProtection="0"/>
    <xf numFmtId="0" fontId="35" fillId="91" borderId="0" applyNumberFormat="0" applyBorder="0" applyProtection="0">
      <alignment horizontal="left"/>
    </xf>
    <xf numFmtId="0" fontId="35" fillId="91" borderId="0" applyNumberFormat="0" applyBorder="0" applyProtection="0">
      <alignment horizontal="left"/>
    </xf>
    <xf numFmtId="0" fontId="35" fillId="91" borderId="0" applyNumberFormat="0" applyBorder="0" applyProtection="0">
      <alignment horizontal="left"/>
    </xf>
    <xf numFmtId="0" fontId="35" fillId="91" borderId="0" applyNumberFormat="0" applyBorder="0" applyProtection="0">
      <alignment horizontal="left"/>
    </xf>
    <xf numFmtId="0" fontId="35" fillId="92" borderId="0" applyNumberFormat="0" applyBorder="0" applyProtection="0">
      <alignment horizontal="left"/>
    </xf>
    <xf numFmtId="0" fontId="35" fillId="19" borderId="0" applyNumberFormat="0" applyBorder="0" applyAlignment="0" applyProtection="0"/>
    <xf numFmtId="0" fontId="35" fillId="93" borderId="0" applyNumberFormat="0" applyBorder="0" applyProtection="0">
      <alignment horizontal="left"/>
    </xf>
    <xf numFmtId="0" fontId="35" fillId="93" borderId="0" applyNumberFormat="0" applyBorder="0" applyProtection="0">
      <alignment horizontal="left"/>
    </xf>
    <xf numFmtId="0" fontId="35" fillId="93" borderId="0" applyNumberFormat="0" applyBorder="0" applyProtection="0">
      <alignment horizontal="left"/>
    </xf>
    <xf numFmtId="0" fontId="35" fillId="93" borderId="0" applyNumberFormat="0" applyBorder="0" applyProtection="0">
      <alignment horizontal="left"/>
    </xf>
    <xf numFmtId="0" fontId="35" fillId="74" borderId="0" applyNumberFormat="0" applyBorder="0" applyProtection="0">
      <alignment horizontal="left"/>
    </xf>
    <xf numFmtId="0" fontId="35" fillId="17" borderId="0" applyNumberFormat="0" applyBorder="0" applyAlignment="0" applyProtection="0"/>
    <xf numFmtId="0" fontId="35" fillId="89" borderId="0" applyNumberFormat="0" applyBorder="0" applyProtection="0">
      <alignment horizontal="left"/>
    </xf>
    <xf numFmtId="0" fontId="35" fillId="89" borderId="0" applyNumberFormat="0" applyBorder="0" applyProtection="0">
      <alignment horizontal="left"/>
    </xf>
    <xf numFmtId="0" fontId="35" fillId="89" borderId="0" applyNumberFormat="0" applyBorder="0" applyProtection="0">
      <alignment horizontal="left"/>
    </xf>
    <xf numFmtId="0" fontId="35" fillId="89" borderId="0" applyNumberFormat="0" applyBorder="0" applyProtection="0">
      <alignment horizontal="left"/>
    </xf>
    <xf numFmtId="0" fontId="35" fillId="72" borderId="0" applyNumberFormat="0" applyBorder="0" applyProtection="0">
      <alignment horizontal="left"/>
    </xf>
    <xf numFmtId="0" fontId="35" fillId="23" borderId="0" applyNumberFormat="0" applyBorder="0" applyAlignment="0" applyProtection="0"/>
    <xf numFmtId="0" fontId="35" fillId="69" borderId="0" applyNumberFormat="0" applyBorder="0" applyProtection="0">
      <alignment horizontal="left"/>
    </xf>
    <xf numFmtId="0" fontId="35" fillId="69" borderId="0" applyNumberFormat="0" applyBorder="0" applyProtection="0">
      <alignment horizontal="left"/>
    </xf>
    <xf numFmtId="0" fontId="35" fillId="69" borderId="0" applyNumberFormat="0" applyBorder="0" applyProtection="0">
      <alignment horizontal="left"/>
    </xf>
    <xf numFmtId="0" fontId="35" fillId="69" borderId="0" applyNumberFormat="0" applyBorder="0" applyProtection="0">
      <alignment horizontal="left"/>
    </xf>
    <xf numFmtId="0" fontId="35" fillId="94" borderId="0" applyNumberFormat="0" applyBorder="0" applyProtection="0">
      <alignment horizontal="left"/>
    </xf>
    <xf numFmtId="0" fontId="51" fillId="4" borderId="13" applyNumberFormat="0" applyAlignment="0" applyProtection="0"/>
    <xf numFmtId="0" fontId="148" fillId="52" borderId="13" applyNumberFormat="0" applyProtection="0">
      <alignment horizontal="left"/>
    </xf>
    <xf numFmtId="0" fontId="148" fillId="52" borderId="13" applyNumberFormat="0" applyProtection="0">
      <alignment horizontal="left"/>
    </xf>
    <xf numFmtId="0" fontId="148" fillId="52" borderId="13" applyNumberFormat="0" applyProtection="0">
      <alignment horizontal="left"/>
    </xf>
    <xf numFmtId="0" fontId="148" fillId="52" borderId="13" applyNumberFormat="0" applyProtection="0">
      <alignment horizontal="left"/>
    </xf>
    <xf numFmtId="0" fontId="51" fillId="59" borderId="13" applyNumberFormat="0" applyProtection="0">
      <alignment horizontal="left"/>
    </xf>
    <xf numFmtId="0" fontId="44" fillId="4" borderId="13" applyNumberFormat="0" applyAlignment="0" applyProtection="0"/>
    <xf numFmtId="0" fontId="51" fillId="35" borderId="13" applyNumberFormat="0" applyAlignment="0" applyProtection="0"/>
    <xf numFmtId="0" fontId="51" fillId="4" borderId="13" applyNumberFormat="0" applyAlignment="0" applyProtection="0"/>
    <xf numFmtId="0" fontId="51" fillId="64" borderId="13" applyNumberFormat="0" applyAlignment="0" applyProtection="0"/>
    <xf numFmtId="0" fontId="51" fillId="64" borderId="13" applyNumberFormat="0" applyAlignment="0" applyProtection="0"/>
    <xf numFmtId="9" fontId="52"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47" fillId="0" borderId="0"/>
    <xf numFmtId="0" fontId="53" fillId="44" borderId="20" applyNumberFormat="0" applyAlignment="0" applyProtection="0"/>
    <xf numFmtId="0" fontId="47" fillId="11" borderId="20" applyNumberFormat="0" applyAlignment="0" applyProtection="0"/>
    <xf numFmtId="0" fontId="53" fillId="62" borderId="20" applyNumberFormat="0" applyAlignment="0" applyProtection="0"/>
    <xf numFmtId="0" fontId="53" fillId="11" borderId="20" applyNumberFormat="0" applyAlignment="0" applyProtection="0"/>
    <xf numFmtId="0" fontId="53" fillId="3" borderId="20" applyNumberFormat="0" applyAlignment="0" applyProtection="0"/>
    <xf numFmtId="0" fontId="53" fillId="44" borderId="20" applyNumberFormat="0" applyAlignment="0" applyProtection="0"/>
    <xf numFmtId="0" fontId="53" fillId="44" borderId="20" applyNumberFormat="0" applyAlignment="0" applyProtection="0"/>
    <xf numFmtId="0" fontId="53" fillId="44" borderId="20" applyNumberFormat="0" applyAlignment="0" applyProtection="0"/>
    <xf numFmtId="0" fontId="54" fillId="44" borderId="13" applyNumberFormat="0" applyAlignment="0" applyProtection="0"/>
    <xf numFmtId="0" fontId="37" fillId="11" borderId="13" applyNumberFormat="0" applyAlignment="0" applyProtection="0"/>
    <xf numFmtId="0" fontId="54" fillId="62" borderId="13" applyNumberFormat="0" applyAlignment="0" applyProtection="0"/>
    <xf numFmtId="0" fontId="54" fillId="11" borderId="13" applyNumberFormat="0" applyAlignment="0" applyProtection="0"/>
    <xf numFmtId="0" fontId="54" fillId="3" borderId="13" applyNumberFormat="0" applyAlignment="0" applyProtection="0"/>
    <xf numFmtId="0" fontId="54" fillId="44" borderId="13" applyNumberFormat="0" applyAlignment="0" applyProtection="0"/>
    <xf numFmtId="0" fontId="54" fillId="44" borderId="13" applyNumberFormat="0" applyAlignment="0" applyProtection="0"/>
    <xf numFmtId="0" fontId="54" fillId="44" borderId="13" applyNumberFormat="0" applyAlignment="0" applyProtection="0"/>
    <xf numFmtId="0" fontId="117" fillId="0" borderId="0" applyNumberFormat="0" applyFill="0" applyBorder="0" applyAlignment="0" applyProtection="0"/>
    <xf numFmtId="182" fontId="23" fillId="0" borderId="0" applyFont="0" applyFill="0" applyBorder="0" applyAlignment="0" applyProtection="0"/>
    <xf numFmtId="210" fontId="23" fillId="0" borderId="0" applyFill="0" applyBorder="0" applyAlignment="0" applyProtection="0"/>
    <xf numFmtId="182" fontId="23" fillId="0" borderId="0" applyFont="0" applyFill="0" applyBorder="0" applyAlignment="0" applyProtection="0"/>
    <xf numFmtId="182" fontId="112" fillId="0" borderId="0" applyFont="0" applyFill="0" applyBorder="0" applyAlignment="0" applyProtection="0"/>
    <xf numFmtId="166" fontId="21" fillId="0" borderId="0" applyFont="0" applyFill="0" applyBorder="0" applyAlignment="0" applyProtection="0"/>
    <xf numFmtId="0" fontId="67" fillId="9" borderId="0" applyNumberFormat="0" applyBorder="0" applyAlignment="0" applyProtection="0"/>
    <xf numFmtId="0" fontId="149" fillId="54" borderId="0" applyNumberFormat="0" applyBorder="0" applyProtection="0">
      <alignment horizontal="left"/>
    </xf>
    <xf numFmtId="0" fontId="149" fillId="54" borderId="0" applyNumberFormat="0" applyBorder="0" applyProtection="0">
      <alignment horizontal="left"/>
    </xf>
    <xf numFmtId="0" fontId="149" fillId="54" borderId="0" applyNumberFormat="0" applyBorder="0" applyProtection="0">
      <alignment horizontal="left"/>
    </xf>
    <xf numFmtId="0" fontId="149" fillId="54" borderId="0" applyNumberFormat="0" applyBorder="0" applyProtection="0">
      <alignment horizontal="left"/>
    </xf>
    <xf numFmtId="0" fontId="67" fillId="37" borderId="0" applyNumberFormat="0" applyBorder="0" applyProtection="0">
      <alignment horizontal="left"/>
    </xf>
    <xf numFmtId="0" fontId="150" fillId="0" borderId="49" applyNumberFormat="0" applyFill="0" applyProtection="0">
      <alignment horizontal="left"/>
    </xf>
    <xf numFmtId="0" fontId="150" fillId="0" borderId="49" applyNumberFormat="0" applyFill="0" applyProtection="0">
      <alignment horizontal="left"/>
    </xf>
    <xf numFmtId="0" fontId="150" fillId="0" borderId="49" applyNumberFormat="0" applyFill="0" applyProtection="0">
      <alignment horizontal="left"/>
    </xf>
    <xf numFmtId="0" fontId="150" fillId="0" borderId="49" applyNumberFormat="0" applyFill="0" applyProtection="0">
      <alignment horizontal="left"/>
    </xf>
    <xf numFmtId="0" fontId="164" fillId="0" borderId="15" applyNumberFormat="0" applyFill="0" applyAlignment="0" applyProtection="0"/>
    <xf numFmtId="0" fontId="164" fillId="0" borderId="15" applyNumberFormat="0" applyFill="0" applyAlignment="0" applyProtection="0"/>
    <xf numFmtId="0" fontId="151" fillId="0" borderId="50" applyNumberFormat="0" applyFill="0" applyProtection="0">
      <alignment horizontal="left"/>
    </xf>
    <xf numFmtId="0" fontId="151" fillId="0" borderId="50" applyNumberFormat="0" applyFill="0" applyProtection="0">
      <alignment horizontal="left"/>
    </xf>
    <xf numFmtId="0" fontId="151" fillId="0" borderId="50" applyNumberFormat="0" applyFill="0" applyProtection="0">
      <alignment horizontal="left"/>
    </xf>
    <xf numFmtId="0" fontId="151" fillId="0" borderId="50" applyNumberFormat="0" applyFill="0" applyProtection="0">
      <alignment horizontal="left"/>
    </xf>
    <xf numFmtId="0" fontId="165" fillId="0" borderId="16" applyNumberFormat="0" applyFill="0" applyAlignment="0" applyProtection="0"/>
    <xf numFmtId="0" fontId="165" fillId="0" borderId="16" applyNumberFormat="0" applyFill="0" applyAlignment="0" applyProtection="0"/>
    <xf numFmtId="0" fontId="152" fillId="0" borderId="51" applyNumberFormat="0" applyFill="0" applyProtection="0">
      <alignment horizontal="left"/>
    </xf>
    <xf numFmtId="0" fontId="152" fillId="0" borderId="51" applyNumberFormat="0" applyFill="0" applyProtection="0">
      <alignment horizontal="left"/>
    </xf>
    <xf numFmtId="0" fontId="152" fillId="0" borderId="51" applyNumberFormat="0" applyFill="0" applyProtection="0">
      <alignment horizontal="left"/>
    </xf>
    <xf numFmtId="0" fontId="152" fillId="0" borderId="51" applyNumberFormat="0" applyFill="0" applyProtection="0">
      <alignment horizontal="left"/>
    </xf>
    <xf numFmtId="0" fontId="166" fillId="0" borderId="17" applyNumberFormat="0" applyFill="0" applyAlignment="0" applyProtection="0"/>
    <xf numFmtId="0" fontId="166" fillId="0" borderId="17" applyNumberFormat="0" applyFill="0" applyAlignment="0" applyProtection="0"/>
    <xf numFmtId="0" fontId="152" fillId="0" borderId="0" applyNumberFormat="0" applyFill="0" applyBorder="0" applyProtection="0">
      <alignment horizontal="left"/>
    </xf>
    <xf numFmtId="0" fontId="152" fillId="0" borderId="0" applyNumberFormat="0" applyFill="0" applyBorder="0" applyProtection="0">
      <alignment horizontal="left"/>
    </xf>
    <xf numFmtId="0" fontId="152" fillId="0" borderId="0" applyNumberFormat="0" applyFill="0" applyBorder="0" applyProtection="0">
      <alignment horizontal="left"/>
    </xf>
    <xf numFmtId="0" fontId="152" fillId="0" borderId="0" applyNumberFormat="0" applyFill="0" applyBorder="0" applyProtection="0">
      <alignment horizontal="left"/>
    </xf>
    <xf numFmtId="0" fontId="166" fillId="0" borderId="0" applyNumberFormat="0" applyFill="0" applyBorder="0" applyAlignment="0" applyProtection="0"/>
    <xf numFmtId="0" fontId="166" fillId="0" borderId="0" applyNumberFormat="0" applyFill="0" applyBorder="0" applyAlignment="0" applyProtection="0"/>
    <xf numFmtId="0" fontId="12" fillId="0" borderId="0"/>
    <xf numFmtId="0" fontId="12" fillId="0" borderId="0"/>
    <xf numFmtId="0" fontId="12" fillId="0" borderId="0"/>
    <xf numFmtId="0" fontId="12" fillId="0" borderId="0"/>
    <xf numFmtId="0" fontId="33" fillId="0" borderId="0"/>
    <xf numFmtId="0" fontId="65" fillId="0" borderId="18" applyNumberFormat="0" applyFill="0" applyAlignment="0" applyProtection="0"/>
    <xf numFmtId="0" fontId="66" fillId="0" borderId="52" applyNumberFormat="0" applyFill="0" applyProtection="0">
      <alignment horizontal="left"/>
    </xf>
    <xf numFmtId="0" fontId="66" fillId="0" borderId="52" applyNumberFormat="0" applyFill="0" applyProtection="0">
      <alignment horizontal="left"/>
    </xf>
    <xf numFmtId="0" fontId="66" fillId="0" borderId="52" applyNumberFormat="0" applyFill="0" applyProtection="0">
      <alignment horizontal="left"/>
    </xf>
    <xf numFmtId="0" fontId="66" fillId="0" borderId="52" applyNumberFormat="0" applyFill="0" applyProtection="0">
      <alignment horizontal="left"/>
    </xf>
    <xf numFmtId="0" fontId="65" fillId="0" borderId="18" applyNumberFormat="0" applyFill="0" applyProtection="0">
      <alignment horizontal="left"/>
    </xf>
    <xf numFmtId="0" fontId="58" fillId="0" borderId="21" applyNumberFormat="0" applyFill="0" applyAlignment="0" applyProtection="0"/>
    <xf numFmtId="0" fontId="49" fillId="0" borderId="24" applyNumberFormat="0" applyFill="0" applyAlignment="0" applyProtection="0"/>
    <xf numFmtId="0" fontId="58" fillId="0" borderId="21" applyNumberFormat="0" applyFill="0" applyAlignment="0" applyProtection="0"/>
    <xf numFmtId="0" fontId="58" fillId="0" borderId="21" applyNumberFormat="0" applyFill="0" applyAlignment="0" applyProtection="0"/>
    <xf numFmtId="0" fontId="58" fillId="0" borderId="21" applyNumberFormat="0" applyFill="0" applyAlignment="0" applyProtection="0"/>
    <xf numFmtId="0" fontId="58" fillId="0" borderId="21" applyNumberFormat="0" applyFill="0" applyAlignment="0" applyProtection="0"/>
    <xf numFmtId="0" fontId="59" fillId="24" borderId="14" applyNumberFormat="0" applyAlignment="0" applyProtection="0"/>
    <xf numFmtId="0" fontId="59" fillId="77" borderId="53" applyNumberFormat="0" applyProtection="0">
      <alignment horizontal="left"/>
    </xf>
    <xf numFmtId="0" fontId="59" fillId="77" borderId="53" applyNumberFormat="0" applyProtection="0">
      <alignment horizontal="left"/>
    </xf>
    <xf numFmtId="0" fontId="59" fillId="77" borderId="53" applyNumberFormat="0" applyProtection="0">
      <alignment horizontal="left"/>
    </xf>
    <xf numFmtId="0" fontId="59" fillId="77" borderId="53" applyNumberFormat="0" applyProtection="0">
      <alignment horizontal="left"/>
    </xf>
    <xf numFmtId="0" fontId="59" fillId="95" borderId="14" applyNumberFormat="0" applyProtection="0">
      <alignment horizontal="left"/>
    </xf>
    <xf numFmtId="0" fontId="38" fillId="24" borderId="14" applyNumberFormat="0" applyAlignment="0" applyProtection="0"/>
    <xf numFmtId="0" fontId="59" fillId="96" borderId="14" applyNumberFormat="0" applyAlignment="0" applyProtection="0"/>
    <xf numFmtId="0" fontId="59" fillId="24" borderId="14" applyNumberFormat="0" applyAlignment="0" applyProtection="0"/>
    <xf numFmtId="0" fontId="59" fillId="96" borderId="14" applyNumberFormat="0" applyAlignment="0" applyProtection="0"/>
    <xf numFmtId="0" fontId="59" fillId="96" borderId="14" applyNumberFormat="0" applyAlignment="0" applyProtection="0"/>
    <xf numFmtId="0" fontId="60" fillId="0" borderId="0" applyNumberFormat="0" applyFill="0" applyBorder="0" applyAlignment="0" applyProtection="0"/>
    <xf numFmtId="0" fontId="153" fillId="0" borderId="0" applyNumberFormat="0" applyFill="0" applyBorder="0" applyProtection="0">
      <alignment horizontal="left"/>
    </xf>
    <xf numFmtId="0" fontId="153" fillId="0" borderId="0" applyNumberFormat="0" applyFill="0" applyBorder="0" applyProtection="0">
      <alignment horizontal="left"/>
    </xf>
    <xf numFmtId="0" fontId="153" fillId="0" borderId="0" applyNumberFormat="0" applyFill="0" applyBorder="0" applyProtection="0">
      <alignment horizontal="left"/>
    </xf>
    <xf numFmtId="0" fontId="153" fillId="0" borderId="0" applyNumberFormat="0" applyFill="0" applyBorder="0" applyProtection="0">
      <alignment horizontal="left"/>
    </xf>
    <xf numFmtId="0" fontId="60" fillId="0" borderId="0" applyNumberFormat="0" applyFill="0" applyBorder="0" applyProtection="0">
      <alignment horizontal="left"/>
    </xf>
    <xf numFmtId="0" fontId="154"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61" fillId="64" borderId="0" applyNumberFormat="0" applyBorder="0" applyAlignment="0" applyProtection="0"/>
    <xf numFmtId="0" fontId="46" fillId="13" borderId="0" applyNumberFormat="0" applyBorder="0" applyAlignment="0" applyProtection="0"/>
    <xf numFmtId="0" fontId="61" fillId="13"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158" fillId="64" borderId="0" applyNumberFormat="0" applyBorder="0" applyAlignment="0" applyProtection="0"/>
    <xf numFmtId="0" fontId="158" fillId="64" borderId="0" applyNumberFormat="0" applyBorder="0" applyAlignment="0" applyProtection="0"/>
    <xf numFmtId="0" fontId="54" fillId="11" borderId="13" applyNumberFormat="0" applyAlignment="0" applyProtection="0"/>
    <xf numFmtId="0" fontId="156" fillId="55" borderId="13" applyNumberFormat="0" applyProtection="0">
      <alignment horizontal="left"/>
    </xf>
    <xf numFmtId="0" fontId="156" fillId="55" borderId="13" applyNumberFormat="0" applyProtection="0">
      <alignment horizontal="left"/>
    </xf>
    <xf numFmtId="0" fontId="156" fillId="55" borderId="13" applyNumberFormat="0" applyProtection="0">
      <alignment horizontal="left"/>
    </xf>
    <xf numFmtId="0" fontId="156" fillId="55" borderId="13" applyNumberFormat="0" applyProtection="0">
      <alignment horizontal="left"/>
    </xf>
    <xf numFmtId="0" fontId="54" fillId="70" borderId="13" applyNumberFormat="0" applyProtection="0">
      <alignment horizontal="left"/>
    </xf>
    <xf numFmtId="0" fontId="167" fillId="0" borderId="0"/>
    <xf numFmtId="0" fontId="21"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23" fillId="0" borderId="0"/>
    <xf numFmtId="0" fontId="52" fillId="0" borderId="0"/>
    <xf numFmtId="0" fontId="21" fillId="0" borderId="0"/>
    <xf numFmtId="0" fontId="21" fillId="0" borderId="0"/>
    <xf numFmtId="0" fontId="21" fillId="0" borderId="0"/>
    <xf numFmtId="0" fontId="21" fillId="0" borderId="0"/>
    <xf numFmtId="0" fontId="12" fillId="0" borderId="0"/>
    <xf numFmtId="0" fontId="12" fillId="0" borderId="0"/>
    <xf numFmtId="0" fontId="12" fillId="0" borderId="0"/>
    <xf numFmtId="0" fontId="12" fillId="0" borderId="0"/>
    <xf numFmtId="0" fontId="52" fillId="0" borderId="0"/>
    <xf numFmtId="0" fontId="5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0" fillId="0" borderId="0"/>
    <xf numFmtId="0" fontId="31" fillId="0" borderId="0"/>
    <xf numFmtId="0" fontId="23" fillId="0" borderId="0"/>
    <xf numFmtId="0" fontId="21" fillId="0" borderId="0"/>
    <xf numFmtId="0" fontId="32" fillId="0" borderId="0"/>
    <xf numFmtId="0" fontId="23" fillId="0" borderId="0"/>
    <xf numFmtId="0" fontId="23" fillId="0" borderId="0"/>
    <xf numFmtId="0" fontId="21" fillId="0" borderId="0"/>
    <xf numFmtId="0" fontId="21" fillId="0" borderId="0"/>
    <xf numFmtId="0" fontId="12" fillId="0" borderId="0"/>
    <xf numFmtId="0" fontId="12" fillId="0" borderId="0"/>
    <xf numFmtId="0" fontId="12" fillId="0" borderId="0"/>
    <xf numFmtId="0" fontId="12" fillId="0" borderId="0"/>
    <xf numFmtId="0" fontId="21" fillId="0" borderId="0"/>
    <xf numFmtId="0" fontId="21" fillId="0" borderId="0"/>
    <xf numFmtId="0" fontId="21" fillId="0" borderId="0"/>
    <xf numFmtId="0" fontId="21" fillId="0" borderId="0"/>
    <xf numFmtId="0" fontId="23" fillId="0" borderId="0"/>
    <xf numFmtId="0" fontId="98" fillId="0" borderId="0"/>
    <xf numFmtId="0" fontId="9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52" fillId="0" borderId="0"/>
    <xf numFmtId="0" fontId="21" fillId="0" borderId="0"/>
    <xf numFmtId="0" fontId="32" fillId="0" borderId="0"/>
    <xf numFmtId="0" fontId="32" fillId="0" borderId="0"/>
    <xf numFmtId="0" fontId="32" fillId="0" borderId="0"/>
    <xf numFmtId="0" fontId="32" fillId="0" borderId="0"/>
    <xf numFmtId="0" fontId="32" fillId="0" borderId="0"/>
    <xf numFmtId="0" fontId="21" fillId="0" borderId="0"/>
    <xf numFmtId="0" fontId="31" fillId="0" borderId="0"/>
    <xf numFmtId="0" fontId="21" fillId="0" borderId="0"/>
    <xf numFmtId="0" fontId="32" fillId="0" borderId="0"/>
    <xf numFmtId="0" fontId="32" fillId="0" borderId="0"/>
    <xf numFmtId="0" fontId="32" fillId="0" borderId="0"/>
    <xf numFmtId="0" fontId="21" fillId="0" borderId="0"/>
    <xf numFmtId="0" fontId="12" fillId="0" borderId="0"/>
    <xf numFmtId="0" fontId="1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32" fillId="0" borderId="0"/>
    <xf numFmtId="0" fontId="21" fillId="0" borderId="0"/>
    <xf numFmtId="0" fontId="12" fillId="0" borderId="0"/>
    <xf numFmtId="0" fontId="12" fillId="0" borderId="0"/>
    <xf numFmtId="0" fontId="12" fillId="0" borderId="0"/>
    <xf numFmtId="0" fontId="12" fillId="0" borderId="0"/>
    <xf numFmtId="0" fontId="122" fillId="0" borderId="0">
      <alignment horizontal="left"/>
    </xf>
    <xf numFmtId="0" fontId="23" fillId="0" borderId="0"/>
    <xf numFmtId="0" fontId="52" fillId="0" borderId="0"/>
    <xf numFmtId="0" fontId="32" fillId="0" borderId="0"/>
    <xf numFmtId="0" fontId="1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applyNumberFormat="0" applyFont="0" applyFill="0" applyBorder="0" applyAlignment="0" applyProtection="0">
      <alignment vertical="top"/>
    </xf>
    <xf numFmtId="0" fontId="12" fillId="0" borderId="0"/>
    <xf numFmtId="0" fontId="23" fillId="0" borderId="0" applyNumberFormat="0" applyFont="0" applyFill="0" applyBorder="0" applyAlignment="0" applyProtection="0">
      <alignment vertical="top"/>
    </xf>
    <xf numFmtId="0" fontId="21" fillId="0" borderId="0"/>
    <xf numFmtId="0" fontId="23" fillId="0" borderId="0"/>
    <xf numFmtId="0" fontId="12" fillId="0" borderId="0"/>
    <xf numFmtId="0" fontId="31" fillId="0" borderId="0"/>
    <xf numFmtId="0" fontId="32" fillId="0" borderId="0"/>
    <xf numFmtId="0" fontId="168" fillId="0" borderId="0"/>
    <xf numFmtId="0" fontId="12" fillId="0" borderId="0"/>
    <xf numFmtId="0" fontId="12" fillId="0" borderId="0"/>
    <xf numFmtId="0" fontId="12" fillId="0" borderId="0"/>
    <xf numFmtId="0" fontId="12" fillId="0" borderId="0"/>
    <xf numFmtId="0" fontId="23" fillId="0" borderId="0"/>
    <xf numFmtId="0" fontId="130" fillId="0" borderId="0"/>
    <xf numFmtId="0" fontId="12" fillId="0" borderId="0"/>
    <xf numFmtId="0" fontId="21" fillId="0" borderId="0"/>
    <xf numFmtId="0" fontId="12" fillId="0" borderId="0"/>
    <xf numFmtId="0" fontId="23" fillId="0" borderId="0"/>
    <xf numFmtId="0" fontId="21" fillId="0" borderId="0"/>
    <xf numFmtId="0" fontId="58" fillId="0" borderId="24" applyNumberFormat="0" applyFill="0" applyAlignment="0" applyProtection="0"/>
    <xf numFmtId="0" fontId="58" fillId="0" borderId="54" applyNumberFormat="0" applyFill="0" applyProtection="0">
      <alignment horizontal="left"/>
    </xf>
    <xf numFmtId="0" fontId="58" fillId="0" borderId="54" applyNumberFormat="0" applyFill="0" applyProtection="0">
      <alignment horizontal="left"/>
    </xf>
    <xf numFmtId="0" fontId="58" fillId="0" borderId="54" applyNumberFormat="0" applyFill="0" applyProtection="0">
      <alignment horizontal="left"/>
    </xf>
    <xf numFmtId="0" fontId="58" fillId="0" borderId="54" applyNumberFormat="0" applyFill="0" applyProtection="0">
      <alignment horizontal="left"/>
    </xf>
    <xf numFmtId="0" fontId="58" fillId="0" borderId="24" applyNumberFormat="0" applyFill="0" applyProtection="0">
      <alignment horizontal="left"/>
    </xf>
    <xf numFmtId="0" fontId="63" fillId="46" borderId="0" applyNumberFormat="0" applyBorder="0" applyAlignment="0" applyProtection="0"/>
    <xf numFmtId="0" fontId="157" fillId="8" borderId="0" applyNumberFormat="0" applyBorder="0" applyAlignment="0" applyProtection="0"/>
    <xf numFmtId="0" fontId="63" fillId="8"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8" borderId="0" applyNumberFormat="0" applyBorder="0" applyAlignment="0" applyProtection="0"/>
    <xf numFmtId="0" fontId="63" fillId="97" borderId="0" applyNumberFormat="0" applyBorder="0" applyProtection="0">
      <alignment horizontal="left"/>
    </xf>
    <xf numFmtId="0" fontId="63" fillId="97" borderId="0" applyNumberFormat="0" applyBorder="0" applyProtection="0">
      <alignment horizontal="left"/>
    </xf>
    <xf numFmtId="0" fontId="63" fillId="97" borderId="0" applyNumberFormat="0" applyBorder="0" applyProtection="0">
      <alignment horizontal="left"/>
    </xf>
    <xf numFmtId="0" fontId="63" fillId="97" borderId="0" applyNumberFormat="0" applyBorder="0" applyProtection="0">
      <alignment horizontal="left"/>
    </xf>
    <xf numFmtId="0" fontId="63" fillId="53" borderId="0" applyNumberFormat="0" applyBorder="0" applyProtection="0">
      <alignment horizontal="left"/>
    </xf>
    <xf numFmtId="0" fontId="64" fillId="0" borderId="0" applyNumberFormat="0" applyFill="0" applyBorder="0" applyAlignment="0" applyProtection="0"/>
    <xf numFmtId="0" fontId="39" fillId="0" borderId="0" applyNumberFormat="0" applyFill="0" applyBorder="0" applyAlignment="0" applyProtection="0"/>
    <xf numFmtId="0" fontId="109"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207" fontId="161" fillId="0" borderId="0" applyBorder="0">
      <alignment horizontal="center" vertical="center" wrapText="1"/>
      <protection locked="0"/>
    </xf>
    <xf numFmtId="0" fontId="21" fillId="5" borderId="19" applyNumberFormat="0" applyFont="0" applyAlignment="0" applyProtection="0"/>
    <xf numFmtId="0" fontId="21" fillId="5" borderId="19" applyNumberFormat="0" applyFont="0" applyAlignment="0" applyProtection="0"/>
    <xf numFmtId="0" fontId="52" fillId="38" borderId="19" applyNumberFormat="0" applyAlignment="0" applyProtection="0"/>
    <xf numFmtId="0" fontId="33" fillId="5" borderId="19" applyNumberFormat="0" applyFont="0" applyAlignment="0" applyProtection="0"/>
    <xf numFmtId="0" fontId="32" fillId="38" borderId="19" applyNumberFormat="0" applyAlignment="0" applyProtection="0"/>
    <xf numFmtId="0" fontId="21" fillId="5" borderId="19" applyNumberFormat="0" applyFont="0" applyAlignment="0" applyProtection="0"/>
    <xf numFmtId="0" fontId="32" fillId="5" borderId="19" applyNumberFormat="0" applyFont="0" applyAlignment="0" applyProtection="0"/>
    <xf numFmtId="0" fontId="52" fillId="38" borderId="19" applyNumberFormat="0" applyAlignment="0" applyProtection="0"/>
    <xf numFmtId="0" fontId="52" fillId="38" borderId="19" applyNumberFormat="0" applyAlignment="0" applyProtection="0"/>
    <xf numFmtId="0" fontId="23" fillId="38" borderId="19" applyNumberFormat="0" applyAlignment="0" applyProtection="0"/>
    <xf numFmtId="0" fontId="23" fillId="38" borderId="19" applyNumberFormat="0" applyAlignment="0" applyProtection="0"/>
    <xf numFmtId="0" fontId="21" fillId="5" borderId="19" applyNumberFormat="0" applyFont="0" applyAlignment="0" applyProtection="0"/>
    <xf numFmtId="0" fontId="122" fillId="71" borderId="19" applyNumberFormat="0" applyProtection="0">
      <alignment horizontal="left"/>
    </xf>
    <xf numFmtId="0" fontId="122" fillId="71" borderId="19" applyNumberFormat="0" applyProtection="0">
      <alignment horizontal="left"/>
    </xf>
    <xf numFmtId="0" fontId="122" fillId="71" borderId="19" applyNumberFormat="0" applyProtection="0">
      <alignment horizontal="left"/>
    </xf>
    <xf numFmtId="0" fontId="122" fillId="71" borderId="19" applyNumberFormat="0" applyProtection="0">
      <alignment horizontal="left"/>
    </xf>
    <xf numFmtId="0" fontId="122" fillId="98" borderId="19" applyNumberFormat="0" applyProtection="0">
      <alignment horizontal="left"/>
    </xf>
    <xf numFmtId="9" fontId="32" fillId="0" borderId="0" applyFont="0" applyFill="0" applyBorder="0" applyAlignment="0" applyProtection="0"/>
    <xf numFmtId="9" fontId="32" fillId="0" borderId="0" applyFont="0" applyFill="0" applyBorder="0" applyAlignment="0" applyProtection="0"/>
    <xf numFmtId="9" fontId="23" fillId="0" borderId="0" applyFill="0" applyBorder="0" applyAlignment="0" applyProtection="0"/>
    <xf numFmtId="9" fontId="113" fillId="0" borderId="0" applyFont="0" applyFill="0" applyBorder="0" applyAlignment="0" applyProtection="0"/>
    <xf numFmtId="9" fontId="100" fillId="0" borderId="0"/>
    <xf numFmtId="9" fontId="23" fillId="0" borderId="0" applyBorder="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ill="0" applyBorder="0" applyAlignment="0" applyProtection="0"/>
    <xf numFmtId="9" fontId="11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2" fillId="0" borderId="0" applyFill="0" applyBorder="0" applyAlignment="0" applyProtection="0"/>
    <xf numFmtId="9" fontId="21" fillId="0" borderId="0" applyFont="0" applyFill="0" applyBorder="0" applyAlignment="0" applyProtection="0"/>
    <xf numFmtId="9" fontId="23" fillId="0" borderId="0" applyFill="0" applyBorder="0" applyAlignment="0" applyProtection="0"/>
    <xf numFmtId="0" fontId="53" fillId="11" borderId="20" applyNumberFormat="0" applyAlignment="0" applyProtection="0"/>
    <xf numFmtId="0" fontId="53" fillId="70" borderId="20" applyNumberFormat="0" applyProtection="0">
      <alignment horizontal="left"/>
    </xf>
    <xf numFmtId="0" fontId="53" fillId="70" borderId="20" applyNumberFormat="0" applyProtection="0">
      <alignment horizontal="left"/>
    </xf>
    <xf numFmtId="0" fontId="53" fillId="62" borderId="20" applyNumberFormat="0" applyAlignment="0" applyProtection="0"/>
    <xf numFmtId="0" fontId="58" fillId="55" borderId="55" applyNumberFormat="0" applyProtection="0">
      <alignment horizontal="left"/>
    </xf>
    <xf numFmtId="0" fontId="58" fillId="55" borderId="55" applyNumberFormat="0" applyProtection="0">
      <alignment horizontal="left"/>
    </xf>
    <xf numFmtId="0" fontId="58" fillId="55" borderId="55" applyNumberFormat="0" applyProtection="0">
      <alignment horizontal="left"/>
    </xf>
    <xf numFmtId="0" fontId="58" fillId="55" borderId="55" applyNumberFormat="0" applyProtection="0">
      <alignment horizontal="left"/>
    </xf>
    <xf numFmtId="0" fontId="45" fillId="0" borderId="18" applyNumberFormat="0" applyFill="0" applyAlignment="0" applyProtection="0"/>
    <xf numFmtId="0" fontId="65" fillId="0" borderId="18" applyNumberFormat="0" applyFill="0" applyAlignment="0" applyProtection="0"/>
    <xf numFmtId="0" fontId="61" fillId="13" borderId="0" applyNumberFormat="0" applyBorder="0" applyAlignment="0" applyProtection="0"/>
    <xf numFmtId="0" fontId="158" fillId="71" borderId="0" applyNumberFormat="0" applyBorder="0" applyProtection="0">
      <alignment horizontal="left"/>
    </xf>
    <xf numFmtId="0" fontId="158" fillId="71" borderId="0" applyNumberFormat="0" applyBorder="0" applyProtection="0">
      <alignment horizontal="left"/>
    </xf>
    <xf numFmtId="0" fontId="158" fillId="71" borderId="0" applyNumberFormat="0" applyBorder="0" applyProtection="0">
      <alignment horizontal="left"/>
    </xf>
    <xf numFmtId="0" fontId="158" fillId="71" borderId="0" applyNumberFormat="0" applyBorder="0" applyProtection="0">
      <alignment horizontal="left"/>
    </xf>
    <xf numFmtId="0" fontId="61" fillId="99" borderId="0" applyNumberFormat="0" applyBorder="0" applyProtection="0">
      <alignment horizontal="left"/>
    </xf>
    <xf numFmtId="0" fontId="124" fillId="0" borderId="0"/>
    <xf numFmtId="0" fontId="124" fillId="0" borderId="0"/>
    <xf numFmtId="0" fontId="23" fillId="0" borderId="0"/>
    <xf numFmtId="0" fontId="159" fillId="0" borderId="1">
      <alignment vertical="center" wrapText="1"/>
    </xf>
    <xf numFmtId="0" fontId="21" fillId="0" borderId="0">
      <alignment vertical="justify"/>
    </xf>
    <xf numFmtId="0" fontId="66" fillId="0" borderId="0" applyNumberFormat="0" applyFill="0" applyBorder="0" applyAlignment="0" applyProtection="0"/>
    <xf numFmtId="0" fontId="66" fillId="0" borderId="0" applyNumberFormat="0" applyFill="0" applyBorder="0" applyProtection="0">
      <alignment horizontal="left"/>
    </xf>
    <xf numFmtId="0" fontId="66" fillId="0" borderId="0" applyNumberFormat="0" applyFill="0" applyBorder="0" applyProtection="0">
      <alignment horizontal="left"/>
    </xf>
    <xf numFmtId="0" fontId="66" fillId="0" borderId="0" applyNumberFormat="0" applyFill="0" applyBorder="0" applyProtection="0">
      <alignment horizontal="left"/>
    </xf>
    <xf numFmtId="0" fontId="66" fillId="0" borderId="0" applyNumberFormat="0" applyFill="0" applyBorder="0" applyProtection="0">
      <alignment horizontal="left"/>
    </xf>
    <xf numFmtId="0" fontId="66" fillId="0" borderId="0" applyNumberFormat="0" applyFill="0" applyBorder="0" applyProtection="0">
      <alignment horizontal="left"/>
    </xf>
    <xf numFmtId="0" fontId="64" fillId="0" borderId="0" applyNumberFormat="0" applyFill="0" applyBorder="0" applyAlignment="0" applyProtection="0"/>
    <xf numFmtId="0" fontId="64" fillId="0" borderId="0" applyNumberFormat="0" applyFill="0" applyBorder="0" applyProtection="0">
      <alignment horizontal="left"/>
    </xf>
    <xf numFmtId="0" fontId="64" fillId="0" borderId="0" applyNumberFormat="0" applyFill="0" applyBorder="0" applyProtection="0">
      <alignment horizontal="left"/>
    </xf>
    <xf numFmtId="0" fontId="64" fillId="0" borderId="0" applyNumberFormat="0" applyFill="0" applyBorder="0" applyProtection="0">
      <alignment horizontal="left"/>
    </xf>
    <xf numFmtId="0" fontId="64" fillId="0" borderId="0" applyNumberFormat="0" applyFill="0" applyBorder="0" applyProtection="0">
      <alignment horizontal="left"/>
    </xf>
    <xf numFmtId="0" fontId="64" fillId="0" borderId="0" applyNumberFormat="0" applyFill="0" applyBorder="0" applyProtection="0">
      <alignment horizontal="left"/>
    </xf>
    <xf numFmtId="0" fontId="50" fillId="0" borderId="0" applyNumberFormat="0" applyFill="0" applyBorder="0" applyAlignment="0" applyProtection="0"/>
    <xf numFmtId="0" fontId="66" fillId="0" borderId="0" applyNumberFormat="0" applyFill="0" applyBorder="0" applyAlignment="0" applyProtection="0"/>
    <xf numFmtId="164" fontId="160" fillId="0" borderId="0" applyFont="0" applyFill="0" applyBorder="0" applyAlignment="0" applyProtection="0"/>
    <xf numFmtId="165" fontId="16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81" fontId="32" fillId="0" borderId="0" applyFont="0" applyFill="0" applyBorder="0" applyAlignment="0" applyProtection="0"/>
    <xf numFmtId="165" fontId="23" fillId="0" borderId="0" applyFont="0" applyFill="0" applyBorder="0" applyAlignment="0" applyProtection="0"/>
    <xf numFmtId="209" fontId="52" fillId="0" borderId="0" applyFill="0" applyBorder="0" applyAlignment="0" applyProtection="0"/>
    <xf numFmtId="174" fontId="52" fillId="0" borderId="0" applyFill="0" applyBorder="0" applyAlignment="0" applyProtection="0"/>
    <xf numFmtId="165" fontId="32" fillId="0" borderId="0" applyFont="0" applyFill="0" applyBorder="0" applyAlignment="0" applyProtection="0"/>
    <xf numFmtId="165" fontId="23" fillId="0" borderId="0" applyFont="0" applyFill="0" applyBorder="0" applyAlignment="0" applyProtection="0"/>
    <xf numFmtId="174" fontId="23" fillId="0" borderId="0" applyFill="0" applyBorder="0" applyAlignment="0" applyProtection="0"/>
    <xf numFmtId="174" fontId="52"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206" fontId="23"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84" fontId="52" fillId="0" borderId="0" applyFill="0" applyBorder="0" applyAlignment="0" applyProtection="0"/>
    <xf numFmtId="168" fontId="21" fillId="0" borderId="0" applyFont="0" applyFill="0" applyBorder="0" applyAlignment="0" applyProtection="0"/>
    <xf numFmtId="208" fontId="52" fillId="0" borderId="0" applyFill="0" applyBorder="0" applyAlignment="0" applyProtection="0"/>
    <xf numFmtId="184" fontId="52" fillId="0" borderId="0" applyFill="0" applyBorder="0" applyAlignment="0" applyProtection="0"/>
    <xf numFmtId="184" fontId="23" fillId="0" borderId="0" applyFill="0" applyBorder="0" applyAlignment="0" applyProtection="0"/>
    <xf numFmtId="168" fontId="21" fillId="0" borderId="0" applyFont="0" applyFill="0" applyBorder="0" applyAlignment="0" applyProtection="0"/>
    <xf numFmtId="167"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43" fontId="21" fillId="0" borderId="0" applyFont="0" applyFill="0" applyBorder="0" applyAlignment="0" applyProtection="0"/>
    <xf numFmtId="167" fontId="21" fillId="0" borderId="0" applyFont="0" applyFill="0" applyBorder="0" applyAlignment="0" applyProtection="0"/>
    <xf numFmtId="211" fontId="23" fillId="0" borderId="0" applyFill="0" applyBorder="0" applyAlignment="0" applyProtection="0"/>
    <xf numFmtId="167" fontId="32" fillId="0" borderId="0" applyFont="0" applyFill="0" applyBorder="0" applyAlignment="0" applyProtection="0"/>
    <xf numFmtId="168" fontId="32" fillId="0" borderId="0" applyFont="0" applyFill="0" applyBorder="0" applyAlignment="0" applyProtection="0"/>
    <xf numFmtId="180" fontId="21" fillId="0" borderId="0" applyFont="0" applyFill="0" applyBorder="0" applyAlignment="0" applyProtection="0"/>
    <xf numFmtId="168" fontId="21" fillId="0" borderId="0" applyFont="0" applyFill="0" applyBorder="0" applyAlignment="0" applyProtection="0"/>
    <xf numFmtId="165" fontId="112" fillId="0" borderId="0" applyFill="0" applyBorder="0" applyAlignment="0" applyProtection="0"/>
    <xf numFmtId="43" fontId="21" fillId="0" borderId="0" applyFont="0" applyFill="0" applyBorder="0" applyAlignment="0" applyProtection="0"/>
    <xf numFmtId="0" fontId="40" fillId="9" borderId="0" applyNumberFormat="0" applyBorder="0" applyAlignment="0" applyProtection="0"/>
    <xf numFmtId="0" fontId="67" fillId="37" borderId="0" applyNumberFormat="0" applyBorder="0" applyAlignment="0" applyProtection="0"/>
    <xf numFmtId="0" fontId="67" fillId="9"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207" fontId="161" fillId="42" borderId="35" applyFill="0" applyBorder="0">
      <alignment horizontal="center" vertical="center" wrapText="1"/>
      <protection locked="0"/>
    </xf>
    <xf numFmtId="198" fontId="162" fillId="0" borderId="0">
      <alignment wrapText="1"/>
    </xf>
    <xf numFmtId="198" fontId="129" fillId="0" borderId="0">
      <alignment wrapText="1"/>
    </xf>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32" fillId="0" borderId="0"/>
    <xf numFmtId="0" fontId="32" fillId="44" borderId="0" applyNumberFormat="0" applyBorder="0" applyAlignment="0" applyProtection="0"/>
    <xf numFmtId="0" fontId="32" fillId="7" borderId="0" applyNumberFormat="0" applyBorder="0" applyAlignment="0" applyProtection="0"/>
    <xf numFmtId="0" fontId="32" fillId="44" borderId="0" applyNumberFormat="0" applyBorder="0" applyAlignment="0" applyProtection="0"/>
    <xf numFmtId="0" fontId="32" fillId="34" borderId="0" applyNumberFormat="0" applyBorder="0" applyAlignment="0" applyProtection="0"/>
    <xf numFmtId="0" fontId="32" fillId="44" borderId="0" applyNumberFormat="0" applyBorder="0" applyAlignment="0" applyProtection="0"/>
    <xf numFmtId="0" fontId="32" fillId="3" borderId="0" applyNumberFormat="0" applyBorder="0" applyAlignment="0" applyProtection="0"/>
    <xf numFmtId="0" fontId="32" fillId="4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45" borderId="0" applyNumberFormat="0" applyBorder="0" applyAlignment="0" applyProtection="0"/>
    <xf numFmtId="0" fontId="32" fillId="8"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5" borderId="0" applyNumberFormat="0" applyBorder="0" applyAlignment="0" applyProtection="0"/>
    <xf numFmtId="0" fontId="32" fillId="4" borderId="0" applyNumberFormat="0" applyBorder="0" applyAlignment="0" applyProtection="0"/>
    <xf numFmtId="0" fontId="32" fillId="4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44" borderId="0" applyNumberFormat="0" applyBorder="0" applyAlignment="0" applyProtection="0"/>
    <xf numFmtId="0" fontId="32" fillId="10" borderId="0" applyNumberFormat="0" applyBorder="0" applyAlignment="0" applyProtection="0"/>
    <xf numFmtId="0" fontId="32" fillId="44" borderId="0" applyNumberFormat="0" applyBorder="0" applyAlignment="0" applyProtection="0"/>
    <xf numFmtId="0" fontId="32" fillId="47" borderId="0" applyNumberFormat="0" applyBorder="0" applyAlignment="0" applyProtection="0"/>
    <xf numFmtId="0" fontId="32" fillId="44" borderId="0" applyNumberFormat="0" applyBorder="0" applyAlignment="0" applyProtection="0"/>
    <xf numFmtId="0" fontId="32" fillId="3" borderId="0" applyNumberFormat="0" applyBorder="0" applyAlignment="0" applyProtection="0"/>
    <xf numFmtId="0" fontId="32" fillId="4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48" borderId="0" applyNumberFormat="0" applyBorder="0" applyAlignment="0" applyProtection="0"/>
    <xf numFmtId="0" fontId="32" fillId="6"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5" borderId="0" applyNumberFormat="0" applyBorder="0" applyAlignment="0" applyProtection="0"/>
    <xf numFmtId="0" fontId="32" fillId="4" borderId="0" applyNumberFormat="0" applyBorder="0" applyAlignment="0" applyProtection="0"/>
    <xf numFmtId="0" fontId="32" fillId="45" borderId="0" applyNumberFormat="0" applyBorder="0" applyAlignment="0" applyProtection="0"/>
    <xf numFmtId="0" fontId="32" fillId="3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7" borderId="0" applyNumberFormat="0" applyBorder="0" applyAlignment="0" applyProtection="0"/>
    <xf numFmtId="0" fontId="32" fillId="50" borderId="0" applyNumberFormat="0" applyBorder="0" applyProtection="0">
      <alignment horizontal="left"/>
    </xf>
    <xf numFmtId="0" fontId="32" fillId="50" borderId="0" applyNumberFormat="0" applyBorder="0" applyProtection="0">
      <alignment horizontal="left"/>
    </xf>
    <xf numFmtId="0" fontId="32" fillId="50" borderId="0" applyNumberFormat="0" applyBorder="0" applyProtection="0">
      <alignment horizontal="left"/>
    </xf>
    <xf numFmtId="0" fontId="32" fillId="50" borderId="0" applyNumberFormat="0" applyBorder="0" applyProtection="0">
      <alignment horizontal="left"/>
    </xf>
    <xf numFmtId="0" fontId="32" fillId="8" borderId="0" applyNumberFormat="0" applyBorder="0" applyAlignment="0" applyProtection="0"/>
    <xf numFmtId="0" fontId="32" fillId="52" borderId="0" applyNumberFormat="0" applyBorder="0" applyProtection="0">
      <alignment horizontal="left"/>
    </xf>
    <xf numFmtId="0" fontId="32" fillId="52" borderId="0" applyNumberFormat="0" applyBorder="0" applyProtection="0">
      <alignment horizontal="left"/>
    </xf>
    <xf numFmtId="0" fontId="32" fillId="52" borderId="0" applyNumberFormat="0" applyBorder="0" applyProtection="0">
      <alignment horizontal="left"/>
    </xf>
    <xf numFmtId="0" fontId="32" fillId="52" borderId="0" applyNumberFormat="0" applyBorder="0" applyProtection="0">
      <alignment horizontal="left"/>
    </xf>
    <xf numFmtId="0" fontId="32" fillId="9" borderId="0" applyNumberFormat="0" applyBorder="0" applyAlignment="0" applyProtection="0"/>
    <xf numFmtId="0" fontId="32" fillId="54" borderId="0" applyNumberFormat="0" applyBorder="0" applyProtection="0">
      <alignment horizontal="left"/>
    </xf>
    <xf numFmtId="0" fontId="32" fillId="54" borderId="0" applyNumberFormat="0" applyBorder="0" applyProtection="0">
      <alignment horizontal="left"/>
    </xf>
    <xf numFmtId="0" fontId="32" fillId="54" borderId="0" applyNumberFormat="0" applyBorder="0" applyProtection="0">
      <alignment horizontal="left"/>
    </xf>
    <xf numFmtId="0" fontId="32" fillId="54" borderId="0" applyNumberFormat="0" applyBorder="0" applyProtection="0">
      <alignment horizontal="left"/>
    </xf>
    <xf numFmtId="0" fontId="32" fillId="10" borderId="0" applyNumberFormat="0" applyBorder="0" applyAlignment="0" applyProtection="0"/>
    <xf numFmtId="0" fontId="32" fillId="55" borderId="0" applyNumberFormat="0" applyBorder="0" applyProtection="0">
      <alignment horizontal="left"/>
    </xf>
    <xf numFmtId="0" fontId="32" fillId="55" borderId="0" applyNumberFormat="0" applyBorder="0" applyProtection="0">
      <alignment horizontal="left"/>
    </xf>
    <xf numFmtId="0" fontId="32" fillId="55" borderId="0" applyNumberFormat="0" applyBorder="0" applyProtection="0">
      <alignment horizontal="left"/>
    </xf>
    <xf numFmtId="0" fontId="32" fillId="55" borderId="0" applyNumberFormat="0" applyBorder="0" applyProtection="0">
      <alignment horizontal="left"/>
    </xf>
    <xf numFmtId="0" fontId="32" fillId="6" borderId="0" applyNumberFormat="0" applyBorder="0" applyAlignment="0" applyProtection="0"/>
    <xf numFmtId="0" fontId="32" fillId="57" borderId="0" applyNumberFormat="0" applyBorder="0" applyProtection="0">
      <alignment horizontal="left"/>
    </xf>
    <xf numFmtId="0" fontId="32" fillId="57" borderId="0" applyNumberFormat="0" applyBorder="0" applyProtection="0">
      <alignment horizontal="left"/>
    </xf>
    <xf numFmtId="0" fontId="32" fillId="57" borderId="0" applyNumberFormat="0" applyBorder="0" applyProtection="0">
      <alignment horizontal="left"/>
    </xf>
    <xf numFmtId="0" fontId="32" fillId="57" borderId="0" applyNumberFormat="0" applyBorder="0" applyProtection="0">
      <alignment horizontal="left"/>
    </xf>
    <xf numFmtId="0" fontId="32" fillId="4" borderId="0" applyNumberFormat="0" applyBorder="0" applyAlignment="0" applyProtection="0"/>
    <xf numFmtId="0" fontId="32" fillId="58" borderId="0" applyNumberFormat="0" applyBorder="0" applyProtection="0">
      <alignment horizontal="left"/>
    </xf>
    <xf numFmtId="0" fontId="32" fillId="58" borderId="0" applyNumberFormat="0" applyBorder="0" applyProtection="0">
      <alignment horizontal="left"/>
    </xf>
    <xf numFmtId="0" fontId="32" fillId="58" borderId="0" applyNumberFormat="0" applyBorder="0" applyProtection="0">
      <alignment horizontal="left"/>
    </xf>
    <xf numFmtId="0" fontId="32" fillId="58" borderId="0" applyNumberFormat="0" applyBorder="0" applyProtection="0">
      <alignment horizontal="left"/>
    </xf>
    <xf numFmtId="0" fontId="32" fillId="60" borderId="0" applyNumberFormat="0" applyBorder="0" applyAlignment="0" applyProtection="0"/>
    <xf numFmtId="0" fontId="32" fillId="14"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60" borderId="0" applyNumberFormat="0" applyBorder="0" applyAlignment="0" applyProtection="0"/>
    <xf numFmtId="0" fontId="32" fillId="11" borderId="0" applyNumberFormat="0" applyBorder="0" applyAlignment="0" applyProtection="0"/>
    <xf numFmtId="0" fontId="32" fillId="60"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2" fillId="12"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4" borderId="0" applyNumberFormat="0" applyBorder="0" applyAlignment="0" applyProtection="0"/>
    <xf numFmtId="0" fontId="32" fillId="15" borderId="0" applyNumberFormat="0" applyBorder="0" applyAlignment="0" applyProtection="0"/>
    <xf numFmtId="0" fontId="32" fillId="64" borderId="0" applyNumberFormat="0" applyBorder="0" applyAlignment="0" applyProtection="0"/>
    <xf numFmtId="0" fontId="32" fillId="65" borderId="0" applyNumberFormat="0" applyBorder="0" applyAlignment="0" applyProtection="0"/>
    <xf numFmtId="0" fontId="32" fillId="64" borderId="0" applyNumberFormat="0" applyBorder="0" applyAlignment="0" applyProtection="0"/>
    <xf numFmtId="0" fontId="32" fillId="13" borderId="0" applyNumberFormat="0" applyBorder="0" applyAlignment="0" applyProtection="0"/>
    <xf numFmtId="0" fontId="32" fillId="64" borderId="0" applyNumberFormat="0" applyBorder="0" applyAlignment="0" applyProtection="0"/>
    <xf numFmtId="0" fontId="32" fillId="64" borderId="0" applyNumberFormat="0" applyBorder="0" applyAlignment="0" applyProtection="0"/>
    <xf numFmtId="0" fontId="32" fillId="60" borderId="0" applyNumberFormat="0" applyBorder="0" applyAlignment="0" applyProtection="0"/>
    <xf numFmtId="0" fontId="32" fillId="10" borderId="0" applyNumberFormat="0" applyBorder="0" applyAlignment="0" applyProtection="0"/>
    <xf numFmtId="0" fontId="32" fillId="60" borderId="0" applyNumberFormat="0" applyBorder="0" applyAlignment="0" applyProtection="0"/>
    <xf numFmtId="0" fontId="32" fillId="47" borderId="0" applyNumberFormat="0" applyBorder="0" applyAlignment="0" applyProtection="0"/>
    <xf numFmtId="0" fontId="32" fillId="60" borderId="0" applyNumberFormat="0" applyBorder="0" applyAlignment="0" applyProtection="0"/>
    <xf numFmtId="0" fontId="32" fillId="11" borderId="0" applyNumberFormat="0" applyBorder="0" applyAlignment="0" applyProtection="0"/>
    <xf numFmtId="0" fontId="32" fillId="60" borderId="0" applyNumberFormat="0" applyBorder="0" applyAlignment="0" applyProtection="0"/>
    <xf numFmtId="0" fontId="32" fillId="62" borderId="0" applyNumberFormat="0" applyBorder="0" applyAlignment="0" applyProtection="0"/>
    <xf numFmtId="0" fontId="32" fillId="62" borderId="0" applyNumberFormat="0" applyBorder="0" applyAlignment="0" applyProtection="0"/>
    <xf numFmtId="0" fontId="32" fillId="66" borderId="0" applyNumberFormat="0" applyBorder="0" applyAlignment="0" applyProtection="0"/>
    <xf numFmtId="0" fontId="32" fillId="14" borderId="0" applyNumberFormat="0" applyBorder="0" applyAlignment="0" applyProtection="0"/>
    <xf numFmtId="0" fontId="32" fillId="66" borderId="0" applyNumberFormat="0" applyBorder="0" applyAlignment="0" applyProtection="0"/>
    <xf numFmtId="0" fontId="32" fillId="61"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61" borderId="0" applyNumberFormat="0" applyBorder="0" applyAlignment="0" applyProtection="0"/>
    <xf numFmtId="0" fontId="32" fillId="61" borderId="0" applyNumberFormat="0" applyBorder="0" applyAlignment="0" applyProtection="0"/>
    <xf numFmtId="0" fontId="32" fillId="45" borderId="0" applyNumberFormat="0" applyBorder="0" applyAlignment="0" applyProtection="0"/>
    <xf numFmtId="0" fontId="32" fillId="16" borderId="0" applyNumberFormat="0" applyBorder="0" applyAlignment="0" applyProtection="0"/>
    <xf numFmtId="0" fontId="32" fillId="45" borderId="0" applyNumberFormat="0" applyBorder="0" applyAlignment="0" applyProtection="0"/>
    <xf numFmtId="0" fontId="32" fillId="67" borderId="0" applyNumberFormat="0" applyBorder="0" applyAlignment="0" applyProtection="0"/>
    <xf numFmtId="0" fontId="32" fillId="45" borderId="0" applyNumberFormat="0" applyBorder="0" applyAlignment="0" applyProtection="0"/>
    <xf numFmtId="0" fontId="32" fillId="4" borderId="0" applyNumberFormat="0" applyBorder="0" applyAlignment="0" applyProtection="0"/>
    <xf numFmtId="0" fontId="32" fillId="4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14" borderId="0" applyNumberFormat="0" applyBorder="0" applyAlignment="0" applyProtection="0"/>
    <xf numFmtId="0" fontId="32" fillId="57" borderId="0" applyNumberFormat="0" applyBorder="0" applyProtection="0">
      <alignment horizontal="left"/>
    </xf>
    <xf numFmtId="0" fontId="32" fillId="57" borderId="0" applyNumberFormat="0" applyBorder="0" applyProtection="0">
      <alignment horizontal="left"/>
    </xf>
    <xf numFmtId="0" fontId="32" fillId="57" borderId="0" applyNumberFormat="0" applyBorder="0" applyProtection="0">
      <alignment horizontal="left"/>
    </xf>
    <xf numFmtId="0" fontId="32" fillId="57" borderId="0" applyNumberFormat="0" applyBorder="0" applyProtection="0">
      <alignment horizontal="left"/>
    </xf>
    <xf numFmtId="0" fontId="32" fillId="12" borderId="0" applyNumberFormat="0" applyBorder="0" applyAlignment="0" applyProtection="0"/>
    <xf numFmtId="0" fontId="32" fillId="69" borderId="0" applyNumberFormat="0" applyBorder="0" applyProtection="0">
      <alignment horizontal="left"/>
    </xf>
    <xf numFmtId="0" fontId="32" fillId="69" borderId="0" applyNumberFormat="0" applyBorder="0" applyProtection="0">
      <alignment horizontal="left"/>
    </xf>
    <xf numFmtId="0" fontId="32" fillId="69" borderId="0" applyNumberFormat="0" applyBorder="0" applyProtection="0">
      <alignment horizontal="left"/>
    </xf>
    <xf numFmtId="0" fontId="32" fillId="69" borderId="0" applyNumberFormat="0" applyBorder="0" applyProtection="0">
      <alignment horizontal="left"/>
    </xf>
    <xf numFmtId="0" fontId="32" fillId="15" borderId="0" applyNumberFormat="0" applyBorder="0" applyAlignment="0" applyProtection="0"/>
    <xf numFmtId="0" fontId="32" fillId="54" borderId="0" applyNumberFormat="0" applyBorder="0" applyProtection="0">
      <alignment horizontal="left"/>
    </xf>
    <xf numFmtId="0" fontId="32" fillId="54" borderId="0" applyNumberFormat="0" applyBorder="0" applyProtection="0">
      <alignment horizontal="left"/>
    </xf>
    <xf numFmtId="0" fontId="32" fillId="54" borderId="0" applyNumberFormat="0" applyBorder="0" applyProtection="0">
      <alignment horizontal="left"/>
    </xf>
    <xf numFmtId="0" fontId="32" fillId="54" borderId="0" applyNumberFormat="0" applyBorder="0" applyProtection="0">
      <alignment horizontal="left"/>
    </xf>
    <xf numFmtId="0" fontId="32" fillId="10" borderId="0" applyNumberFormat="0" applyBorder="0" applyAlignment="0" applyProtection="0"/>
    <xf numFmtId="0" fontId="32" fillId="70" borderId="0" applyNumberFormat="0" applyBorder="0" applyProtection="0">
      <alignment horizontal="left"/>
    </xf>
    <xf numFmtId="0" fontId="32" fillId="70" borderId="0" applyNumberFormat="0" applyBorder="0" applyProtection="0">
      <alignment horizontal="left"/>
    </xf>
    <xf numFmtId="0" fontId="32" fillId="70" borderId="0" applyNumberFormat="0" applyBorder="0" applyProtection="0">
      <alignment horizontal="left"/>
    </xf>
    <xf numFmtId="0" fontId="32" fillId="70" borderId="0" applyNumberFormat="0" applyBorder="0" applyProtection="0">
      <alignment horizontal="left"/>
    </xf>
    <xf numFmtId="0" fontId="32" fillId="14" borderId="0" applyNumberFormat="0" applyBorder="0" applyAlignment="0" applyProtection="0"/>
    <xf numFmtId="0" fontId="32" fillId="57" borderId="0" applyNumberFormat="0" applyBorder="0" applyProtection="0">
      <alignment horizontal="left"/>
    </xf>
    <xf numFmtId="0" fontId="32" fillId="57" borderId="0" applyNumberFormat="0" applyBorder="0" applyProtection="0">
      <alignment horizontal="left"/>
    </xf>
    <xf numFmtId="0" fontId="32" fillId="57" borderId="0" applyNumberFormat="0" applyBorder="0" applyProtection="0">
      <alignment horizontal="left"/>
    </xf>
    <xf numFmtId="0" fontId="32" fillId="57" borderId="0" applyNumberFormat="0" applyBorder="0" applyProtection="0">
      <alignment horizontal="left"/>
    </xf>
    <xf numFmtId="0" fontId="32" fillId="16" borderId="0" applyNumberFormat="0" applyBorder="0" applyAlignment="0" applyProtection="0"/>
    <xf numFmtId="0" fontId="32" fillId="71" borderId="0" applyNumberFormat="0" applyBorder="0" applyProtection="0">
      <alignment horizontal="left"/>
    </xf>
    <xf numFmtId="0" fontId="32" fillId="71" borderId="0" applyNumberFormat="0" applyBorder="0" applyProtection="0">
      <alignment horizontal="left"/>
    </xf>
    <xf numFmtId="0" fontId="32" fillId="71" borderId="0" applyNumberFormat="0" applyBorder="0" applyProtection="0">
      <alignment horizontal="left"/>
    </xf>
    <xf numFmtId="0" fontId="32" fillId="71" borderId="0" applyNumberFormat="0" applyBorder="0" applyProtection="0">
      <alignment horizontal="left"/>
    </xf>
    <xf numFmtId="207" fontId="161" fillId="0" borderId="0" applyBorder="0">
      <alignment horizontal="center" vertical="center" wrapText="1"/>
      <protection locked="0"/>
    </xf>
    <xf numFmtId="9" fontId="23" fillId="0" borderId="0" applyBorder="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8" borderId="19" applyNumberFormat="0" applyAlignment="0" applyProtection="0"/>
    <xf numFmtId="0" fontId="32" fillId="5" borderId="19"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81"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7" fontId="32" fillId="0" borderId="0" applyFont="0" applyFill="0" applyBorder="0" applyAlignment="0" applyProtection="0"/>
    <xf numFmtId="168" fontId="3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3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8" fillId="55" borderId="55" applyNumberFormat="0" applyProtection="0">
      <alignment horizontal="left"/>
    </xf>
    <xf numFmtId="0" fontId="58" fillId="55" borderId="55" applyNumberFormat="0" applyProtection="0">
      <alignment horizontal="left"/>
    </xf>
    <xf numFmtId="0" fontId="58" fillId="55" borderId="55" applyNumberFormat="0" applyProtection="0">
      <alignment horizontal="left"/>
    </xf>
    <xf numFmtId="0" fontId="58" fillId="55" borderId="55" applyNumberFormat="0" applyProtection="0">
      <alignment horizontal="left"/>
    </xf>
    <xf numFmtId="0" fontId="53" fillId="70" borderId="20" applyNumberFormat="0" applyProtection="0">
      <alignment horizontal="left"/>
    </xf>
    <xf numFmtId="0" fontId="53" fillId="70" borderId="20" applyNumberFormat="0" applyProtection="0">
      <alignment horizontal="left"/>
    </xf>
    <xf numFmtId="0" fontId="53" fillId="11" borderId="20" applyNumberFormat="0" applyAlignment="0" applyProtection="0"/>
    <xf numFmtId="0" fontId="58" fillId="0" borderId="54" applyNumberFormat="0" applyFill="0" applyProtection="0">
      <alignment horizontal="left"/>
    </xf>
    <xf numFmtId="0" fontId="58" fillId="0" borderId="54" applyNumberFormat="0" applyFill="0" applyProtection="0">
      <alignment horizontal="left"/>
    </xf>
    <xf numFmtId="0" fontId="58" fillId="0" borderId="54" applyNumberFormat="0" applyFill="0" applyProtection="0">
      <alignment horizontal="left"/>
    </xf>
    <xf numFmtId="0" fontId="58" fillId="0" borderId="54" applyNumberFormat="0" applyFill="0" applyProtection="0">
      <alignment horizontal="left"/>
    </xf>
    <xf numFmtId="0" fontId="58" fillId="0" borderId="24" applyNumberFormat="0" applyFill="0" applyAlignment="0" applyProtection="0"/>
    <xf numFmtId="0" fontId="58" fillId="0" borderId="21" applyNumberFormat="0" applyFill="0" applyAlignment="0" applyProtection="0"/>
    <xf numFmtId="0" fontId="58" fillId="0" borderId="21" applyNumberFormat="0" applyFill="0" applyAlignment="0" applyProtection="0"/>
    <xf numFmtId="0" fontId="58" fillId="0" borderId="21" applyNumberFormat="0" applyFill="0" applyAlignment="0" applyProtection="0"/>
    <xf numFmtId="0" fontId="58" fillId="0" borderId="21" applyNumberFormat="0" applyFill="0" applyAlignment="0" applyProtection="0"/>
    <xf numFmtId="0" fontId="49" fillId="0" borderId="24" applyNumberFormat="0" applyFill="0" applyAlignment="0" applyProtection="0"/>
    <xf numFmtId="0" fontId="58" fillId="0" borderId="21" applyNumberFormat="0" applyFill="0" applyAlignment="0" applyProtection="0"/>
    <xf numFmtId="0" fontId="58" fillId="0" borderId="24" applyNumberFormat="0" applyFill="0" applyAlignment="0" applyProtection="0"/>
    <xf numFmtId="0" fontId="53" fillId="44" borderId="20" applyNumberFormat="0" applyAlignment="0" applyProtection="0"/>
    <xf numFmtId="0" fontId="53" fillId="44" borderId="20" applyNumberFormat="0" applyAlignment="0" applyProtection="0"/>
    <xf numFmtId="0" fontId="53" fillId="44" borderId="20" applyNumberFormat="0" applyAlignment="0" applyProtection="0"/>
    <xf numFmtId="0" fontId="53" fillId="3" borderId="20" applyNumberFormat="0" applyAlignment="0" applyProtection="0"/>
    <xf numFmtId="0" fontId="53" fillId="11" borderId="20" applyNumberFormat="0" applyAlignment="0" applyProtection="0"/>
    <xf numFmtId="0" fontId="53" fillId="62" borderId="20" applyNumberFormat="0" applyAlignment="0" applyProtection="0"/>
    <xf numFmtId="0" fontId="47" fillId="11" borderId="20" applyNumberFormat="0" applyAlignment="0" applyProtection="0"/>
    <xf numFmtId="0" fontId="53" fillId="44" borderId="20" applyNumberFormat="0" applyAlignment="0" applyProtection="0"/>
    <xf numFmtId="0" fontId="53" fillId="11" borderId="20" applyNumberFormat="0" applyAlignment="0" applyProtection="0"/>
    <xf numFmtId="0" fontId="49" fillId="0" borderId="21" applyNumberFormat="0" applyFill="0" applyAlignment="0" applyProtection="0"/>
    <xf numFmtId="0" fontId="49" fillId="0" borderId="21" applyNumberFormat="0" applyFill="0" applyAlignment="0" applyProtection="0"/>
    <xf numFmtId="0" fontId="47" fillId="3" borderId="20" applyNumberFormat="0" applyAlignment="0" applyProtection="0"/>
    <xf numFmtId="0" fontId="47" fillId="3" borderId="20" applyNumberFormat="0" applyAlignment="0" applyProtection="0"/>
    <xf numFmtId="185" fontId="125" fillId="0" borderId="12" applyAlignment="0" applyProtection="0"/>
    <xf numFmtId="0" fontId="37" fillId="3" borderId="13" applyNumberFormat="0" applyAlignment="0" applyProtection="0"/>
    <xf numFmtId="0" fontId="37" fillId="3" borderId="13" applyNumberFormat="0" applyAlignment="0" applyProtection="0"/>
    <xf numFmtId="0" fontId="44" fillId="4" borderId="13" applyNumberFormat="0" applyAlignment="0" applyProtection="0"/>
    <xf numFmtId="0" fontId="44" fillId="4" borderId="13" applyNumberFormat="0" applyAlignment="0" applyProtection="0"/>
    <xf numFmtId="0" fontId="24" fillId="5" borderId="19" applyNumberFormat="0" applyFont="0" applyAlignment="0" applyProtection="0"/>
    <xf numFmtId="0" fontId="24" fillId="5" borderId="19" applyNumberFormat="0" applyFont="0" applyAlignment="0" applyProtection="0"/>
    <xf numFmtId="0" fontId="86" fillId="38" borderId="13" applyNumberFormat="0" applyAlignment="0" applyProtection="0"/>
    <xf numFmtId="0" fontId="24" fillId="5" borderId="19" applyNumberFormat="0" applyFont="0" applyAlignment="0" applyProtection="0"/>
    <xf numFmtId="0" fontId="86" fillId="38" borderId="13" applyNumberFormat="0" applyAlignment="0" applyProtection="0"/>
    <xf numFmtId="0" fontId="24" fillId="5" borderId="19" applyNumberFormat="0" applyFont="0" applyAlignment="0" applyProtection="0"/>
    <xf numFmtId="0" fontId="51" fillId="4" borderId="13" applyNumberFormat="0" applyAlignment="0" applyProtection="0"/>
    <xf numFmtId="0" fontId="148" fillId="52" borderId="13" applyNumberFormat="0" applyProtection="0">
      <alignment horizontal="left"/>
    </xf>
    <xf numFmtId="0" fontId="148" fillId="52" borderId="13" applyNumberFormat="0" applyProtection="0">
      <alignment horizontal="left"/>
    </xf>
    <xf numFmtId="0" fontId="148" fillId="52" borderId="13" applyNumberFormat="0" applyProtection="0">
      <alignment horizontal="left"/>
    </xf>
    <xf numFmtId="0" fontId="148" fillId="52" borderId="13" applyNumberFormat="0" applyProtection="0">
      <alignment horizontal="left"/>
    </xf>
    <xf numFmtId="0" fontId="51" fillId="4" borderId="13" applyNumberFormat="0" applyAlignment="0" applyProtection="0"/>
    <xf numFmtId="0" fontId="44" fillId="4" borderId="13" applyNumberFormat="0" applyAlignment="0" applyProtection="0"/>
    <xf numFmtId="0" fontId="51" fillId="35" borderId="13" applyNumberFormat="0" applyAlignment="0" applyProtection="0"/>
    <xf numFmtId="0" fontId="51" fillId="4" borderId="13" applyNumberFormat="0" applyAlignment="0" applyProtection="0"/>
    <xf numFmtId="0" fontId="51" fillId="64" borderId="13" applyNumberFormat="0" applyAlignment="0" applyProtection="0"/>
    <xf numFmtId="0" fontId="51" fillId="64" borderId="13" applyNumberFormat="0" applyAlignment="0" applyProtection="0"/>
    <xf numFmtId="0" fontId="54" fillId="11" borderId="13" applyNumberFormat="0" applyAlignment="0" applyProtection="0"/>
    <xf numFmtId="0" fontId="54" fillId="44" borderId="13" applyNumberFormat="0" applyAlignment="0" applyProtection="0"/>
    <xf numFmtId="0" fontId="37" fillId="11" borderId="13" applyNumberFormat="0" applyAlignment="0" applyProtection="0"/>
    <xf numFmtId="0" fontId="54" fillId="62" borderId="13" applyNumberFormat="0" applyAlignment="0" applyProtection="0"/>
    <xf numFmtId="0" fontId="54" fillId="11" borderId="13" applyNumberFormat="0" applyAlignment="0" applyProtection="0"/>
    <xf numFmtId="0" fontId="54" fillId="3" borderId="13" applyNumberFormat="0" applyAlignment="0" applyProtection="0"/>
    <xf numFmtId="0" fontId="54" fillId="44" borderId="13" applyNumberFormat="0" applyAlignment="0" applyProtection="0"/>
    <xf numFmtId="0" fontId="54" fillId="44" borderId="13" applyNumberFormat="0" applyAlignment="0" applyProtection="0"/>
    <xf numFmtId="0" fontId="54" fillId="44" borderId="13" applyNumberFormat="0" applyAlignment="0" applyProtection="0"/>
    <xf numFmtId="0" fontId="54" fillId="11" borderId="13" applyNumberFormat="0" applyAlignment="0" applyProtection="0"/>
    <xf numFmtId="0" fontId="156" fillId="55" borderId="13" applyNumberFormat="0" applyProtection="0">
      <alignment horizontal="left"/>
    </xf>
    <xf numFmtId="0" fontId="156" fillId="55" borderId="13" applyNumberFormat="0" applyProtection="0">
      <alignment horizontal="left"/>
    </xf>
    <xf numFmtId="0" fontId="156" fillId="55" borderId="13" applyNumberFormat="0" applyProtection="0">
      <alignment horizontal="left"/>
    </xf>
    <xf numFmtId="0" fontId="156" fillId="55" borderId="13" applyNumberFormat="0" applyProtection="0">
      <alignment horizontal="left"/>
    </xf>
    <xf numFmtId="0" fontId="21" fillId="5" borderId="19" applyNumberFormat="0" applyFont="0" applyAlignment="0" applyProtection="0"/>
    <xf numFmtId="0" fontId="21" fillId="5" borderId="19" applyNumberFormat="0" applyFont="0" applyAlignment="0" applyProtection="0"/>
    <xf numFmtId="0" fontId="52" fillId="38" borderId="19" applyNumberFormat="0" applyAlignment="0" applyProtection="0"/>
    <xf numFmtId="0" fontId="33" fillId="5" borderId="19" applyNumberFormat="0" applyFont="0" applyAlignment="0" applyProtection="0"/>
    <xf numFmtId="0" fontId="32" fillId="38" borderId="19" applyNumberFormat="0" applyAlignment="0" applyProtection="0"/>
    <xf numFmtId="0" fontId="32" fillId="38" borderId="19" applyNumberFormat="0" applyAlignment="0" applyProtection="0"/>
    <xf numFmtId="0" fontId="21" fillId="5" borderId="19" applyNumberFormat="0" applyFont="0" applyAlignment="0" applyProtection="0"/>
    <xf numFmtId="0" fontId="32" fillId="5" borderId="19" applyNumberFormat="0" applyFont="0" applyAlignment="0" applyProtection="0"/>
    <xf numFmtId="0" fontId="32" fillId="5" borderId="19" applyNumberFormat="0" applyFont="0" applyAlignment="0" applyProtection="0"/>
    <xf numFmtId="0" fontId="52" fillId="38" borderId="19" applyNumberFormat="0" applyAlignment="0" applyProtection="0"/>
    <xf numFmtId="0" fontId="52" fillId="38" borderId="19" applyNumberFormat="0" applyAlignment="0" applyProtection="0"/>
    <xf numFmtId="0" fontId="23" fillId="38" borderId="19" applyNumberFormat="0" applyAlignment="0" applyProtection="0"/>
    <xf numFmtId="0" fontId="23" fillId="38" borderId="19" applyNumberFormat="0" applyAlignment="0" applyProtection="0"/>
    <xf numFmtId="0" fontId="21" fillId="5" borderId="19" applyNumberFormat="0" applyFont="0" applyAlignment="0" applyProtection="0"/>
    <xf numFmtId="0" fontId="122" fillId="71" borderId="19" applyNumberFormat="0" applyProtection="0">
      <alignment horizontal="left"/>
    </xf>
    <xf numFmtId="0" fontId="122" fillId="71" borderId="19" applyNumberFormat="0" applyProtection="0">
      <alignment horizontal="left"/>
    </xf>
    <xf numFmtId="0" fontId="122" fillId="71" borderId="19" applyNumberFormat="0" applyProtection="0">
      <alignment horizontal="left"/>
    </xf>
    <xf numFmtId="0" fontId="122" fillId="71" borderId="19" applyNumberFormat="0" applyProtection="0">
      <alignment horizontal="left"/>
    </xf>
    <xf numFmtId="0" fontId="53" fillId="11" borderId="20"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xf numFmtId="0" fontId="11" fillId="0" borderId="0"/>
    <xf numFmtId="0" fontId="11" fillId="0" borderId="0"/>
    <xf numFmtId="0" fontId="11" fillId="0" borderId="0"/>
    <xf numFmtId="0" fontId="11"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53" fillId="11" borderId="20"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31" fillId="0" borderId="0" applyFont="0" applyFill="0" applyBorder="0" applyAlignment="0" applyProtection="0"/>
    <xf numFmtId="174" fontId="23" fillId="0" borderId="0" applyFill="0" applyBorder="0" applyAlignment="0" applyProtection="0"/>
    <xf numFmtId="0" fontId="11" fillId="0" borderId="0"/>
    <xf numFmtId="9" fontId="31" fillId="0" borderId="0" applyFont="0" applyFill="0" applyBorder="0" applyAlignment="0" applyProtection="0"/>
    <xf numFmtId="0" fontId="31" fillId="0" borderId="0"/>
    <xf numFmtId="0" fontId="11" fillId="0" borderId="0"/>
    <xf numFmtId="0" fontId="11" fillId="0" borderId="0"/>
    <xf numFmtId="173"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7" fontId="32" fillId="0" borderId="0" applyFont="0" applyFill="0" applyBorder="0" applyAlignment="0" applyProtection="0"/>
    <xf numFmtId="165" fontId="23" fillId="0" borderId="0" applyFont="0" applyFill="0" applyBorder="0" applyAlignment="0" applyProtection="0"/>
    <xf numFmtId="9" fontId="32" fillId="0" borderId="0" applyFill="0" applyBorder="0" applyAlignment="0" applyProtection="0"/>
    <xf numFmtId="9" fontId="24" fillId="0" borderId="0" applyFont="0" applyFill="0" applyBorder="0" applyAlignment="0" applyProtection="0"/>
    <xf numFmtId="9" fontId="52" fillId="0" borderId="0" applyFill="0" applyBorder="0" applyAlignment="0" applyProtection="0"/>
    <xf numFmtId="9" fontId="23" fillId="0" borderId="0" applyFont="0" applyFill="0" applyBorder="0" applyAlignment="0" applyProtection="0"/>
    <xf numFmtId="0" fontId="32" fillId="5" borderId="19" applyNumberFormat="0" applyFont="0" applyAlignment="0" applyProtection="0"/>
    <xf numFmtId="0" fontId="52" fillId="0" borderId="0"/>
    <xf numFmtId="0" fontId="33" fillId="0" borderId="0"/>
    <xf numFmtId="0" fontId="23" fillId="0" borderId="0"/>
    <xf numFmtId="0" fontId="31" fillId="0" borderId="0"/>
    <xf numFmtId="0" fontId="33" fillId="0" borderId="0"/>
    <xf numFmtId="0" fontId="62" fillId="0" borderId="0"/>
    <xf numFmtId="0" fontId="33" fillId="0" borderId="0"/>
    <xf numFmtId="0" fontId="24" fillId="0" borderId="0"/>
    <xf numFmtId="0" fontId="33" fillId="0" borderId="0"/>
    <xf numFmtId="0" fontId="21" fillId="0" borderId="0"/>
    <xf numFmtId="0" fontId="11" fillId="0" borderId="0"/>
    <xf numFmtId="0" fontId="11" fillId="0" borderId="0"/>
    <xf numFmtId="0" fontId="33" fillId="0" borderId="0"/>
    <xf numFmtId="0" fontId="23" fillId="0" borderId="0"/>
    <xf numFmtId="0" fontId="23" fillId="0" borderId="0"/>
    <xf numFmtId="0" fontId="23" fillId="0" borderId="0"/>
    <xf numFmtId="0" fontId="23" fillId="0" borderId="0"/>
    <xf numFmtId="0" fontId="11" fillId="0" borderId="0"/>
    <xf numFmtId="0" fontId="11" fillId="0" borderId="0"/>
    <xf numFmtId="0" fontId="11" fillId="0" borderId="0"/>
    <xf numFmtId="0" fontId="11" fillId="0" borderId="0"/>
    <xf numFmtId="0" fontId="52" fillId="0" borderId="0"/>
    <xf numFmtId="0" fontId="23" fillId="0" borderId="0"/>
    <xf numFmtId="0" fontId="21" fillId="0" borderId="0"/>
    <xf numFmtId="0" fontId="21" fillId="0" borderId="0"/>
    <xf numFmtId="0" fontId="11" fillId="0" borderId="0"/>
    <xf numFmtId="0" fontId="24" fillId="0" borderId="0"/>
    <xf numFmtId="0" fontId="31" fillId="0" borderId="0"/>
    <xf numFmtId="0" fontId="11" fillId="0" borderId="0"/>
    <xf numFmtId="0" fontId="31" fillId="0" borderId="0"/>
    <xf numFmtId="0" fontId="23" fillId="0" borderId="0"/>
    <xf numFmtId="0" fontId="23" fillId="0" borderId="0"/>
    <xf numFmtId="0" fontId="11" fillId="0" borderId="0"/>
    <xf numFmtId="0" fontId="11" fillId="0" borderId="0"/>
    <xf numFmtId="0" fontId="11" fillId="0" borderId="0"/>
    <xf numFmtId="0" fontId="11" fillId="0" borderId="0"/>
    <xf numFmtId="0" fontId="11" fillId="0" borderId="0"/>
    <xf numFmtId="0" fontId="31" fillId="0" borderId="0"/>
    <xf numFmtId="0" fontId="62" fillId="0" borderId="0"/>
    <xf numFmtId="0" fontId="32" fillId="0" borderId="0"/>
    <xf numFmtId="0" fontId="11" fillId="0" borderId="0"/>
    <xf numFmtId="0" fontId="11" fillId="0" borderId="0"/>
    <xf numFmtId="0" fontId="11" fillId="0" borderId="0"/>
    <xf numFmtId="0" fontId="11" fillId="0" borderId="0"/>
    <xf numFmtId="0" fontId="23" fillId="0" borderId="0"/>
    <xf numFmtId="0" fontId="23" fillId="0" borderId="0"/>
    <xf numFmtId="0" fontId="52" fillId="0" borderId="0"/>
    <xf numFmtId="0" fontId="57" fillId="0" borderId="0" applyNumberFormat="0" applyFill="0" applyBorder="0" applyAlignment="0" applyProtection="0"/>
    <xf numFmtId="0" fontId="57" fillId="0" borderId="23" applyNumberFormat="0" applyFill="0" applyAlignment="0" applyProtection="0"/>
    <xf numFmtId="0" fontId="56" fillId="0" borderId="16" applyNumberFormat="0" applyFill="0" applyAlignment="0" applyProtection="0"/>
    <xf numFmtId="0" fontId="55" fillId="0" borderId="22" applyNumberFormat="0" applyFill="0" applyAlignment="0" applyProtection="0"/>
    <xf numFmtId="166" fontId="21" fillId="0" borderId="0" applyFont="0" applyFill="0" applyBorder="0" applyAlignment="0" applyProtection="0"/>
    <xf numFmtId="9" fontId="52" fillId="0" borderId="0" applyFont="0" applyFill="0" applyBorder="0" applyAlignment="0" applyProtection="0"/>
    <xf numFmtId="0" fontId="44" fillId="4" borderId="13" applyNumberFormat="0" applyAlignment="0" applyProtection="0"/>
    <xf numFmtId="0" fontId="35" fillId="20" borderId="0" applyNumberFormat="0" applyBorder="0" applyAlignment="0" applyProtection="0"/>
    <xf numFmtId="0" fontId="35" fillId="17" borderId="0" applyNumberFormat="0" applyBorder="0" applyAlignment="0" applyProtection="0"/>
    <xf numFmtId="0" fontId="35" fillId="19" borderId="0" applyNumberFormat="0" applyBorder="0" applyAlignment="0" applyProtection="0"/>
    <xf numFmtId="0" fontId="35" fillId="15" borderId="0" applyNumberFormat="0" applyBorder="0" applyAlignment="0" applyProtection="0"/>
    <xf numFmtId="0" fontId="35" fillId="12" borderId="0" applyNumberFormat="0" applyBorder="0" applyAlignment="0" applyProtection="0"/>
    <xf numFmtId="0" fontId="35" fillId="18" borderId="0" applyNumberFormat="0" applyBorder="0" applyAlignment="0" applyProtection="0"/>
    <xf numFmtId="9" fontId="31" fillId="0" borderId="0" applyFont="0" applyFill="0" applyBorder="0" applyAlignment="0" applyProtection="0"/>
    <xf numFmtId="0" fontId="23" fillId="0" borderId="0"/>
    <xf numFmtId="0" fontId="11" fillId="0" borderId="0"/>
    <xf numFmtId="169" fontId="23" fillId="0" borderId="0" applyFont="0" applyFill="0" applyBorder="0" applyAlignment="0" applyProtection="0"/>
    <xf numFmtId="0" fontId="31" fillId="0" borderId="0"/>
    <xf numFmtId="0" fontId="44" fillId="4" borderId="13" applyNumberFormat="0" applyAlignment="0" applyProtection="0"/>
    <xf numFmtId="0" fontId="53" fillId="11" borderId="20" applyNumberFormat="0" applyAlignment="0" applyProtection="0"/>
    <xf numFmtId="0" fontId="44" fillId="4" borderId="13" applyNumberFormat="0" applyAlignment="0" applyProtection="0"/>
    <xf numFmtId="0" fontId="53" fillId="11" borderId="20" applyNumberFormat="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7"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706">
    <xf numFmtId="0" fontId="0" fillId="0" borderId="0" xfId="0"/>
    <xf numFmtId="0" fontId="25" fillId="0" borderId="1" xfId="0" applyFont="1" applyBorder="1" applyAlignment="1">
      <alignment horizontal="center" vertical="center" wrapText="1"/>
    </xf>
    <xf numFmtId="0" fontId="25" fillId="0" borderId="1" xfId="0" applyFont="1" applyBorder="1" applyAlignment="1">
      <alignment horizontal="center" vertical="center" textRotation="90" wrapText="1"/>
    </xf>
    <xf numFmtId="0" fontId="26" fillId="0" borderId="0" xfId="0" applyFont="1"/>
    <xf numFmtId="0" fontId="30" fillId="0" borderId="0" xfId="0" applyFont="1"/>
    <xf numFmtId="49" fontId="0" fillId="0" borderId="0" xfId="0" applyNumberFormat="1"/>
    <xf numFmtId="0" fontId="26" fillId="0" borderId="0" xfId="0" applyFont="1" applyFill="1" applyBorder="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lignment vertical="center" wrapText="1"/>
    </xf>
    <xf numFmtId="0" fontId="25" fillId="0" borderId="6" xfId="0" applyFont="1" applyBorder="1" applyAlignment="1">
      <alignment horizontal="center" vertical="center" textRotation="90" wrapText="1"/>
    </xf>
    <xf numFmtId="0" fontId="69" fillId="0" borderId="0" xfId="135" applyFont="1" applyAlignment="1">
      <alignment horizontal="centerContinuous" vertical="top"/>
    </xf>
    <xf numFmtId="0" fontId="27" fillId="0" borderId="0" xfId="0" applyFont="1"/>
    <xf numFmtId="0" fontId="69" fillId="0" borderId="0" xfId="0" applyFont="1" applyAlignment="1">
      <alignment horizontal="centerContinuous" vertical="top" wrapText="1"/>
    </xf>
    <xf numFmtId="49" fontId="69" fillId="0" borderId="0" xfId="0" applyNumberFormat="1" applyFont="1" applyAlignment="1">
      <alignment horizontal="centerContinuous" wrapText="1"/>
    </xf>
    <xf numFmtId="0" fontId="69" fillId="0" borderId="0" xfId="0" applyFont="1" applyAlignment="1">
      <alignment horizontal="centerContinuous" wrapText="1"/>
    </xf>
    <xf numFmtId="0" fontId="27" fillId="0" borderId="0" xfId="0" applyFont="1" applyAlignment="1">
      <alignment horizontal="centerContinuous" wrapText="1"/>
    </xf>
    <xf numFmtId="0" fontId="69" fillId="28" borderId="1" xfId="0" applyFont="1" applyFill="1" applyBorder="1" applyAlignment="1">
      <alignment horizontal="left" vertical="top"/>
    </xf>
    <xf numFmtId="0" fontId="69" fillId="28" borderId="1" xfId="0" applyFont="1" applyFill="1" applyBorder="1" applyAlignment="1">
      <alignment horizontal="center" vertical="top"/>
    </xf>
    <xf numFmtId="49" fontId="69" fillId="0" borderId="1" xfId="0" applyNumberFormat="1" applyFont="1" applyBorder="1" applyAlignment="1">
      <alignment horizontal="center" vertical="center"/>
    </xf>
    <xf numFmtId="0" fontId="69" fillId="0" borderId="1" xfId="0" applyFont="1" applyBorder="1" applyAlignment="1">
      <alignment horizontal="center" vertical="center"/>
    </xf>
    <xf numFmtId="49" fontId="27" fillId="0" borderId="1" xfId="0" applyNumberFormat="1" applyFont="1" applyBorder="1" applyAlignment="1">
      <alignment horizontal="left" vertical="top" wrapText="1"/>
    </xf>
    <xf numFmtId="0" fontId="27" fillId="0" borderId="1" xfId="0" applyFont="1" applyBorder="1" applyAlignment="1">
      <alignment horizontal="justify" vertical="top" wrapText="1"/>
    </xf>
    <xf numFmtId="0" fontId="27" fillId="0" borderId="7" xfId="0" applyFont="1" applyBorder="1" applyAlignment="1">
      <alignment horizontal="justify" vertical="top" wrapText="1"/>
    </xf>
    <xf numFmtId="0" fontId="27" fillId="0" borderId="8" xfId="0" applyFont="1" applyBorder="1" applyAlignment="1">
      <alignment horizontal="right" vertical="top" wrapText="1"/>
    </xf>
    <xf numFmtId="0" fontId="27" fillId="0" borderId="8" xfId="0" applyFont="1" applyBorder="1" applyAlignment="1">
      <alignment horizontal="center" vertical="top" wrapText="1"/>
    </xf>
    <xf numFmtId="0" fontId="27" fillId="28" borderId="6" xfId="0" applyFont="1" applyFill="1" applyBorder="1" applyAlignment="1">
      <alignment horizontal="left" vertical="top" wrapText="1"/>
    </xf>
    <xf numFmtId="0" fontId="27" fillId="28" borderId="1" xfId="0" applyFont="1" applyFill="1" applyBorder="1" applyAlignment="1">
      <alignment horizontal="left" vertical="top" wrapText="1"/>
    </xf>
    <xf numFmtId="0" fontId="27" fillId="28" borderId="1" xfId="0" applyFont="1" applyFill="1" applyBorder="1" applyAlignment="1">
      <alignment horizontal="justify" vertical="top" wrapText="1"/>
    </xf>
    <xf numFmtId="49" fontId="69" fillId="0" borderId="1" xfId="0" applyNumberFormat="1" applyFont="1" applyBorder="1" applyAlignment="1">
      <alignment horizontal="left" vertical="top" wrapText="1"/>
    </xf>
    <xf numFmtId="0" fontId="69" fillId="0" borderId="1" xfId="0" applyFont="1" applyBorder="1" applyAlignment="1">
      <alignment horizontal="justify" vertical="top" wrapText="1"/>
    </xf>
    <xf numFmtId="0" fontId="27" fillId="0" borderId="6" xfId="0" applyFont="1" applyBorder="1" applyAlignment="1">
      <alignment horizontal="right" vertical="top" wrapText="1"/>
    </xf>
    <xf numFmtId="0" fontId="27" fillId="0" borderId="1" xfId="0" applyFont="1" applyBorder="1" applyAlignment="1">
      <alignment horizontal="center" vertical="top" wrapText="1"/>
    </xf>
    <xf numFmtId="0" fontId="27" fillId="0" borderId="1" xfId="0" applyFont="1" applyBorder="1" applyAlignment="1">
      <alignment horizontal="left" vertical="top" wrapText="1"/>
    </xf>
    <xf numFmtId="0" fontId="27" fillId="0" borderId="0" xfId="0" applyFont="1" applyAlignment="1">
      <alignment horizontal="left" vertical="top"/>
    </xf>
    <xf numFmtId="0" fontId="27" fillId="0" borderId="0" xfId="0" applyFont="1" applyAlignment="1">
      <alignment horizontal="justify" vertical="top"/>
    </xf>
    <xf numFmtId="49" fontId="27" fillId="0" borderId="0" xfId="0" applyNumberFormat="1" applyFont="1"/>
    <xf numFmtId="0" fontId="27" fillId="0" borderId="0" xfId="0" applyFont="1" applyAlignment="1">
      <alignment horizontal="justify"/>
    </xf>
    <xf numFmtId="0" fontId="27" fillId="0" borderId="0" xfId="0" applyFont="1" applyAlignment="1">
      <alignment horizontal="right"/>
    </xf>
    <xf numFmtId="0" fontId="27" fillId="0" borderId="0" xfId="0" applyFont="1" applyAlignment="1">
      <alignment horizontal="left"/>
    </xf>
    <xf numFmtId="0" fontId="0" fillId="0" borderId="0" xfId="0" applyAlignment="1">
      <alignment horizontal="left" vertical="top"/>
    </xf>
    <xf numFmtId="0" fontId="0" fillId="0" borderId="0" xfId="0" applyAlignment="1">
      <alignment horizontal="justify" vertical="top"/>
    </xf>
    <xf numFmtId="0" fontId="0" fillId="0" borderId="0" xfId="0" applyAlignment="1">
      <alignment horizontal="justify"/>
    </xf>
    <xf numFmtId="0" fontId="0" fillId="0" borderId="0" xfId="0" applyAlignment="1">
      <alignment horizontal="right"/>
    </xf>
    <xf numFmtId="0" fontId="0" fillId="0" borderId="0" xfId="0" applyAlignment="1">
      <alignment horizontal="left"/>
    </xf>
    <xf numFmtId="0" fontId="74" fillId="28" borderId="6" xfId="0" applyFont="1" applyFill="1" applyBorder="1" applyAlignment="1">
      <alignment horizontal="left" vertical="top" wrapText="1"/>
    </xf>
    <xf numFmtId="0" fontId="26" fillId="0" borderId="0" xfId="0" applyFont="1" applyFill="1" applyAlignment="1">
      <alignment horizontal="center" vertical="center" wrapText="1"/>
    </xf>
    <xf numFmtId="0" fontId="30" fillId="0" borderId="0" xfId="5" applyFont="1" applyFill="1" applyAlignment="1" applyProtection="1">
      <alignment horizontal="centerContinuous"/>
    </xf>
    <xf numFmtId="0" fontId="69" fillId="28" borderId="2" xfId="0" applyFont="1" applyFill="1" applyBorder="1" applyAlignment="1">
      <alignment horizontal="left" vertical="top"/>
    </xf>
    <xf numFmtId="0" fontId="27" fillId="28" borderId="2" xfId="0" applyFont="1" applyFill="1" applyBorder="1" applyAlignment="1">
      <alignment horizontal="center" vertical="center"/>
    </xf>
    <xf numFmtId="0" fontId="69" fillId="28" borderId="2" xfId="0" applyFont="1" applyFill="1" applyBorder="1" applyAlignment="1">
      <alignment vertical="top" wrapText="1"/>
    </xf>
    <xf numFmtId="0" fontId="69" fillId="28" borderId="4" xfId="0" applyFont="1" applyFill="1" applyBorder="1" applyAlignment="1">
      <alignment vertical="top" wrapText="1"/>
    </xf>
    <xf numFmtId="0" fontId="69" fillId="28" borderId="3" xfId="0" applyFont="1" applyFill="1" applyBorder="1" applyAlignment="1">
      <alignment vertical="top" wrapText="1"/>
    </xf>
    <xf numFmtId="0" fontId="27" fillId="28" borderId="4" xfId="0" applyFont="1" applyFill="1" applyBorder="1" applyAlignment="1">
      <alignment vertical="top" wrapText="1"/>
    </xf>
    <xf numFmtId="0" fontId="27" fillId="28" borderId="3" xfId="0" applyFont="1" applyFill="1" applyBorder="1" applyAlignment="1">
      <alignment vertical="top" wrapText="1"/>
    </xf>
    <xf numFmtId="0" fontId="27" fillId="28" borderId="2" xfId="0" applyFont="1" applyFill="1" applyBorder="1" applyAlignment="1">
      <alignment horizontal="center" vertical="center" wrapText="1"/>
    </xf>
    <xf numFmtId="0" fontId="28" fillId="0" borderId="1" xfId="0" applyFont="1" applyBorder="1" applyAlignment="1">
      <alignment vertical="center" wrapText="1"/>
    </xf>
    <xf numFmtId="0" fontId="30" fillId="0" borderId="0" xfId="0" applyFont="1" applyAlignment="1">
      <alignment horizontal="right" vertical="top" wrapText="1"/>
    </xf>
    <xf numFmtId="0" fontId="26" fillId="0" borderId="0" xfId="0" applyFont="1" applyAlignment="1"/>
    <xf numFmtId="0" fontId="25" fillId="0" borderId="1" xfId="0" applyFont="1" applyBorder="1" applyAlignment="1">
      <alignment horizontal="center" vertical="center" wrapText="1"/>
    </xf>
    <xf numFmtId="0" fontId="26" fillId="0" borderId="0" xfId="0" applyFont="1" applyAlignment="1">
      <alignment wrapText="1"/>
    </xf>
    <xf numFmtId="0" fontId="25" fillId="2" borderId="1" xfId="0" applyFont="1" applyFill="1" applyBorder="1" applyAlignment="1">
      <alignment horizontal="center" vertical="center" wrapText="1"/>
    </xf>
    <xf numFmtId="0" fontId="82" fillId="0" borderId="1" xfId="0" applyFont="1" applyBorder="1" applyAlignment="1">
      <alignment horizontal="center" vertical="center" wrapText="1"/>
    </xf>
    <xf numFmtId="0" fontId="95" fillId="0" borderId="1" xfId="0" applyFont="1" applyBorder="1" applyAlignment="1">
      <alignment horizontal="center" vertical="center" wrapText="1"/>
    </xf>
    <xf numFmtId="0" fontId="71" fillId="2" borderId="1" xfId="0" applyFont="1" applyFill="1" applyBorder="1" applyAlignment="1">
      <alignment vertical="center" wrapText="1"/>
    </xf>
    <xf numFmtId="0" fontId="71" fillId="2" borderId="1" xfId="0" applyFont="1" applyFill="1" applyBorder="1" applyAlignment="1">
      <alignment horizontal="center" vertical="center" wrapText="1"/>
    </xf>
    <xf numFmtId="0" fontId="96" fillId="29" borderId="1" xfId="0" applyFont="1" applyFill="1" applyBorder="1" applyAlignment="1">
      <alignment vertical="center" wrapText="1"/>
    </xf>
    <xf numFmtId="0" fontId="96" fillId="29" borderId="1" xfId="0" applyFont="1" applyFill="1" applyBorder="1" applyAlignment="1">
      <alignment horizontal="center" vertical="center" wrapText="1"/>
    </xf>
    <xf numFmtId="4" fontId="30" fillId="0" borderId="1" xfId="260" applyNumberFormat="1" applyFont="1" applyFill="1" applyBorder="1" applyAlignment="1" applyProtection="1">
      <alignment horizontal="center" vertical="center" wrapText="1"/>
    </xf>
    <xf numFmtId="0" fontId="0" fillId="0" borderId="0" xfId="0" applyFill="1"/>
    <xf numFmtId="0" fontId="26" fillId="0" borderId="0" xfId="0" applyFont="1" applyFill="1" applyAlignment="1">
      <alignment horizontal="left" vertical="center" wrapText="1"/>
    </xf>
    <xf numFmtId="165" fontId="26" fillId="0" borderId="0" xfId="260" applyFont="1" applyFill="1" applyAlignment="1">
      <alignment horizontal="left" vertical="center" wrapText="1"/>
    </xf>
    <xf numFmtId="0" fontId="20" fillId="0" borderId="0" xfId="0" applyFont="1"/>
    <xf numFmtId="0" fontId="26" fillId="0" borderId="0" xfId="0" applyFont="1" applyFill="1" applyBorder="1" applyAlignment="1" applyProtection="1">
      <alignment horizontal="center" vertical="center" wrapText="1"/>
      <protection locked="0"/>
    </xf>
    <xf numFmtId="0" fontId="97" fillId="0" borderId="0" xfId="0" applyFont="1" applyFill="1"/>
    <xf numFmtId="49" fontId="104" fillId="0" borderId="0" xfId="2579" applyNumberFormat="1" applyFont="1" applyAlignment="1">
      <alignment horizontal="center" vertical="center"/>
    </xf>
    <xf numFmtId="0" fontId="101" fillId="0" borderId="0" xfId="2579" applyFont="1"/>
    <xf numFmtId="0" fontId="26" fillId="0" borderId="0" xfId="2580" applyFont="1" applyFill="1" applyAlignment="1" applyProtection="1">
      <alignment vertical="top" wrapText="1"/>
    </xf>
    <xf numFmtId="0" fontId="8" fillId="0" borderId="0" xfId="2579"/>
    <xf numFmtId="0" fontId="8" fillId="0" borderId="0" xfId="2579" applyFill="1"/>
    <xf numFmtId="0" fontId="101" fillId="30" borderId="0" xfId="2579" applyFont="1" applyFill="1"/>
    <xf numFmtId="0" fontId="103" fillId="0" borderId="1" xfId="2579" applyFont="1" applyFill="1" applyBorder="1" applyAlignment="1">
      <alignment horizontal="center" vertical="center" wrapText="1"/>
    </xf>
    <xf numFmtId="0" fontId="103" fillId="41" borderId="1" xfId="2579" applyFont="1" applyFill="1" applyBorder="1" applyAlignment="1">
      <alignment horizontal="center" vertical="center" wrapText="1"/>
    </xf>
    <xf numFmtId="0" fontId="103" fillId="0" borderId="35" xfId="2579" applyFont="1" applyFill="1" applyBorder="1" applyAlignment="1">
      <alignment horizontal="center" vertical="center" wrapText="1"/>
    </xf>
    <xf numFmtId="49" fontId="104" fillId="0" borderId="34" xfId="2579" applyNumberFormat="1" applyFont="1" applyFill="1" applyBorder="1" applyAlignment="1">
      <alignment horizontal="center" vertical="center" wrapText="1"/>
    </xf>
    <xf numFmtId="0" fontId="29" fillId="0" borderId="1" xfId="2579" applyFont="1" applyFill="1" applyBorder="1" applyAlignment="1">
      <alignment horizontal="center" vertical="center" wrapText="1"/>
    </xf>
    <xf numFmtId="0" fontId="29" fillId="30" borderId="1" xfId="2579" applyFont="1" applyFill="1" applyBorder="1" applyAlignment="1">
      <alignment horizontal="center" vertical="center" wrapText="1"/>
    </xf>
    <xf numFmtId="0" fontId="29" fillId="0" borderId="35" xfId="2579" applyFont="1" applyFill="1" applyBorder="1" applyAlignment="1">
      <alignment horizontal="center" vertical="center" wrapText="1"/>
    </xf>
    <xf numFmtId="49" fontId="103" fillId="0" borderId="34" xfId="2579" applyNumberFormat="1" applyFont="1" applyBorder="1" applyAlignment="1">
      <alignment horizontal="center" vertical="center"/>
    </xf>
    <xf numFmtId="0" fontId="103" fillId="0" borderId="1" xfId="2579" applyFont="1" applyBorder="1" applyAlignment="1">
      <alignment vertical="center" wrapText="1"/>
    </xf>
    <xf numFmtId="0" fontId="104" fillId="0" borderId="1" xfId="2579" applyFont="1" applyBorder="1" applyAlignment="1">
      <alignment horizontal="center" vertical="center" wrapText="1"/>
    </xf>
    <xf numFmtId="176" fontId="104" fillId="0" borderId="1" xfId="2579" applyNumberFormat="1" applyFont="1" applyBorder="1" applyAlignment="1">
      <alignment horizontal="center" vertical="center" wrapText="1"/>
    </xf>
    <xf numFmtId="176" fontId="104" fillId="0" borderId="35" xfId="2579" applyNumberFormat="1" applyFont="1" applyBorder="1" applyAlignment="1">
      <alignment horizontal="center" vertical="center" wrapText="1"/>
    </xf>
    <xf numFmtId="49" fontId="104" fillId="0" borderId="34" xfId="2579" applyNumberFormat="1" applyFont="1" applyBorder="1" applyAlignment="1">
      <alignment horizontal="center" vertical="center"/>
    </xf>
    <xf numFmtId="0" fontId="104" fillId="0" borderId="1" xfId="2579" applyFont="1" applyBorder="1" applyAlignment="1">
      <alignment horizontal="left" vertical="center" wrapText="1"/>
    </xf>
    <xf numFmtId="0" fontId="8" fillId="0" borderId="0" xfId="2579" applyFont="1" applyFill="1"/>
    <xf numFmtId="176" fontId="104" fillId="0" borderId="1" xfId="2579" applyNumberFormat="1" applyFont="1" applyFill="1" applyBorder="1" applyAlignment="1">
      <alignment horizontal="center" vertical="center" wrapText="1"/>
    </xf>
    <xf numFmtId="176" fontId="104" fillId="0" borderId="35" xfId="2579" applyNumberFormat="1" applyFont="1" applyFill="1" applyBorder="1" applyAlignment="1">
      <alignment horizontal="center" vertical="center" wrapText="1"/>
    </xf>
    <xf numFmtId="2" fontId="104" fillId="0" borderId="1" xfId="2579" applyNumberFormat="1" applyFont="1" applyBorder="1" applyAlignment="1">
      <alignment horizontal="center" vertical="center" wrapText="1"/>
    </xf>
    <xf numFmtId="2" fontId="104" fillId="0" borderId="35" xfId="2579" applyNumberFormat="1" applyFont="1" applyBorder="1" applyAlignment="1">
      <alignment horizontal="center" vertical="center" wrapText="1"/>
    </xf>
    <xf numFmtId="0" fontId="27" fillId="0" borderId="0" xfId="2579" applyFont="1" applyBorder="1" applyAlignment="1">
      <alignment horizontal="center" vertical="center" wrapText="1"/>
    </xf>
    <xf numFmtId="2" fontId="104" fillId="0" borderId="1" xfId="2579" applyNumberFormat="1" applyFont="1" applyFill="1" applyBorder="1" applyAlignment="1">
      <alignment horizontal="center" vertical="center" wrapText="1"/>
    </xf>
    <xf numFmtId="2" fontId="104" fillId="0" borderId="35" xfId="2579" applyNumberFormat="1" applyFont="1" applyFill="1" applyBorder="1" applyAlignment="1">
      <alignment horizontal="center" vertical="center" wrapText="1"/>
    </xf>
    <xf numFmtId="2" fontId="8" fillId="0" borderId="0" xfId="2579" applyNumberFormat="1"/>
    <xf numFmtId="2" fontId="104" fillId="30" borderId="1" xfId="2579" applyNumberFormat="1" applyFont="1" applyFill="1" applyBorder="1" applyAlignment="1">
      <alignment horizontal="center" vertical="center" wrapText="1"/>
    </xf>
    <xf numFmtId="0" fontId="103" fillId="30" borderId="1" xfId="2579" applyFont="1" applyFill="1" applyBorder="1" applyAlignment="1">
      <alignment vertical="center" wrapText="1"/>
    </xf>
    <xf numFmtId="0" fontId="104" fillId="30" borderId="1" xfId="2579" applyFont="1" applyFill="1" applyBorder="1" applyAlignment="1">
      <alignment vertical="center" wrapText="1"/>
    </xf>
    <xf numFmtId="0" fontId="104" fillId="30" borderId="1" xfId="2579" applyFont="1" applyFill="1" applyBorder="1" applyAlignment="1">
      <alignment horizontal="center" vertical="center" wrapText="1"/>
    </xf>
    <xf numFmtId="2" fontId="104" fillId="100" borderId="1" xfId="2579" applyNumberFormat="1" applyFont="1" applyFill="1" applyBorder="1" applyAlignment="1">
      <alignment horizontal="center" vertical="center" wrapText="1"/>
    </xf>
    <xf numFmtId="2" fontId="104" fillId="30" borderId="35" xfId="2579" applyNumberFormat="1" applyFont="1" applyFill="1" applyBorder="1" applyAlignment="1">
      <alignment horizontal="center" vertical="center" wrapText="1"/>
    </xf>
    <xf numFmtId="0" fontId="104" fillId="0" borderId="1" xfId="2579" applyFont="1" applyBorder="1" applyAlignment="1">
      <alignment vertical="center" wrapText="1"/>
    </xf>
    <xf numFmtId="0" fontId="104" fillId="100" borderId="1" xfId="2579" applyFont="1" applyFill="1" applyBorder="1" applyAlignment="1">
      <alignment horizontal="center" vertical="center" wrapText="1"/>
    </xf>
    <xf numFmtId="0" fontId="104" fillId="0" borderId="35" xfId="2579" applyFont="1" applyBorder="1" applyAlignment="1">
      <alignment horizontal="center" vertical="center" wrapText="1"/>
    </xf>
    <xf numFmtId="0" fontId="103" fillId="0" borderId="2" xfId="2579" applyFont="1" applyBorder="1" applyAlignment="1">
      <alignment vertical="center" wrapText="1"/>
    </xf>
    <xf numFmtId="49" fontId="103" fillId="30" borderId="34" xfId="2579" applyNumberFormat="1" applyFont="1" applyFill="1" applyBorder="1" applyAlignment="1">
      <alignment horizontal="center" vertical="center"/>
    </xf>
    <xf numFmtId="0" fontId="8" fillId="30" borderId="0" xfId="2579" applyFill="1"/>
    <xf numFmtId="1" fontId="104" fillId="0" borderId="1" xfId="2579" applyNumberFormat="1" applyFont="1" applyBorder="1" applyAlignment="1">
      <alignment horizontal="center" vertical="center" wrapText="1"/>
    </xf>
    <xf numFmtId="0" fontId="104" fillId="30" borderId="35" xfId="2579" applyFont="1" applyFill="1" applyBorder="1" applyAlignment="1">
      <alignment horizontal="center" vertical="center" wrapText="1"/>
    </xf>
    <xf numFmtId="0" fontId="8" fillId="0" borderId="0" xfId="2579" applyBorder="1"/>
    <xf numFmtId="49" fontId="103" fillId="0" borderId="47" xfId="2579" applyNumberFormat="1" applyFont="1" applyBorder="1" applyAlignment="1">
      <alignment horizontal="center" vertical="center"/>
    </xf>
    <xf numFmtId="0" fontId="103" fillId="0" borderId="30" xfId="2579" applyFont="1" applyBorder="1" applyAlignment="1">
      <alignment horizontal="left" vertical="center" wrapText="1"/>
    </xf>
    <xf numFmtId="0" fontId="104" fillId="0" borderId="30" xfId="2579" applyFont="1" applyBorder="1" applyAlignment="1">
      <alignment horizontal="center" vertical="center" wrapText="1"/>
    </xf>
    <xf numFmtId="2" fontId="104" fillId="0" borderId="30" xfId="2579" applyNumberFormat="1" applyFont="1" applyFill="1" applyBorder="1" applyAlignment="1">
      <alignment horizontal="center" vertical="center" wrapText="1"/>
    </xf>
    <xf numFmtId="2" fontId="104" fillId="30" borderId="30" xfId="2579" applyNumberFormat="1" applyFont="1" applyFill="1" applyBorder="1" applyAlignment="1">
      <alignment horizontal="center" vertical="center" wrapText="1"/>
    </xf>
    <xf numFmtId="0" fontId="104" fillId="30" borderId="30" xfId="2579" applyFont="1" applyFill="1" applyBorder="1" applyAlignment="1">
      <alignment horizontal="center" vertical="center" wrapText="1"/>
    </xf>
    <xf numFmtId="0" fontId="104" fillId="30" borderId="31" xfId="2579" applyFont="1" applyFill="1" applyBorder="1" applyAlignment="1">
      <alignment horizontal="center" vertical="center" wrapText="1"/>
    </xf>
    <xf numFmtId="49" fontId="103" fillId="0" borderId="3" xfId="2579" applyNumberFormat="1" applyFont="1" applyBorder="1" applyAlignment="1">
      <alignment horizontal="center" vertical="center"/>
    </xf>
    <xf numFmtId="0" fontId="103" fillId="0" borderId="3" xfId="2579" applyFont="1" applyBorder="1" applyAlignment="1">
      <alignment vertical="center" wrapText="1"/>
    </xf>
    <xf numFmtId="0" fontId="104" fillId="0" borderId="3" xfId="2579" applyFont="1" applyBorder="1" applyAlignment="1">
      <alignment horizontal="center" vertical="center" wrapText="1"/>
    </xf>
    <xf numFmtId="0" fontId="104" fillId="0" borderId="3" xfId="2579" applyFont="1" applyFill="1" applyBorder="1" applyAlignment="1">
      <alignment horizontal="center" vertical="center" wrapText="1"/>
    </xf>
    <xf numFmtId="0" fontId="104" fillId="30" borderId="3" xfId="2579" applyFont="1" applyFill="1" applyBorder="1" applyAlignment="1">
      <alignment horizontal="center" vertical="center" wrapText="1"/>
    </xf>
    <xf numFmtId="49" fontId="103" fillId="0" borderId="1" xfId="2579" applyNumberFormat="1" applyFont="1" applyBorder="1" applyAlignment="1">
      <alignment horizontal="center" vertical="center"/>
    </xf>
    <xf numFmtId="0" fontId="103" fillId="0" borderId="1" xfId="2579" applyFont="1" applyBorder="1" applyAlignment="1">
      <alignment horizontal="left" vertical="center" wrapText="1"/>
    </xf>
    <xf numFmtId="0" fontId="104" fillId="0" borderId="0" xfId="2579" applyFont="1" applyBorder="1" applyAlignment="1">
      <alignment vertical="center" wrapText="1"/>
    </xf>
    <xf numFmtId="0" fontId="104" fillId="0" borderId="0" xfId="2579" applyFont="1" applyBorder="1" applyAlignment="1">
      <alignment horizontal="center" vertical="center" wrapText="1"/>
    </xf>
    <xf numFmtId="0" fontId="104" fillId="30" borderId="0" xfId="2579" applyFont="1" applyFill="1" applyBorder="1" applyAlignment="1">
      <alignment horizontal="center" vertical="center" wrapText="1"/>
    </xf>
    <xf numFmtId="0" fontId="104" fillId="30" borderId="0" xfId="2579" applyFont="1" applyFill="1" applyAlignment="1">
      <alignment vertical="center"/>
    </xf>
    <xf numFmtId="0" fontId="29" fillId="0" borderId="0" xfId="2579" applyFont="1" applyAlignment="1">
      <alignment vertical="center"/>
    </xf>
    <xf numFmtId="0" fontId="108" fillId="0" borderId="0" xfId="2579" applyFont="1" applyAlignment="1">
      <alignment vertical="center"/>
    </xf>
    <xf numFmtId="0" fontId="104" fillId="0" borderId="0" xfId="2579" applyFont="1" applyAlignment="1">
      <alignment vertical="center"/>
    </xf>
    <xf numFmtId="0" fontId="105" fillId="30" borderId="0" xfId="2579" applyFont="1" applyFill="1" applyAlignment="1">
      <alignment vertical="center"/>
    </xf>
    <xf numFmtId="0" fontId="103" fillId="30" borderId="0" xfId="2579" applyFont="1" applyFill="1" applyAlignment="1">
      <alignment vertical="center"/>
    </xf>
    <xf numFmtId="0" fontId="104" fillId="0" borderId="0" xfId="2579" applyFont="1" applyFill="1" applyAlignment="1">
      <alignment horizontal="left" vertical="center"/>
    </xf>
    <xf numFmtId="0" fontId="104" fillId="30" borderId="0" xfId="2579" applyFont="1" applyFill="1" applyAlignment="1">
      <alignment horizontal="left" vertical="center"/>
    </xf>
    <xf numFmtId="0" fontId="172" fillId="0" borderId="0" xfId="2579" applyFont="1" applyAlignment="1">
      <alignment vertical="center"/>
    </xf>
    <xf numFmtId="0" fontId="103" fillId="0" borderId="0" xfId="2579" applyFont="1" applyAlignment="1">
      <alignment vertical="center"/>
    </xf>
    <xf numFmtId="49" fontId="27" fillId="0" borderId="0" xfId="2579" applyNumberFormat="1" applyFont="1" applyAlignment="1">
      <alignment horizontal="center" vertical="center"/>
    </xf>
    <xf numFmtId="0" fontId="68" fillId="0" borderId="0" xfId="2579" applyFont="1" applyFill="1"/>
    <xf numFmtId="176" fontId="173" fillId="0" borderId="1" xfId="2579" applyNumberFormat="1" applyFont="1" applyBorder="1" applyAlignment="1">
      <alignment horizontal="center" vertical="center" wrapText="1"/>
    </xf>
    <xf numFmtId="0" fontId="174" fillId="0" borderId="1" xfId="2579" applyFont="1" applyFill="1" applyBorder="1" applyAlignment="1">
      <alignment horizontal="center" vertical="center" wrapText="1"/>
    </xf>
    <xf numFmtId="176" fontId="173" fillId="30" borderId="1" xfId="2579" applyNumberFormat="1" applyFont="1" applyFill="1" applyBorder="1" applyAlignment="1">
      <alignment horizontal="center" vertical="center" wrapText="1"/>
    </xf>
    <xf numFmtId="176" fontId="174" fillId="0" borderId="1" xfId="2579" applyNumberFormat="1" applyFont="1" applyBorder="1" applyAlignment="1">
      <alignment horizontal="center" vertical="center" wrapText="1"/>
    </xf>
    <xf numFmtId="176" fontId="174" fillId="0" borderId="35" xfId="2579" applyNumberFormat="1" applyFont="1" applyBorder="1" applyAlignment="1">
      <alignment horizontal="center" vertical="center" wrapText="1"/>
    </xf>
    <xf numFmtId="176" fontId="173" fillId="0" borderId="35" xfId="2579" applyNumberFormat="1" applyFont="1" applyBorder="1" applyAlignment="1">
      <alignment horizontal="center" vertical="center" wrapText="1"/>
    </xf>
    <xf numFmtId="0" fontId="68" fillId="0" borderId="0" xfId="2579" applyFont="1"/>
    <xf numFmtId="0" fontId="175" fillId="0" borderId="0" xfId="5" applyFont="1" applyFill="1" applyAlignment="1" applyProtection="1">
      <alignment horizontal="centerContinuous"/>
    </xf>
    <xf numFmtId="0" fontId="176" fillId="0" borderId="0" xfId="2579" applyFont="1" applyAlignment="1">
      <alignment horizontal="centerContinuous"/>
    </xf>
    <xf numFmtId="0" fontId="176" fillId="30" borderId="0" xfId="2579" applyFont="1" applyFill="1" applyAlignment="1">
      <alignment horizontal="centerContinuous"/>
    </xf>
    <xf numFmtId="0" fontId="171" fillId="0" borderId="0" xfId="2579" applyFont="1" applyFill="1" applyAlignment="1">
      <alignment horizontal="centerContinuous" vertical="center" wrapText="1"/>
    </xf>
    <xf numFmtId="0" fontId="103" fillId="28" borderId="27" xfId="2579" applyFont="1" applyFill="1" applyBorder="1" applyAlignment="1">
      <alignment horizontal="center" vertical="center" wrapText="1"/>
    </xf>
    <xf numFmtId="2" fontId="74" fillId="0" borderId="1" xfId="2579" applyNumberFormat="1" applyFont="1" applyBorder="1" applyAlignment="1">
      <alignment horizontal="center" vertical="center" wrapText="1"/>
    </xf>
    <xf numFmtId="2" fontId="173" fillId="0" borderId="1" xfId="2579" applyNumberFormat="1" applyFont="1" applyBorder="1" applyAlignment="1">
      <alignment horizontal="center" vertical="center" wrapText="1"/>
    </xf>
    <xf numFmtId="2" fontId="174" fillId="0" borderId="1" xfId="2579" applyNumberFormat="1" applyFont="1" applyBorder="1" applyAlignment="1">
      <alignment horizontal="center" vertical="center" wrapText="1"/>
    </xf>
    <xf numFmtId="2" fontId="104" fillId="28" borderId="1" xfId="2579" applyNumberFormat="1" applyFont="1" applyFill="1" applyBorder="1" applyAlignment="1">
      <alignment horizontal="center" vertical="center" wrapText="1"/>
    </xf>
    <xf numFmtId="2" fontId="104" fillId="28" borderId="35" xfId="2579" applyNumberFormat="1" applyFont="1" applyFill="1" applyBorder="1" applyAlignment="1">
      <alignment horizontal="center" vertical="center" wrapText="1"/>
    </xf>
    <xf numFmtId="2" fontId="173" fillId="0" borderId="35" xfId="2579" applyNumberFormat="1" applyFont="1" applyBorder="1" applyAlignment="1">
      <alignment horizontal="center" vertical="center" wrapText="1"/>
    </xf>
    <xf numFmtId="2" fontId="74" fillId="0" borderId="35" xfId="2579" applyNumberFormat="1" applyFont="1" applyBorder="1" applyAlignment="1">
      <alignment horizontal="center" vertical="center" wrapText="1"/>
    </xf>
    <xf numFmtId="0" fontId="27" fillId="40" borderId="26" xfId="0" applyFont="1" applyFill="1" applyBorder="1" applyAlignment="1">
      <alignment horizontal="center" vertical="center" wrapText="1"/>
    </xf>
    <xf numFmtId="2" fontId="104" fillId="40" borderId="1" xfId="2579" applyNumberFormat="1" applyFont="1" applyFill="1" applyBorder="1" applyAlignment="1">
      <alignment horizontal="center" vertical="center" wrapText="1"/>
    </xf>
    <xf numFmtId="4" fontId="104" fillId="40" borderId="1" xfId="2579" applyNumberFormat="1" applyFont="1" applyFill="1" applyBorder="1" applyAlignment="1">
      <alignment horizontal="center" vertical="center" wrapText="1"/>
    </xf>
    <xf numFmtId="1" fontId="104" fillId="31" borderId="1" xfId="2579" applyNumberFormat="1" applyFont="1" applyFill="1" applyBorder="1" applyAlignment="1">
      <alignment horizontal="center" vertical="center" wrapText="1"/>
    </xf>
    <xf numFmtId="1" fontId="74" fillId="2" borderId="1" xfId="2579" applyNumberFormat="1" applyFont="1" applyFill="1" applyBorder="1" applyAlignment="1">
      <alignment horizontal="center" vertical="center" wrapText="1"/>
    </xf>
    <xf numFmtId="1" fontId="173" fillId="0" borderId="1" xfId="2579" applyNumberFormat="1" applyFont="1" applyBorder="1" applyAlignment="1">
      <alignment horizontal="center" vertical="center" wrapText="1"/>
    </xf>
    <xf numFmtId="1" fontId="173" fillId="0" borderId="35" xfId="2579" applyNumberFormat="1" applyFont="1" applyBorder="1" applyAlignment="1">
      <alignment horizontal="center" vertical="center" wrapText="1"/>
    </xf>
    <xf numFmtId="1" fontId="173" fillId="30" borderId="1" xfId="2579" applyNumberFormat="1" applyFont="1" applyFill="1" applyBorder="1" applyAlignment="1">
      <alignment horizontal="center" vertical="center" wrapText="1"/>
    </xf>
    <xf numFmtId="1" fontId="173" fillId="30" borderId="35" xfId="2579" applyNumberFormat="1" applyFont="1" applyFill="1" applyBorder="1" applyAlignment="1">
      <alignment horizontal="center" vertical="center" wrapText="1"/>
    </xf>
    <xf numFmtId="2" fontId="104" fillId="2" borderId="1" xfId="2579" applyNumberFormat="1" applyFont="1" applyFill="1" applyBorder="1" applyAlignment="1">
      <alignment horizontal="center" vertical="center" wrapText="1"/>
    </xf>
    <xf numFmtId="2" fontId="74" fillId="39" borderId="1" xfId="2579" applyNumberFormat="1" applyFont="1" applyFill="1" applyBorder="1" applyAlignment="1">
      <alignment horizontal="center" vertical="center" wrapText="1"/>
    </xf>
    <xf numFmtId="0" fontId="99" fillId="0" borderId="0" xfId="2579" applyFont="1"/>
    <xf numFmtId="0" fontId="177" fillId="0" borderId="0" xfId="2579" applyFont="1" applyFill="1" applyAlignment="1">
      <alignment horizontal="center" vertical="center"/>
    </xf>
    <xf numFmtId="0" fontId="8" fillId="40" borderId="0" xfId="2579" applyFill="1"/>
    <xf numFmtId="2" fontId="173" fillId="40" borderId="1" xfId="2579" applyNumberFormat="1" applyFont="1" applyFill="1" applyBorder="1" applyAlignment="1">
      <alignment horizontal="center" vertical="center" wrapText="1"/>
    </xf>
    <xf numFmtId="0" fontId="74" fillId="30" borderId="1" xfId="2579" applyFont="1" applyFill="1" applyBorder="1" applyAlignment="1">
      <alignment horizontal="center" vertical="center" wrapText="1"/>
    </xf>
    <xf numFmtId="0" fontId="68" fillId="2" borderId="0" xfId="2579" applyFont="1" applyFill="1"/>
    <xf numFmtId="176" fontId="104" fillId="2" borderId="1" xfId="2579" applyNumberFormat="1" applyFont="1" applyFill="1" applyBorder="1" applyAlignment="1">
      <alignment horizontal="center" vertical="center" wrapText="1"/>
    </xf>
    <xf numFmtId="3" fontId="78" fillId="0" borderId="1" xfId="0" applyNumberFormat="1" applyFont="1" applyFill="1" applyBorder="1" applyAlignment="1" applyProtection="1">
      <alignment horizontal="center" vertical="center" wrapText="1"/>
      <protection locked="0"/>
    </xf>
    <xf numFmtId="0" fontId="78" fillId="0" borderId="1" xfId="0" applyFont="1" applyFill="1" applyBorder="1" applyProtection="1">
      <protection locked="0"/>
    </xf>
    <xf numFmtId="0" fontId="0" fillId="0" borderId="0" xfId="0" applyAlignment="1">
      <alignment wrapText="1"/>
    </xf>
    <xf numFmtId="0" fontId="27" fillId="0" borderId="0" xfId="0" applyFont="1" applyFill="1" applyBorder="1" applyAlignment="1">
      <alignment horizontal="center" vertical="center"/>
    </xf>
    <xf numFmtId="0" fontId="78" fillId="0" borderId="0" xfId="0" applyFont="1" applyFill="1" applyAlignment="1">
      <alignment horizontal="center" vertical="center" wrapText="1"/>
    </xf>
    <xf numFmtId="0" fontId="26" fillId="0" borderId="0" xfId="0" applyFont="1" applyFill="1" applyAlignment="1">
      <alignment vertical="center" wrapText="1"/>
    </xf>
    <xf numFmtId="0" fontId="26" fillId="0" borderId="0" xfId="0" applyFont="1" applyFill="1" applyAlignment="1">
      <alignment horizontal="right" vertical="center" wrapText="1"/>
    </xf>
    <xf numFmtId="0" fontId="26" fillId="2" borderId="0" xfId="0" applyFont="1" applyFill="1" applyAlignment="1">
      <alignment horizontal="center" vertical="center" wrapText="1"/>
    </xf>
    <xf numFmtId="179" fontId="97" fillId="0" borderId="0" xfId="0" applyNumberFormat="1" applyFont="1"/>
    <xf numFmtId="0" fontId="27" fillId="0" borderId="1" xfId="0" applyFont="1" applyBorder="1" applyAlignment="1">
      <alignment horizontal="left" vertical="top"/>
    </xf>
    <xf numFmtId="178" fontId="30" fillId="0" borderId="0" xfId="0" applyNumberFormat="1" applyFont="1" applyFill="1" applyAlignment="1">
      <alignment horizontal="center" vertical="center" wrapText="1"/>
    </xf>
    <xf numFmtId="179" fontId="26" fillId="0" borderId="0" xfId="0" applyNumberFormat="1" applyFont="1" applyFill="1" applyAlignment="1">
      <alignment horizontal="center" vertical="center" wrapText="1"/>
    </xf>
    <xf numFmtId="1" fontId="26" fillId="0" borderId="1" xfId="0" applyNumberFormat="1" applyFont="1" applyBorder="1" applyAlignment="1">
      <alignment wrapText="1"/>
    </xf>
    <xf numFmtId="1" fontId="26" fillId="0" borderId="1" xfId="0" applyNumberFormat="1" applyFont="1" applyFill="1" applyBorder="1" applyAlignment="1">
      <alignment horizontal="right"/>
    </xf>
    <xf numFmtId="0" fontId="26" fillId="0" borderId="1" xfId="0" applyFont="1" applyFill="1" applyBorder="1" applyAlignment="1">
      <alignment horizontal="center" vertical="center" wrapText="1"/>
    </xf>
    <xf numFmtId="1" fontId="26" fillId="0" borderId="1" xfId="0" applyNumberFormat="1" applyFont="1" applyFill="1" applyBorder="1" applyAlignment="1">
      <alignment wrapText="1"/>
    </xf>
    <xf numFmtId="2" fontId="30" fillId="103" borderId="1" xfId="0" applyNumberFormat="1" applyFont="1" applyFill="1" applyBorder="1" applyAlignment="1">
      <alignment horizontal="center" wrapText="1"/>
    </xf>
    <xf numFmtId="2" fontId="26" fillId="0" borderId="0" xfId="0" applyNumberFormat="1" applyFont="1" applyFill="1" applyBorder="1" applyAlignment="1">
      <alignment horizontal="center" vertical="center" wrapText="1"/>
    </xf>
    <xf numFmtId="179" fontId="77" fillId="0" borderId="0" xfId="0" applyNumberFormat="1" applyFont="1" applyFill="1" applyBorder="1" applyAlignment="1">
      <alignment horizontal="center" vertical="center" wrapText="1"/>
    </xf>
    <xf numFmtId="4" fontId="26" fillId="0" borderId="0" xfId="0" applyNumberFormat="1" applyFont="1" applyFill="1" applyBorder="1" applyAlignment="1" applyProtection="1">
      <alignment horizontal="center" vertical="center" wrapText="1"/>
      <protection locked="0"/>
    </xf>
    <xf numFmtId="2" fontId="26" fillId="0" borderId="0" xfId="0" applyNumberFormat="1" applyFont="1" applyFill="1" applyBorder="1" applyAlignment="1" applyProtection="1">
      <alignment horizontal="center" vertical="center" wrapText="1"/>
      <protection locked="0"/>
    </xf>
    <xf numFmtId="213" fontId="97" fillId="0" borderId="0" xfId="0" applyNumberFormat="1" applyFont="1"/>
    <xf numFmtId="2" fontId="105" fillId="0" borderId="0" xfId="0" applyNumberFormat="1" applyFont="1" applyFill="1" applyBorder="1" applyAlignment="1">
      <alignment horizontal="center" vertical="center" wrapText="1"/>
    </xf>
    <xf numFmtId="4" fontId="30" fillId="0" borderId="0" xfId="0" applyNumberFormat="1" applyFont="1" applyFill="1" applyBorder="1" applyAlignment="1" applyProtection="1">
      <alignment horizontal="center" vertical="center" wrapText="1"/>
    </xf>
    <xf numFmtId="0" fontId="78" fillId="0" borderId="0" xfId="0" applyFont="1" applyFill="1" applyBorder="1" applyAlignment="1" applyProtection="1">
      <alignment horizontal="center" vertical="center" wrapText="1"/>
      <protection locked="0"/>
    </xf>
    <xf numFmtId="0" fontId="78" fillId="0" borderId="0" xfId="0" applyFont="1" applyFill="1" applyBorder="1" applyAlignment="1" applyProtection="1">
      <alignment horizontal="center" vertical="center"/>
      <protection locked="0"/>
    </xf>
    <xf numFmtId="2" fontId="0" fillId="2" borderId="0" xfId="0" applyNumberFormat="1" applyFill="1"/>
    <xf numFmtId="179" fontId="0" fillId="2" borderId="0" xfId="0" applyNumberFormat="1" applyFill="1"/>
    <xf numFmtId="4" fontId="26" fillId="2" borderId="0" xfId="0" applyNumberFormat="1" applyFont="1" applyFill="1" applyBorder="1" applyAlignment="1" applyProtection="1">
      <alignment horizontal="center" vertical="center" wrapText="1"/>
      <protection locked="0"/>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wrapText="1"/>
    </xf>
    <xf numFmtId="179" fontId="77" fillId="2" borderId="0" xfId="0" applyNumberFormat="1" applyFont="1" applyFill="1" applyBorder="1" applyAlignment="1">
      <alignment horizontal="center" vertical="center" wrapText="1"/>
    </xf>
    <xf numFmtId="2" fontId="26" fillId="2" borderId="0" xfId="0" applyNumberFormat="1" applyFont="1" applyFill="1" applyAlignment="1">
      <alignment horizontal="center" vertical="center" wrapText="1"/>
    </xf>
    <xf numFmtId="179" fontId="26" fillId="2" borderId="0" xfId="0" applyNumberFormat="1" applyFont="1" applyFill="1" applyAlignment="1">
      <alignment horizontal="center" vertical="center" wrapText="1"/>
    </xf>
    <xf numFmtId="1" fontId="30" fillId="2" borderId="40" xfId="0" applyNumberFormat="1" applyFont="1" applyFill="1" applyBorder="1" applyAlignment="1">
      <alignment horizontal="center" vertical="center" wrapText="1"/>
    </xf>
    <xf numFmtId="2" fontId="30" fillId="2" borderId="40" xfId="0" applyNumberFormat="1" applyFont="1" applyFill="1" applyBorder="1" applyAlignment="1">
      <alignment horizontal="center" vertical="center" wrapText="1"/>
    </xf>
    <xf numFmtId="179" fontId="30" fillId="2" borderId="40" xfId="0" applyNumberFormat="1" applyFont="1" applyFill="1" applyBorder="1" applyAlignment="1">
      <alignment horizontal="center" vertical="center" wrapText="1"/>
    </xf>
    <xf numFmtId="4" fontId="30" fillId="2" borderId="38" xfId="0" applyNumberFormat="1" applyFont="1" applyFill="1" applyBorder="1" applyAlignment="1" applyProtection="1">
      <alignment horizontal="center" vertical="center" wrapText="1"/>
      <protection locked="0"/>
    </xf>
    <xf numFmtId="1" fontId="26" fillId="0" borderId="0"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29" fillId="0" borderId="0" xfId="0" applyFont="1" applyFill="1" applyBorder="1" applyAlignment="1">
      <alignment horizontal="center" vertical="center" wrapText="1"/>
    </xf>
    <xf numFmtId="179" fontId="78" fillId="0" borderId="0" xfId="0" applyNumberFormat="1" applyFont="1" applyBorder="1" applyAlignment="1">
      <alignment horizontal="center" vertical="center"/>
    </xf>
    <xf numFmtId="1" fontId="94" fillId="0" borderId="0" xfId="0" applyNumberFormat="1" applyFont="1" applyFill="1" applyBorder="1" applyAlignment="1" applyProtection="1">
      <alignment horizontal="center" vertical="center" wrapText="1"/>
      <protection locked="0"/>
    </xf>
    <xf numFmtId="2" fontId="26" fillId="2" borderId="25" xfId="0" applyNumberFormat="1" applyFont="1" applyFill="1" applyBorder="1" applyAlignment="1">
      <alignment horizontal="center" vertical="center" wrapText="1"/>
    </xf>
    <xf numFmtId="2" fontId="105" fillId="0" borderId="4" xfId="0" applyNumberFormat="1" applyFont="1" applyFill="1" applyBorder="1" applyAlignment="1">
      <alignment horizontal="center" vertical="center" wrapText="1"/>
    </xf>
    <xf numFmtId="4" fontId="30" fillId="0" borderId="4" xfId="0" applyNumberFormat="1" applyFont="1" applyFill="1" applyBorder="1" applyAlignment="1" applyProtection="1">
      <alignment horizontal="center" vertical="center" wrapText="1"/>
    </xf>
    <xf numFmtId="0" fontId="78" fillId="0" borderId="4" xfId="0"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wrapText="1"/>
      <protection locked="0"/>
    </xf>
    <xf numFmtId="1" fontId="26" fillId="0" borderId="4" xfId="0" applyNumberFormat="1" applyFont="1" applyFill="1" applyBorder="1" applyAlignment="1" applyProtection="1">
      <alignment horizontal="center" vertical="center" wrapText="1"/>
      <protection locked="0"/>
    </xf>
    <xf numFmtId="0" fontId="78" fillId="0" borderId="4" xfId="0"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29" fillId="0" borderId="4" xfId="0" applyFont="1" applyFill="1" applyBorder="1" applyAlignment="1">
      <alignment horizontal="center" vertical="center" wrapText="1"/>
    </xf>
    <xf numFmtId="0" fontId="26" fillId="0" borderId="4" xfId="0" applyFont="1" applyBorder="1" applyAlignment="1">
      <alignment horizontal="center" vertical="center" wrapText="1"/>
    </xf>
    <xf numFmtId="0" fontId="27" fillId="0" borderId="4" xfId="0" applyFont="1" applyBorder="1" applyAlignment="1">
      <alignment horizontal="center" vertical="center"/>
    </xf>
    <xf numFmtId="0" fontId="26" fillId="0" borderId="74" xfId="0" applyFont="1" applyFill="1" applyBorder="1" applyAlignment="1" applyProtection="1">
      <alignment horizontal="center" vertical="center" wrapText="1"/>
      <protection locked="0"/>
    </xf>
    <xf numFmtId="175" fontId="26" fillId="0" borderId="1" xfId="0" applyNumberFormat="1" applyFont="1" applyFill="1" applyBorder="1" applyAlignment="1" applyProtection="1">
      <alignment horizontal="center" vertical="center" wrapText="1"/>
      <protection locked="0"/>
    </xf>
    <xf numFmtId="2" fontId="26" fillId="0" borderId="1" xfId="0" applyNumberFormat="1" applyFont="1" applyFill="1" applyBorder="1" applyAlignment="1">
      <alignment horizontal="center"/>
    </xf>
    <xf numFmtId="213" fontId="105" fillId="0" borderId="1" xfId="0" applyNumberFormat="1" applyFont="1" applyFill="1" applyBorder="1" applyAlignment="1">
      <alignment horizontal="center" vertical="top" wrapText="1"/>
    </xf>
    <xf numFmtId="2" fontId="26" fillId="0" borderId="2" xfId="0" applyNumberFormat="1" applyFont="1" applyFill="1" applyBorder="1" applyAlignment="1">
      <alignment horizontal="center"/>
    </xf>
    <xf numFmtId="3" fontId="78" fillId="0" borderId="1" xfId="0" applyNumberFormat="1" applyFont="1" applyFill="1" applyBorder="1" applyAlignment="1" applyProtection="1">
      <alignment horizontal="center" wrapText="1"/>
      <protection locked="0"/>
    </xf>
    <xf numFmtId="3" fontId="26" fillId="0" borderId="1" xfId="0" applyNumberFormat="1" applyFont="1" applyFill="1" applyBorder="1" applyAlignment="1" applyProtection="1">
      <alignment horizontal="center" wrapText="1"/>
      <protection locked="0"/>
    </xf>
    <xf numFmtId="1" fontId="26" fillId="0" borderId="1" xfId="0" applyNumberFormat="1" applyFont="1" applyFill="1" applyBorder="1" applyAlignment="1" applyProtection="1">
      <alignment wrapText="1"/>
      <protection locked="0"/>
    </xf>
    <xf numFmtId="0" fontId="78" fillId="0" borderId="1" xfId="0" applyFont="1" applyFill="1" applyBorder="1" applyAlignment="1" applyProtection="1">
      <protection locked="0"/>
    </xf>
    <xf numFmtId="1" fontId="0" fillId="0" borderId="1" xfId="0" applyNumberFormat="1" applyBorder="1" applyAlignment="1" applyProtection="1">
      <alignment horizontal="center"/>
      <protection locked="0"/>
    </xf>
    <xf numFmtId="1" fontId="6" fillId="0" borderId="1" xfId="0" applyNumberFormat="1" applyFont="1" applyFill="1" applyBorder="1" applyAlignment="1"/>
    <xf numFmtId="1" fontId="6" fillId="0" borderId="1" xfId="0" applyNumberFormat="1" applyFont="1" applyBorder="1" applyAlignment="1" applyProtection="1">
      <alignment horizontal="right"/>
      <protection locked="0"/>
    </xf>
    <xf numFmtId="0" fontId="27" fillId="0" borderId="1" xfId="0" applyFont="1" applyFill="1" applyBorder="1" applyAlignment="1">
      <alignment horizontal="left" vertical="top"/>
    </xf>
    <xf numFmtId="0" fontId="26" fillId="0" borderId="6" xfId="0" applyFont="1" applyFill="1" applyBorder="1" applyAlignment="1" applyProtection="1">
      <alignment horizontal="center" vertical="center" wrapText="1"/>
      <protection locked="0"/>
    </xf>
    <xf numFmtId="2" fontId="77" fillId="0" borderId="1" xfId="0" applyNumberFormat="1" applyFont="1" applyFill="1" applyBorder="1" applyAlignment="1">
      <alignment horizontal="center"/>
    </xf>
    <xf numFmtId="1" fontId="6" fillId="0" borderId="1" xfId="0" applyNumberFormat="1" applyFont="1" applyBorder="1" applyAlignment="1" applyProtection="1">
      <protection locked="0"/>
    </xf>
    <xf numFmtId="1" fontId="104" fillId="0" borderId="1" xfId="0" applyNumberFormat="1" applyFont="1" applyBorder="1" applyAlignment="1">
      <alignment horizontal="left" vertical="top"/>
    </xf>
    <xf numFmtId="1" fontId="26" fillId="0" borderId="1" xfId="0" applyNumberFormat="1" applyFont="1" applyFill="1" applyBorder="1" applyAlignment="1"/>
    <xf numFmtId="212" fontId="26" fillId="0" borderId="1" xfId="0" applyNumberFormat="1" applyFont="1" applyFill="1" applyBorder="1" applyAlignment="1" applyProtection="1">
      <alignment horizontal="center" vertical="center" wrapText="1"/>
      <protection locked="0"/>
    </xf>
    <xf numFmtId="1" fontId="0" fillId="0" borderId="1" xfId="0" applyNumberFormat="1" applyFill="1" applyBorder="1" applyAlignment="1" applyProtection="1">
      <alignment horizontal="center"/>
      <protection locked="0"/>
    </xf>
    <xf numFmtId="1" fontId="77" fillId="0" borderId="1" xfId="0" applyNumberFormat="1" applyFont="1" applyFill="1" applyBorder="1" applyAlignment="1"/>
    <xf numFmtId="1" fontId="101" fillId="0" borderId="1" xfId="0" applyNumberFormat="1" applyFont="1" applyFill="1" applyBorder="1" applyAlignment="1" applyProtection="1">
      <alignment horizontal="right"/>
      <protection locked="0"/>
    </xf>
    <xf numFmtId="2" fontId="26" fillId="0" borderId="1" xfId="0" applyNumberFormat="1" applyFont="1" applyBorder="1" applyAlignment="1">
      <alignment horizontal="center"/>
    </xf>
    <xf numFmtId="1" fontId="178" fillId="0" borderId="1" xfId="0" applyNumberFormat="1" applyFont="1" applyFill="1" applyBorder="1" applyProtection="1">
      <protection locked="0"/>
    </xf>
    <xf numFmtId="2" fontId="77" fillId="0" borderId="1" xfId="0" applyNumberFormat="1" applyFont="1" applyBorder="1" applyAlignment="1">
      <alignment horizontal="center"/>
    </xf>
    <xf numFmtId="0" fontId="178" fillId="0" borderId="1" xfId="0" applyFont="1" applyFill="1" applyBorder="1" applyAlignment="1" applyProtection="1">
      <alignment wrapText="1"/>
      <protection locked="0"/>
    </xf>
    <xf numFmtId="4" fontId="26" fillId="0" borderId="1" xfId="0" applyNumberFormat="1" applyFont="1" applyFill="1" applyBorder="1" applyAlignment="1" applyProtection="1">
      <alignment horizontal="center" vertical="center" wrapText="1"/>
      <protection locked="0"/>
    </xf>
    <xf numFmtId="1" fontId="0" fillId="0" borderId="1" xfId="0" applyNumberFormat="1" applyFill="1" applyBorder="1" applyProtection="1">
      <protection locked="0"/>
    </xf>
    <xf numFmtId="1" fontId="27" fillId="0" borderId="1" xfId="0" applyNumberFormat="1" applyFont="1" applyFill="1" applyBorder="1" applyAlignment="1">
      <alignment horizontal="left" vertical="top"/>
    </xf>
    <xf numFmtId="0" fontId="104" fillId="0" borderId="1" xfId="0" applyFont="1" applyFill="1" applyBorder="1" applyAlignment="1">
      <alignment horizontal="left" vertical="top"/>
    </xf>
    <xf numFmtId="0" fontId="0" fillId="0" borderId="1" xfId="0" applyFont="1" applyFill="1" applyBorder="1" applyAlignment="1" applyProtection="1">
      <alignment vertical="top" wrapText="1"/>
      <protection locked="0"/>
    </xf>
    <xf numFmtId="1" fontId="178" fillId="0" borderId="1" xfId="0" applyNumberFormat="1" applyFont="1" applyFill="1" applyBorder="1" applyAlignment="1" applyProtection="1">
      <alignment horizontal="right"/>
      <protection locked="0"/>
    </xf>
    <xf numFmtId="175" fontId="77" fillId="0" borderId="1" xfId="0" applyNumberFormat="1" applyFont="1" applyFill="1" applyBorder="1" applyAlignment="1" applyProtection="1">
      <alignment horizontal="center" vertical="center" wrapText="1"/>
      <protection locked="0"/>
    </xf>
    <xf numFmtId="1" fontId="6" fillId="0" borderId="1" xfId="0" applyNumberFormat="1" applyFont="1" applyFill="1" applyBorder="1" applyAlignment="1" applyProtection="1">
      <alignment horizontal="right"/>
      <protection locked="0"/>
    </xf>
    <xf numFmtId="0" fontId="26" fillId="0" borderId="1" xfId="0" applyFont="1" applyFill="1" applyBorder="1" applyAlignment="1" applyProtection="1">
      <alignment horizontal="center" vertical="center" wrapText="1"/>
      <protection locked="0"/>
    </xf>
    <xf numFmtId="1" fontId="26" fillId="102" borderId="1" xfId="0" applyNumberFormat="1" applyFont="1" applyFill="1" applyBorder="1" applyAlignment="1">
      <alignment horizontal="left" vertical="top" wrapText="1"/>
    </xf>
    <xf numFmtId="0" fontId="27" fillId="0" borderId="1" xfId="0" applyFont="1" applyBorder="1"/>
    <xf numFmtId="1" fontId="27" fillId="0" borderId="1" xfId="0" applyNumberFormat="1" applyFont="1" applyBorder="1" applyAlignment="1">
      <alignment horizontal="left" vertical="top"/>
    </xf>
    <xf numFmtId="1" fontId="0" fillId="0" borderId="1" xfId="0" applyNumberFormat="1" applyBorder="1" applyAlignment="1" applyProtection="1">
      <protection locked="0"/>
    </xf>
    <xf numFmtId="1" fontId="0" fillId="0" borderId="1" xfId="0" applyNumberFormat="1" applyBorder="1" applyAlignment="1" applyProtection="1">
      <alignment horizontal="right"/>
      <protection locked="0"/>
    </xf>
    <xf numFmtId="0" fontId="77" fillId="0" borderId="0" xfId="0" applyFont="1" applyFill="1" applyAlignment="1">
      <alignment horizontal="left" vertical="center" wrapText="1"/>
    </xf>
    <xf numFmtId="3" fontId="77" fillId="0" borderId="1" xfId="0" applyNumberFormat="1" applyFont="1" applyFill="1" applyBorder="1" applyAlignment="1" applyProtection="1">
      <alignment horizontal="center" wrapText="1"/>
      <protection locked="0"/>
    </xf>
    <xf numFmtId="1" fontId="77" fillId="0" borderId="1" xfId="0" applyNumberFormat="1" applyFont="1" applyFill="1" applyBorder="1" applyAlignment="1" applyProtection="1">
      <alignment wrapText="1"/>
      <protection locked="0"/>
    </xf>
    <xf numFmtId="0" fontId="77" fillId="0" borderId="1" xfId="0" applyFont="1" applyFill="1" applyBorder="1" applyAlignment="1" applyProtection="1">
      <protection locked="0"/>
    </xf>
    <xf numFmtId="1" fontId="178" fillId="0" borderId="1" xfId="0" applyNumberFormat="1" applyFont="1" applyFill="1" applyBorder="1" applyAlignment="1" applyProtection="1">
      <alignment horizontal="center"/>
      <protection locked="0"/>
    </xf>
    <xf numFmtId="4" fontId="77" fillId="0" borderId="1" xfId="0" applyNumberFormat="1" applyFont="1" applyFill="1" applyBorder="1" applyAlignment="1" applyProtection="1">
      <alignment horizontal="center" vertical="center" wrapText="1"/>
      <protection locked="0"/>
    </xf>
    <xf numFmtId="1" fontId="0" fillId="0" borderId="1" xfId="0" applyNumberFormat="1" applyBorder="1" applyProtection="1">
      <protection locked="0"/>
    </xf>
    <xf numFmtId="0" fontId="27" fillId="30" borderId="1" xfId="0" applyFont="1" applyFill="1" applyBorder="1" applyAlignment="1">
      <alignment horizontal="left" vertical="top"/>
    </xf>
    <xf numFmtId="0" fontId="27" fillId="29" borderId="1" xfId="0" applyFont="1" applyFill="1" applyBorder="1" applyAlignment="1">
      <alignment horizontal="left" vertical="top"/>
    </xf>
    <xf numFmtId="1" fontId="77" fillId="0" borderId="1" xfId="0" applyNumberFormat="1" applyFont="1" applyFill="1" applyBorder="1" applyAlignment="1">
      <alignment horizontal="right"/>
    </xf>
    <xf numFmtId="0" fontId="26" fillId="0" borderId="1" xfId="0" applyFont="1" applyFill="1" applyBorder="1" applyAlignment="1">
      <alignment horizontal="left" vertical="center" wrapText="1"/>
    </xf>
    <xf numFmtId="0" fontId="26" fillId="0" borderId="0" xfId="0" applyFont="1" applyFill="1" applyBorder="1" applyAlignment="1">
      <alignment horizontal="left" vertical="center" wrapText="1"/>
    </xf>
    <xf numFmtId="1" fontId="78" fillId="0" borderId="1" xfId="0" applyNumberFormat="1" applyFont="1" applyFill="1" applyBorder="1" applyAlignment="1" applyProtection="1">
      <alignment wrapText="1"/>
      <protection locked="0"/>
    </xf>
    <xf numFmtId="0" fontId="0" fillId="0" borderId="1" xfId="0" applyFont="1" applyBorder="1" applyAlignment="1" applyProtection="1">
      <alignment wrapText="1"/>
      <protection locked="0"/>
    </xf>
    <xf numFmtId="1" fontId="77" fillId="0" borderId="1" xfId="0" applyNumberFormat="1" applyFont="1" applyBorder="1" applyAlignment="1">
      <alignment wrapText="1"/>
    </xf>
    <xf numFmtId="3" fontId="26" fillId="0" borderId="1" xfId="0" applyNumberFormat="1" applyFont="1" applyFill="1" applyBorder="1" applyAlignment="1" applyProtection="1">
      <alignment horizontal="center" vertical="center" wrapText="1"/>
      <protection locked="0"/>
    </xf>
    <xf numFmtId="1" fontId="26" fillId="0" borderId="1" xfId="0" applyNumberFormat="1" applyFont="1" applyFill="1" applyBorder="1" applyAlignment="1" applyProtection="1">
      <alignment vertical="center" wrapText="1"/>
      <protection locked="0"/>
    </xf>
    <xf numFmtId="0" fontId="0" fillId="0" borderId="1" xfId="0" applyFont="1" applyBorder="1" applyAlignment="1" applyProtection="1">
      <alignment vertical="top" wrapText="1"/>
      <protection locked="0"/>
    </xf>
    <xf numFmtId="0" fontId="169" fillId="0" borderId="1" xfId="0" applyFont="1" applyFill="1" applyBorder="1" applyAlignment="1">
      <alignment vertical="top" wrapText="1"/>
    </xf>
    <xf numFmtId="1" fontId="0" fillId="0" borderId="1" xfId="0" applyNumberFormat="1" applyFill="1" applyBorder="1" applyAlignment="1" applyProtection="1">
      <alignment horizontal="right"/>
      <protection locked="0"/>
    </xf>
    <xf numFmtId="0" fontId="26" fillId="29" borderId="0" xfId="0" applyFont="1" applyFill="1" applyBorder="1" applyAlignment="1">
      <alignment horizontal="left" vertical="center" wrapText="1"/>
    </xf>
    <xf numFmtId="2" fontId="26" fillId="0" borderId="1" xfId="0" applyNumberFormat="1" applyFont="1" applyFill="1" applyBorder="1" applyAlignment="1" applyProtection="1">
      <alignment horizontal="center" vertical="center" wrapText="1"/>
      <protection locked="0"/>
    </xf>
    <xf numFmtId="212" fontId="26" fillId="0" borderId="1" xfId="0" applyNumberFormat="1" applyFont="1" applyFill="1" applyBorder="1" applyAlignment="1">
      <alignment horizontal="center"/>
    </xf>
    <xf numFmtId="1" fontId="26" fillId="0" borderId="1" xfId="0" applyNumberFormat="1" applyFont="1" applyFill="1" applyBorder="1"/>
    <xf numFmtId="1" fontId="77" fillId="0" borderId="1" xfId="124" applyNumberFormat="1" applyFont="1" applyFill="1" applyBorder="1" applyAlignment="1"/>
    <xf numFmtId="0" fontId="29" fillId="0" borderId="1" xfId="0" applyFont="1" applyFill="1" applyBorder="1"/>
    <xf numFmtId="0" fontId="29" fillId="0" borderId="1" xfId="124" applyFont="1" applyFill="1" applyBorder="1" applyAlignment="1">
      <alignment horizontal="left"/>
    </xf>
    <xf numFmtId="3" fontId="78" fillId="43" borderId="1" xfId="0" applyNumberFormat="1" applyFont="1" applyFill="1" applyBorder="1" applyAlignment="1" applyProtection="1">
      <alignment horizontal="center" vertical="center" wrapText="1"/>
      <protection locked="0"/>
    </xf>
    <xf numFmtId="0" fontId="78" fillId="43" borderId="1" xfId="0" applyFont="1" applyFill="1" applyBorder="1" applyProtection="1">
      <protection locked="0"/>
    </xf>
    <xf numFmtId="0" fontId="0" fillId="0" borderId="1" xfId="0" applyFont="1" applyFill="1" applyBorder="1" applyAlignment="1" applyProtection="1">
      <alignment horizontal="right" vertical="top" wrapText="1"/>
      <protection locked="0"/>
    </xf>
    <xf numFmtId="1" fontId="26" fillId="0" borderId="1" xfId="124" applyNumberFormat="1" applyFont="1" applyFill="1" applyBorder="1" applyAlignment="1" applyProtection="1">
      <alignment wrapText="1"/>
      <protection locked="0"/>
    </xf>
    <xf numFmtId="1" fontId="26" fillId="0" borderId="1" xfId="124" applyNumberFormat="1" applyFont="1" applyFill="1" applyBorder="1" applyAlignment="1">
      <alignment wrapText="1"/>
    </xf>
    <xf numFmtId="1" fontId="78" fillId="0" borderId="1" xfId="0" applyNumberFormat="1" applyFont="1" applyFill="1" applyBorder="1" applyAlignment="1">
      <alignment horizontal="right"/>
    </xf>
    <xf numFmtId="0" fontId="107" fillId="2" borderId="25" xfId="0" applyFont="1" applyFill="1" applyBorder="1" applyAlignment="1">
      <alignment horizontal="center" vertical="center" wrapText="1"/>
    </xf>
    <xf numFmtId="0" fontId="118" fillId="2" borderId="4" xfId="0" applyFont="1" applyFill="1" applyBorder="1" applyAlignment="1">
      <alignment horizontal="center" vertical="center" wrapText="1"/>
    </xf>
    <xf numFmtId="0" fontId="26" fillId="0" borderId="4" xfId="0" applyFont="1" applyFill="1" applyBorder="1" applyAlignment="1" applyProtection="1">
      <alignment horizontal="center" vertical="center" wrapText="1"/>
    </xf>
    <xf numFmtId="165" fontId="26" fillId="0" borderId="4" xfId="260" applyFont="1" applyFill="1" applyBorder="1" applyAlignment="1" applyProtection="1">
      <alignment horizontal="left" vertical="center" wrapText="1"/>
    </xf>
    <xf numFmtId="0" fontId="78" fillId="0" borderId="4" xfId="0" applyFont="1" applyFill="1" applyBorder="1" applyAlignment="1" applyProtection="1">
      <alignment horizontal="center" vertical="center" wrapText="1"/>
    </xf>
    <xf numFmtId="0" fontId="26" fillId="0" borderId="74" xfId="0" applyFont="1" applyFill="1" applyBorder="1" applyAlignment="1" applyProtection="1">
      <alignment horizontal="center" vertical="top" wrapText="1"/>
    </xf>
    <xf numFmtId="0" fontId="179" fillId="0" borderId="0" xfId="0" applyFont="1" applyFill="1" applyAlignment="1">
      <alignment horizontal="left" vertical="center" wrapText="1"/>
    </xf>
    <xf numFmtId="0" fontId="179" fillId="0" borderId="0" xfId="0" applyFont="1"/>
    <xf numFmtId="177" fontId="26" fillId="0" borderId="4" xfId="0" applyNumberFormat="1" applyFont="1" applyBorder="1" applyAlignment="1">
      <alignment horizontal="center" vertical="center"/>
    </xf>
    <xf numFmtId="177" fontId="26" fillId="0" borderId="4" xfId="0" applyNumberFormat="1" applyFont="1" applyFill="1" applyBorder="1" applyAlignment="1" applyProtection="1">
      <alignment horizontal="center" vertical="center" wrapText="1"/>
      <protection locked="0"/>
    </xf>
    <xf numFmtId="0" fontId="4" fillId="0" borderId="0" xfId="3314"/>
    <xf numFmtId="2" fontId="4" fillId="0" borderId="0" xfId="3314" applyNumberFormat="1"/>
    <xf numFmtId="49" fontId="26" fillId="0" borderId="0" xfId="3314" applyNumberFormat="1" applyFont="1" applyAlignment="1">
      <alignment horizontal="center" vertical="center"/>
    </xf>
    <xf numFmtId="0" fontId="171" fillId="0" borderId="0" xfId="3314" applyFont="1" applyFill="1" applyAlignment="1">
      <alignment horizontal="centerContinuous" vertical="center"/>
    </xf>
    <xf numFmtId="0" fontId="4" fillId="0" borderId="0" xfId="3314" applyFill="1" applyAlignment="1">
      <alignment horizontal="centerContinuous" vertical="center"/>
    </xf>
    <xf numFmtId="0" fontId="101" fillId="0" borderId="0" xfId="3314" applyFont="1"/>
    <xf numFmtId="0" fontId="170" fillId="0" borderId="0" xfId="3314" applyFont="1"/>
    <xf numFmtId="49" fontId="30" fillId="0" borderId="58" xfId="3314" applyNumberFormat="1" applyFont="1" applyFill="1" applyBorder="1" applyAlignment="1">
      <alignment horizontal="center" vertical="center"/>
    </xf>
    <xf numFmtId="0" fontId="104" fillId="0" borderId="35" xfId="3314" applyFont="1" applyFill="1" applyBorder="1" applyAlignment="1">
      <alignment horizontal="center" vertical="center" wrapText="1"/>
    </xf>
    <xf numFmtId="176" fontId="104" fillId="0" borderId="35" xfId="3314" applyNumberFormat="1" applyFont="1" applyBorder="1" applyAlignment="1">
      <alignment horizontal="center" vertical="center" wrapText="1"/>
    </xf>
    <xf numFmtId="176" fontId="104" fillId="0" borderId="1" xfId="3314" applyNumberFormat="1" applyFont="1" applyBorder="1" applyAlignment="1">
      <alignment horizontal="center" vertical="center" wrapText="1"/>
    </xf>
    <xf numFmtId="176" fontId="103" fillId="0" borderId="34" xfId="3314" applyNumberFormat="1" applyFont="1" applyBorder="1" applyAlignment="1">
      <alignment horizontal="center" vertical="center" wrapText="1"/>
    </xf>
    <xf numFmtId="49" fontId="30" fillId="0" borderId="34" xfId="3314" applyNumberFormat="1" applyFont="1" applyFill="1" applyBorder="1" applyAlignment="1">
      <alignment horizontal="center" vertical="center"/>
    </xf>
    <xf numFmtId="176" fontId="103" fillId="0" borderId="33" xfId="3314" applyNumberFormat="1" applyFont="1" applyBorder="1" applyAlignment="1">
      <alignment horizontal="center" vertical="center" wrapText="1"/>
    </xf>
    <xf numFmtId="49" fontId="30" fillId="0" borderId="43" xfId="3314" applyNumberFormat="1" applyFont="1" applyFill="1" applyBorder="1" applyAlignment="1">
      <alignment horizontal="center" vertical="center"/>
    </xf>
    <xf numFmtId="49" fontId="30" fillId="0" borderId="61" xfId="3314" applyNumberFormat="1" applyFont="1" applyFill="1" applyBorder="1" applyAlignment="1">
      <alignment horizontal="center" vertical="center"/>
    </xf>
    <xf numFmtId="49" fontId="30" fillId="30" borderId="62" xfId="3314" applyNumberFormat="1" applyFont="1" applyFill="1" applyBorder="1" applyAlignment="1">
      <alignment horizontal="center" vertical="center"/>
    </xf>
    <xf numFmtId="0" fontId="104" fillId="0" borderId="3" xfId="3314" applyFont="1" applyBorder="1" applyAlignment="1">
      <alignment horizontal="center" vertical="center" wrapText="1"/>
    </xf>
    <xf numFmtId="0" fontId="104" fillId="0" borderId="63" xfId="3314" applyFont="1" applyBorder="1" applyAlignment="1">
      <alignment horizontal="center" vertical="center" wrapText="1"/>
    </xf>
    <xf numFmtId="49" fontId="30" fillId="30" borderId="58" xfId="3314" applyNumberFormat="1" applyFont="1" applyFill="1" applyBorder="1" applyAlignment="1">
      <alignment horizontal="center" vertical="center"/>
    </xf>
    <xf numFmtId="49" fontId="30" fillId="30" borderId="64" xfId="3314" applyNumberFormat="1" applyFont="1" applyFill="1" applyBorder="1" applyAlignment="1">
      <alignment horizontal="center" vertical="center"/>
    </xf>
    <xf numFmtId="49" fontId="30" fillId="30" borderId="38" xfId="3314" applyNumberFormat="1" applyFont="1" applyFill="1" applyBorder="1" applyAlignment="1">
      <alignment horizontal="center" vertical="center"/>
    </xf>
    <xf numFmtId="0" fontId="104" fillId="0" borderId="66" xfId="3314" applyFont="1" applyFill="1" applyBorder="1" applyAlignment="1">
      <alignment horizontal="center" vertical="center" wrapText="1"/>
    </xf>
    <xf numFmtId="0" fontId="104" fillId="0" borderId="67" xfId="3314" applyFont="1" applyFill="1" applyBorder="1" applyAlignment="1">
      <alignment horizontal="center" vertical="center" wrapText="1"/>
    </xf>
    <xf numFmtId="0" fontId="20" fillId="0" borderId="0" xfId="3314" applyFont="1"/>
    <xf numFmtId="49" fontId="30" fillId="0" borderId="64" xfId="3314" applyNumberFormat="1" applyFont="1" applyFill="1" applyBorder="1" applyAlignment="1">
      <alignment horizontal="center" vertical="center"/>
    </xf>
    <xf numFmtId="0" fontId="103" fillId="0" borderId="31" xfId="3314" applyFont="1" applyFill="1" applyBorder="1" applyAlignment="1">
      <alignment horizontal="center" vertical="center" wrapText="1"/>
    </xf>
    <xf numFmtId="176" fontId="4" fillId="0" borderId="0" xfId="3314" applyNumberFormat="1"/>
    <xf numFmtId="0" fontId="104" fillId="0" borderId="33" xfId="3314" applyFont="1" applyBorder="1" applyAlignment="1">
      <alignment horizontal="center" vertical="center" wrapText="1"/>
    </xf>
    <xf numFmtId="0" fontId="4" fillId="30" borderId="0" xfId="3314" applyFill="1"/>
    <xf numFmtId="0" fontId="104" fillId="0" borderId="0" xfId="3314" applyFont="1" applyBorder="1" applyAlignment="1">
      <alignment vertical="center" wrapText="1"/>
    </xf>
    <xf numFmtId="0" fontId="104" fillId="0" borderId="0" xfId="3314" applyFont="1" applyBorder="1" applyAlignment="1">
      <alignment horizontal="center" vertical="center" wrapText="1"/>
    </xf>
    <xf numFmtId="0" fontId="25" fillId="0" borderId="0" xfId="3314" applyFont="1" applyAlignment="1">
      <alignment vertical="center" wrapText="1"/>
    </xf>
    <xf numFmtId="0" fontId="102" fillId="0" borderId="0" xfId="3314" applyFont="1" applyFill="1"/>
    <xf numFmtId="0" fontId="27" fillId="0" borderId="0" xfId="3314" applyFont="1" applyAlignment="1">
      <alignment vertical="center"/>
    </xf>
    <xf numFmtId="49" fontId="29" fillId="0" borderId="0" xfId="3314" applyNumberFormat="1" applyFont="1" applyAlignment="1">
      <alignment horizontal="left" vertical="center"/>
    </xf>
    <xf numFmtId="4" fontId="104" fillId="0" borderId="0" xfId="3314" applyNumberFormat="1" applyFont="1" applyFill="1" applyBorder="1" applyAlignment="1">
      <alignment horizontal="center" vertical="center" wrapText="1"/>
    </xf>
    <xf numFmtId="176" fontId="103" fillId="0" borderId="11" xfId="3314" applyNumberFormat="1" applyFont="1" applyFill="1" applyBorder="1" applyAlignment="1">
      <alignment horizontal="center" vertical="center" wrapText="1"/>
    </xf>
    <xf numFmtId="171" fontId="26" fillId="2" borderId="7" xfId="0" applyNumberFormat="1" applyFont="1" applyFill="1" applyBorder="1" applyAlignment="1">
      <alignment horizontal="center" vertical="center" wrapText="1"/>
    </xf>
    <xf numFmtId="212" fontId="26" fillId="2" borderId="1" xfId="0" applyNumberFormat="1" applyFont="1" applyFill="1" applyBorder="1" applyAlignment="1">
      <alignment horizontal="center" vertical="center" wrapText="1"/>
    </xf>
    <xf numFmtId="212" fontId="26" fillId="101" borderId="1" xfId="0" applyNumberFormat="1" applyFont="1" applyFill="1" applyBorder="1" applyAlignment="1">
      <alignment horizontal="center" vertical="center" wrapText="1"/>
    </xf>
    <xf numFmtId="212" fontId="77" fillId="101" borderId="1" xfId="2582" applyNumberFormat="1" applyFont="1" applyFill="1" applyBorder="1" applyAlignment="1">
      <alignment horizontal="center" vertical="center"/>
    </xf>
    <xf numFmtId="212" fontId="77" fillId="2" borderId="1" xfId="0" applyNumberFormat="1" applyFont="1" applyFill="1" applyBorder="1" applyAlignment="1">
      <alignment horizontal="center" vertical="center"/>
    </xf>
    <xf numFmtId="212" fontId="77" fillId="101" borderId="1" xfId="0" applyNumberFormat="1" applyFont="1" applyFill="1" applyBorder="1" applyAlignment="1">
      <alignment horizontal="center" vertical="center"/>
    </xf>
    <xf numFmtId="212" fontId="77" fillId="2" borderId="1" xfId="0" applyNumberFormat="1" applyFont="1" applyFill="1" applyBorder="1" applyAlignment="1">
      <alignment horizontal="center" vertical="center" wrapText="1"/>
    </xf>
    <xf numFmtId="212" fontId="77" fillId="101" borderId="1" xfId="0" applyNumberFormat="1" applyFont="1" applyFill="1" applyBorder="1" applyAlignment="1">
      <alignment horizontal="center" vertical="center" wrapText="1"/>
    </xf>
    <xf numFmtId="212" fontId="77" fillId="2" borderId="4" xfId="0" applyNumberFormat="1" applyFont="1" applyFill="1" applyBorder="1" applyAlignment="1">
      <alignment horizontal="center" vertical="center" wrapText="1"/>
    </xf>
    <xf numFmtId="0" fontId="180" fillId="0" borderId="0" xfId="3314" applyFont="1"/>
    <xf numFmtId="49" fontId="183" fillId="0" borderId="46" xfId="3314" applyNumberFormat="1" applyFont="1" applyFill="1" applyBorder="1" applyAlignment="1">
      <alignment horizontal="center" vertical="center"/>
    </xf>
    <xf numFmtId="49" fontId="183" fillId="0" borderId="34" xfId="3314" applyNumberFormat="1" applyFont="1" applyFill="1" applyBorder="1" applyAlignment="1">
      <alignment horizontal="center" vertical="center"/>
    </xf>
    <xf numFmtId="0" fontId="68" fillId="0" borderId="0" xfId="3314" applyFont="1" applyFill="1" applyAlignment="1">
      <alignment horizontal="left" vertical="center"/>
    </xf>
    <xf numFmtId="0" fontId="185" fillId="0" borderId="0" xfId="3314" applyFont="1" applyFill="1" applyAlignment="1">
      <alignment horizontal="left" vertical="center"/>
    </xf>
    <xf numFmtId="0" fontId="186" fillId="0" borderId="0" xfId="3314" applyFont="1"/>
    <xf numFmtId="0" fontId="187" fillId="0" borderId="0" xfId="3314" applyFont="1" applyFill="1" applyAlignment="1">
      <alignment horizontal="centerContinuous" vertical="center"/>
    </xf>
    <xf numFmtId="0" fontId="186" fillId="0" borderId="0" xfId="3314" applyFont="1" applyFill="1" applyAlignment="1">
      <alignment horizontal="left" vertical="center"/>
    </xf>
    <xf numFmtId="0" fontId="103" fillId="0" borderId="0" xfId="3314" applyFont="1" applyFill="1" applyBorder="1" applyAlignment="1">
      <alignment horizontal="center" vertical="center" wrapText="1"/>
    </xf>
    <xf numFmtId="0" fontId="0" fillId="0" borderId="0" xfId="0" applyAlignment="1">
      <alignment wrapText="1"/>
    </xf>
    <xf numFmtId="0" fontId="104" fillId="0" borderId="0" xfId="3314" applyFont="1" applyAlignment="1">
      <alignment horizontal="center" vertical="center" wrapText="1"/>
    </xf>
    <xf numFmtId="0" fontId="101" fillId="0" borderId="0" xfId="3314" applyFont="1" applyAlignment="1">
      <alignment vertical="top" wrapText="1"/>
    </xf>
    <xf numFmtId="0" fontId="101" fillId="0" borderId="0" xfId="3314" applyFont="1" applyAlignment="1">
      <alignment wrapText="1"/>
    </xf>
    <xf numFmtId="176" fontId="25" fillId="0" borderId="0" xfId="3314" applyNumberFormat="1" applyFont="1" applyAlignment="1">
      <alignment vertical="center" wrapText="1"/>
    </xf>
    <xf numFmtId="49" fontId="26" fillId="0" borderId="34" xfId="3314" applyNumberFormat="1" applyFont="1" applyFill="1" applyBorder="1" applyAlignment="1">
      <alignment horizontal="center" vertical="center"/>
    </xf>
    <xf numFmtId="0" fontId="188" fillId="0" borderId="0" xfId="3314" applyFont="1" applyFill="1"/>
    <xf numFmtId="2" fontId="104" fillId="0" borderId="35" xfId="3314" applyNumberFormat="1" applyFont="1" applyFill="1" applyBorder="1" applyAlignment="1">
      <alignment horizontal="center" vertical="center" wrapText="1"/>
    </xf>
    <xf numFmtId="1" fontId="104" fillId="0" borderId="1" xfId="3314" applyNumberFormat="1" applyFont="1" applyFill="1" applyBorder="1" applyAlignment="1">
      <alignment horizontal="center" vertical="center" wrapText="1"/>
    </xf>
    <xf numFmtId="1" fontId="104" fillId="0" borderId="35" xfId="3314" applyNumberFormat="1" applyFont="1" applyFill="1" applyBorder="1" applyAlignment="1">
      <alignment horizontal="center" vertical="center" wrapText="1"/>
    </xf>
    <xf numFmtId="2" fontId="104" fillId="0" borderId="34" xfId="3314" applyNumberFormat="1" applyFont="1" applyFill="1" applyBorder="1" applyAlignment="1">
      <alignment horizontal="center" vertical="center" wrapText="1"/>
    </xf>
    <xf numFmtId="2" fontId="104" fillId="0" borderId="1" xfId="3314" applyNumberFormat="1" applyFont="1" applyFill="1" applyBorder="1" applyAlignment="1">
      <alignment horizontal="center" vertical="center" wrapText="1"/>
    </xf>
    <xf numFmtId="2" fontId="103" fillId="0" borderId="34" xfId="3314" applyNumberFormat="1" applyFont="1" applyFill="1" applyBorder="1" applyAlignment="1">
      <alignment horizontal="center" vertical="center" wrapText="1"/>
    </xf>
    <xf numFmtId="2" fontId="103" fillId="0" borderId="1" xfId="3314" applyNumberFormat="1" applyFont="1" applyFill="1" applyBorder="1" applyAlignment="1">
      <alignment horizontal="center" vertical="center" wrapText="1"/>
    </xf>
    <xf numFmtId="2" fontId="103" fillId="0" borderId="35" xfId="3314" applyNumberFormat="1" applyFont="1" applyFill="1" applyBorder="1" applyAlignment="1">
      <alignment horizontal="center" vertical="center" wrapText="1"/>
    </xf>
    <xf numFmtId="176" fontId="104" fillId="0" borderId="34" xfId="3314" applyNumberFormat="1" applyFont="1" applyFill="1" applyBorder="1" applyAlignment="1">
      <alignment horizontal="center" vertical="center" wrapText="1"/>
    </xf>
    <xf numFmtId="176" fontId="104" fillId="0" borderId="1" xfId="3314" applyNumberFormat="1" applyFont="1" applyFill="1" applyBorder="1" applyAlignment="1">
      <alignment horizontal="center" vertical="center" wrapText="1"/>
    </xf>
    <xf numFmtId="176" fontId="104" fillId="0" borderId="35" xfId="3314" applyNumberFormat="1" applyFont="1" applyFill="1" applyBorder="1" applyAlignment="1">
      <alignment horizontal="center" vertical="center" wrapText="1"/>
    </xf>
    <xf numFmtId="0" fontId="104" fillId="0" borderId="31" xfId="3314" applyFont="1" applyFill="1" applyBorder="1" applyAlignment="1">
      <alignment horizontal="center" vertical="center" wrapText="1"/>
    </xf>
    <xf numFmtId="170" fontId="104" fillId="0" borderId="1" xfId="3314" applyNumberFormat="1" applyFont="1" applyFill="1" applyBorder="1" applyAlignment="1">
      <alignment horizontal="center" vertical="center" wrapText="1"/>
    </xf>
    <xf numFmtId="170" fontId="104" fillId="0" borderId="35" xfId="3314" applyNumberFormat="1" applyFont="1" applyFill="1" applyBorder="1" applyAlignment="1">
      <alignment horizontal="center" vertical="center" wrapText="1"/>
    </xf>
    <xf numFmtId="0" fontId="103" fillId="0" borderId="75" xfId="3314" applyFont="1" applyFill="1" applyBorder="1" applyAlignment="1">
      <alignment vertical="center" wrapText="1"/>
    </xf>
    <xf numFmtId="0" fontId="104" fillId="0" borderId="75" xfId="3314" applyFont="1" applyFill="1" applyBorder="1" applyAlignment="1">
      <alignment horizontal="center" vertical="center" wrapText="1"/>
    </xf>
    <xf numFmtId="4" fontId="104" fillId="0" borderId="27" xfId="3314" applyNumberFormat="1" applyFont="1" applyFill="1" applyBorder="1" applyAlignment="1">
      <alignment horizontal="center" vertical="center" wrapText="1"/>
    </xf>
    <xf numFmtId="4" fontId="104" fillId="0" borderId="29" xfId="3314" applyNumberFormat="1" applyFont="1" applyFill="1" applyBorder="1" applyAlignment="1">
      <alignment horizontal="center" vertical="center" wrapText="1"/>
    </xf>
    <xf numFmtId="0" fontId="103" fillId="0" borderId="70" xfId="3314" applyFont="1" applyFill="1" applyBorder="1" applyAlignment="1">
      <alignment vertical="center" wrapText="1"/>
    </xf>
    <xf numFmtId="0" fontId="104" fillId="0" borderId="70" xfId="3314" applyFont="1" applyFill="1" applyBorder="1" applyAlignment="1">
      <alignment horizontal="center" vertical="center" wrapText="1"/>
    </xf>
    <xf numFmtId="4" fontId="104" fillId="0" borderId="2" xfId="3314" applyNumberFormat="1" applyFont="1" applyFill="1" applyBorder="1" applyAlignment="1">
      <alignment horizontal="center" vertical="center" wrapText="1"/>
    </xf>
    <xf numFmtId="4" fontId="104" fillId="0" borderId="67" xfId="3314" applyNumberFormat="1" applyFont="1" applyFill="1" applyBorder="1" applyAlignment="1">
      <alignment horizontal="center" vertical="center" wrapText="1"/>
    </xf>
    <xf numFmtId="4" fontId="104" fillId="0" borderId="42" xfId="3314" applyNumberFormat="1" applyFont="1" applyFill="1" applyBorder="1" applyAlignment="1">
      <alignment horizontal="center" vertical="center" wrapText="1"/>
    </xf>
    <xf numFmtId="4" fontId="104" fillId="0" borderId="41" xfId="3314" applyNumberFormat="1" applyFont="1" applyFill="1" applyBorder="1" applyAlignment="1">
      <alignment horizontal="center" vertical="center" wrapText="1"/>
    </xf>
    <xf numFmtId="0" fontId="104" fillId="0" borderId="59" xfId="3314" applyFont="1" applyFill="1" applyBorder="1" applyAlignment="1">
      <alignment vertical="center" wrapText="1"/>
    </xf>
    <xf numFmtId="0" fontId="104" fillId="0" borderId="59" xfId="3314" applyFont="1" applyFill="1" applyBorder="1" applyAlignment="1">
      <alignment horizontal="center" vertical="center" wrapText="1"/>
    </xf>
    <xf numFmtId="0" fontId="104" fillId="0" borderId="61" xfId="3314" applyFont="1" applyFill="1" applyBorder="1" applyAlignment="1">
      <alignment vertical="center" wrapText="1"/>
    </xf>
    <xf numFmtId="0" fontId="104" fillId="0" borderId="61" xfId="3314" applyFont="1" applyFill="1" applyBorder="1" applyAlignment="1">
      <alignment horizontal="center" vertical="center" wrapText="1"/>
    </xf>
    <xf numFmtId="0" fontId="104" fillId="0" borderId="33" xfId="3314" applyFont="1" applyFill="1" applyBorder="1" applyAlignment="1">
      <alignment horizontal="center" vertical="center" wrapText="1"/>
    </xf>
    <xf numFmtId="4" fontId="103" fillId="0" borderId="34" xfId="3314" applyNumberFormat="1" applyFont="1" applyFill="1" applyBorder="1" applyAlignment="1">
      <alignment horizontal="center" vertical="center" wrapText="1"/>
    </xf>
    <xf numFmtId="176" fontId="104" fillId="0" borderId="31" xfId="3314" applyNumberFormat="1" applyFont="1" applyFill="1" applyBorder="1" applyAlignment="1">
      <alignment horizontal="center" vertical="center" wrapText="1"/>
    </xf>
    <xf numFmtId="0" fontId="103" fillId="0" borderId="62" xfId="3314" applyFont="1" applyFill="1" applyBorder="1" applyAlignment="1">
      <alignment vertical="center" wrapText="1"/>
    </xf>
    <xf numFmtId="0" fontId="104" fillId="0" borderId="62" xfId="3314" applyFont="1" applyFill="1" applyBorder="1" applyAlignment="1">
      <alignment horizontal="center" vertical="center" wrapText="1"/>
    </xf>
    <xf numFmtId="0" fontId="104" fillId="0" borderId="3" xfId="3314" applyFont="1" applyFill="1" applyBorder="1" applyAlignment="1">
      <alignment horizontal="center" vertical="center" wrapText="1"/>
    </xf>
    <xf numFmtId="0" fontId="104" fillId="0" borderId="63" xfId="3314" applyFont="1" applyFill="1" applyBorder="1" applyAlignment="1">
      <alignment horizontal="center" vertical="center" wrapText="1"/>
    </xf>
    <xf numFmtId="0" fontId="103" fillId="0" borderId="58" xfId="3314" applyFont="1" applyFill="1" applyBorder="1" applyAlignment="1">
      <alignment vertical="center" wrapText="1"/>
    </xf>
    <xf numFmtId="0" fontId="104" fillId="0" borderId="58" xfId="3314" applyFont="1" applyFill="1" applyBorder="1" applyAlignment="1">
      <alignment horizontal="center" vertical="center" wrapText="1"/>
    </xf>
    <xf numFmtId="0" fontId="104" fillId="0" borderId="1" xfId="3314" applyFont="1" applyFill="1" applyBorder="1" applyAlignment="1">
      <alignment horizontal="center" vertical="center" wrapText="1"/>
    </xf>
    <xf numFmtId="0" fontId="104" fillId="0" borderId="56" xfId="3314" applyFont="1" applyFill="1" applyBorder="1" applyAlignment="1">
      <alignment horizontal="center" vertical="center" wrapText="1"/>
    </xf>
    <xf numFmtId="0" fontId="103" fillId="0" borderId="64" xfId="3314" applyFont="1" applyFill="1" applyBorder="1" applyAlignment="1">
      <alignment vertical="center" wrapText="1"/>
    </xf>
    <xf numFmtId="0" fontId="104" fillId="0" borderId="64" xfId="3314" applyFont="1" applyFill="1" applyBorder="1" applyAlignment="1">
      <alignment horizontal="center" vertical="center" wrapText="1"/>
    </xf>
    <xf numFmtId="0" fontId="104" fillId="0" borderId="30" xfId="3314" applyFont="1" applyFill="1" applyBorder="1" applyAlignment="1">
      <alignment horizontal="center" vertical="center" wrapText="1"/>
    </xf>
    <xf numFmtId="0" fontId="104" fillId="0" borderId="65" xfId="3314" applyFont="1" applyFill="1" applyBorder="1" applyAlignment="1">
      <alignment horizontal="center" vertical="center" wrapText="1"/>
    </xf>
    <xf numFmtId="4" fontId="104" fillId="0" borderId="1" xfId="3314" applyNumberFormat="1" applyFont="1" applyFill="1" applyBorder="1" applyAlignment="1">
      <alignment horizontal="center" vertical="center" wrapText="1"/>
    </xf>
    <xf numFmtId="4" fontId="104" fillId="0" borderId="35" xfId="3314" applyNumberFormat="1" applyFont="1" applyFill="1" applyBorder="1" applyAlignment="1">
      <alignment horizontal="center" vertical="center" wrapText="1"/>
    </xf>
    <xf numFmtId="4" fontId="104" fillId="0" borderId="34" xfId="3314" applyNumberFormat="1" applyFont="1" applyFill="1" applyBorder="1" applyAlignment="1">
      <alignment horizontal="center" vertical="center" wrapText="1"/>
    </xf>
    <xf numFmtId="4" fontId="104" fillId="0" borderId="7" xfId="3314" applyNumberFormat="1" applyFont="1" applyFill="1" applyBorder="1" applyAlignment="1">
      <alignment horizontal="center" vertical="center" wrapText="1"/>
    </xf>
    <xf numFmtId="0" fontId="184" fillId="0" borderId="29" xfId="3314" applyFont="1" applyFill="1" applyBorder="1" applyAlignment="1">
      <alignment horizontal="center" vertical="center" wrapText="1"/>
    </xf>
    <xf numFmtId="0" fontId="184" fillId="0" borderId="35" xfId="3314" applyFont="1" applyFill="1" applyBorder="1" applyAlignment="1">
      <alignment horizontal="center" vertical="center" wrapText="1"/>
    </xf>
    <xf numFmtId="2" fontId="184" fillId="0" borderId="34" xfId="3314" applyNumberFormat="1" applyFont="1" applyFill="1" applyBorder="1" applyAlignment="1">
      <alignment horizontal="center" vertical="center" wrapText="1"/>
    </xf>
    <xf numFmtId="2" fontId="184" fillId="0" borderId="1" xfId="3314" applyNumberFormat="1" applyFont="1" applyFill="1" applyBorder="1" applyAlignment="1">
      <alignment horizontal="center" vertical="center" wrapText="1"/>
    </xf>
    <xf numFmtId="2" fontId="184" fillId="0" borderId="35" xfId="3314" applyNumberFormat="1" applyFont="1" applyFill="1" applyBorder="1" applyAlignment="1">
      <alignment horizontal="center" vertical="center" wrapText="1"/>
    </xf>
    <xf numFmtId="0" fontId="182" fillId="0" borderId="35" xfId="3314" applyFont="1" applyFill="1" applyBorder="1" applyAlignment="1">
      <alignment horizontal="center" vertical="center" wrapText="1"/>
    </xf>
    <xf numFmtId="0" fontId="103" fillId="0" borderId="28" xfId="3314" applyFont="1" applyFill="1" applyBorder="1" applyAlignment="1">
      <alignment vertical="center" wrapText="1"/>
    </xf>
    <xf numFmtId="2" fontId="104" fillId="0" borderId="42" xfId="3314" applyNumberFormat="1" applyFont="1" applyFill="1" applyBorder="1" applyAlignment="1">
      <alignment horizontal="center" vertical="center" wrapText="1"/>
    </xf>
    <xf numFmtId="2" fontId="104" fillId="0" borderId="27" xfId="3314" applyNumberFormat="1" applyFont="1" applyFill="1" applyBorder="1" applyAlignment="1">
      <alignment horizontal="center" vertical="center" wrapText="1"/>
    </xf>
    <xf numFmtId="0" fontId="103" fillId="0" borderId="2" xfId="3314" applyFont="1" applyFill="1" applyBorder="1" applyAlignment="1">
      <alignment vertical="center" wrapText="1"/>
    </xf>
    <xf numFmtId="2" fontId="104" fillId="0" borderId="2" xfId="3314" applyNumberFormat="1" applyFont="1" applyFill="1" applyBorder="1" applyAlignment="1">
      <alignment horizontal="center" vertical="center" wrapText="1"/>
    </xf>
    <xf numFmtId="0" fontId="103" fillId="0" borderId="29" xfId="3314" applyFont="1" applyFill="1" applyBorder="1" applyAlignment="1">
      <alignment vertical="center" wrapText="1"/>
    </xf>
    <xf numFmtId="0" fontId="104" fillId="0" borderId="76" xfId="3314" applyFont="1" applyFill="1" applyBorder="1" applyAlignment="1">
      <alignment horizontal="center" vertical="center" wrapText="1"/>
    </xf>
    <xf numFmtId="4" fontId="104" fillId="0" borderId="46" xfId="3314" applyNumberFormat="1" applyFont="1" applyFill="1" applyBorder="1" applyAlignment="1">
      <alignment horizontal="center" vertical="center" wrapText="1"/>
    </xf>
    <xf numFmtId="0" fontId="104" fillId="0" borderId="35" xfId="3314" applyFont="1" applyFill="1" applyBorder="1" applyAlignment="1">
      <alignment vertical="center" wrapText="1"/>
    </xf>
    <xf numFmtId="4" fontId="103" fillId="0" borderId="1" xfId="3314" applyNumberFormat="1" applyFont="1" applyFill="1" applyBorder="1" applyAlignment="1">
      <alignment horizontal="center" vertical="center" wrapText="1"/>
    </xf>
    <xf numFmtId="4" fontId="103" fillId="0" borderId="35" xfId="3314" applyNumberFormat="1" applyFont="1" applyFill="1" applyBorder="1" applyAlignment="1">
      <alignment horizontal="center" vertical="center" wrapText="1"/>
    </xf>
    <xf numFmtId="4" fontId="104" fillId="0" borderId="30" xfId="3314" applyNumberFormat="1" applyFont="1" applyFill="1" applyBorder="1" applyAlignment="1">
      <alignment horizontal="center" vertical="center" wrapText="1"/>
    </xf>
    <xf numFmtId="4" fontId="104" fillId="0" borderId="31" xfId="3314" applyNumberFormat="1" applyFont="1" applyFill="1" applyBorder="1" applyAlignment="1">
      <alignment horizontal="center" vertical="center" wrapText="1"/>
    </xf>
    <xf numFmtId="0" fontId="104" fillId="0" borderId="0" xfId="3314" applyFont="1" applyFill="1" applyBorder="1" applyAlignment="1">
      <alignment vertical="center" wrapText="1"/>
    </xf>
    <xf numFmtId="0" fontId="104" fillId="0" borderId="0" xfId="3314" applyFont="1" applyFill="1" applyBorder="1" applyAlignment="1">
      <alignment horizontal="center" vertical="center" wrapText="1"/>
    </xf>
    <xf numFmtId="49" fontId="30" fillId="0" borderId="70" xfId="3314" applyNumberFormat="1" applyFont="1" applyFill="1" applyBorder="1" applyAlignment="1">
      <alignment horizontal="center" vertical="center"/>
    </xf>
    <xf numFmtId="49" fontId="79" fillId="0" borderId="59" xfId="3314" applyNumberFormat="1" applyFont="1" applyFill="1" applyBorder="1" applyAlignment="1">
      <alignment horizontal="center" vertical="center"/>
    </xf>
    <xf numFmtId="49" fontId="79" fillId="0" borderId="61" xfId="3314" applyNumberFormat="1" applyFont="1" applyFill="1" applyBorder="1" applyAlignment="1">
      <alignment horizontal="center" vertical="center"/>
    </xf>
    <xf numFmtId="49" fontId="30" fillId="0" borderId="44" xfId="3314" applyNumberFormat="1" applyFont="1" applyFill="1" applyBorder="1" applyAlignment="1">
      <alignment horizontal="center" vertical="center"/>
    </xf>
    <xf numFmtId="49" fontId="30" fillId="0" borderId="75" xfId="3314" applyNumberFormat="1" applyFont="1" applyFill="1" applyBorder="1" applyAlignment="1">
      <alignment horizontal="center" vertical="center"/>
    </xf>
    <xf numFmtId="49" fontId="30" fillId="0" borderId="59" xfId="3314" applyNumberFormat="1" applyFont="1" applyFill="1" applyBorder="1" applyAlignment="1">
      <alignment horizontal="center" vertical="center"/>
    </xf>
    <xf numFmtId="49" fontId="79" fillId="0" borderId="73" xfId="3314" applyNumberFormat="1" applyFont="1" applyFill="1" applyBorder="1" applyAlignment="1">
      <alignment horizontal="center" vertical="center"/>
    </xf>
    <xf numFmtId="49" fontId="30" fillId="0" borderId="5" xfId="3314" applyNumberFormat="1" applyFont="1" applyFill="1" applyBorder="1" applyAlignment="1">
      <alignment horizontal="center" vertical="center"/>
    </xf>
    <xf numFmtId="49" fontId="30" fillId="0" borderId="36" xfId="3314" applyNumberFormat="1" applyFont="1" applyFill="1" applyBorder="1" applyAlignment="1">
      <alignment horizontal="center" vertical="center"/>
    </xf>
    <xf numFmtId="49" fontId="26" fillId="0" borderId="70" xfId="3314" applyNumberFormat="1" applyFont="1" applyFill="1" applyBorder="1" applyAlignment="1">
      <alignment horizontal="center" vertical="center"/>
    </xf>
    <xf numFmtId="49" fontId="26" fillId="0" borderId="61" xfId="3314" applyNumberFormat="1" applyFont="1" applyFill="1" applyBorder="1" applyAlignment="1">
      <alignment horizontal="center" vertical="center"/>
    </xf>
    <xf numFmtId="49" fontId="181" fillId="0" borderId="44" xfId="3314" applyNumberFormat="1" applyFont="1" applyFill="1" applyBorder="1" applyAlignment="1">
      <alignment horizontal="center" vertical="center"/>
    </xf>
    <xf numFmtId="49" fontId="181" fillId="0" borderId="34" xfId="3314" applyNumberFormat="1" applyFont="1" applyFill="1" applyBorder="1" applyAlignment="1">
      <alignment horizontal="center" vertical="center"/>
    </xf>
    <xf numFmtId="49" fontId="26" fillId="0" borderId="47" xfId="3314" applyNumberFormat="1" applyFont="1" applyFill="1" applyBorder="1" applyAlignment="1">
      <alignment horizontal="center" vertical="center"/>
    </xf>
    <xf numFmtId="49" fontId="26" fillId="0" borderId="46" xfId="3314" applyNumberFormat="1" applyFont="1" applyFill="1" applyBorder="1" applyAlignment="1">
      <alignment horizontal="center" vertical="center"/>
    </xf>
    <xf numFmtId="49" fontId="26" fillId="0" borderId="43" xfId="3314" applyNumberFormat="1" applyFont="1" applyFill="1" applyBorder="1" applyAlignment="1">
      <alignment horizontal="center" vertical="center"/>
    </xf>
    <xf numFmtId="49" fontId="79" fillId="0" borderId="34" xfId="3314" applyNumberFormat="1" applyFont="1" applyFill="1" applyBorder="1" applyAlignment="1">
      <alignment horizontal="center" vertical="center"/>
    </xf>
    <xf numFmtId="49" fontId="79" fillId="0" borderId="47" xfId="3314" applyNumberFormat="1" applyFont="1" applyFill="1" applyBorder="1" applyAlignment="1">
      <alignment horizontal="center" vertical="center"/>
    </xf>
    <xf numFmtId="49" fontId="26" fillId="0" borderId="0" xfId="3314" applyNumberFormat="1" applyFont="1" applyFill="1" applyBorder="1" applyAlignment="1">
      <alignment horizontal="center" vertical="center"/>
    </xf>
    <xf numFmtId="49" fontId="26" fillId="0" borderId="0" xfId="3314" applyNumberFormat="1" applyFont="1" applyFill="1" applyAlignment="1">
      <alignment horizontal="center" vertical="center"/>
    </xf>
    <xf numFmtId="0" fontId="25" fillId="0" borderId="0" xfId="3314" applyFont="1" applyFill="1" applyAlignment="1">
      <alignment vertical="center" wrapText="1"/>
    </xf>
    <xf numFmtId="0" fontId="26" fillId="0" borderId="0" xfId="3314" applyFont="1" applyFill="1" applyAlignment="1">
      <alignment horizontal="left" vertical="center" wrapText="1"/>
    </xf>
    <xf numFmtId="49" fontId="26" fillId="0" borderId="0" xfId="3314" applyNumberFormat="1" applyFont="1" applyFill="1" applyAlignment="1">
      <alignment horizontal="left" vertical="center"/>
    </xf>
    <xf numFmtId="0" fontId="1" fillId="0" borderId="0" xfId="3314" applyFont="1"/>
    <xf numFmtId="176" fontId="103" fillId="0" borderId="6" xfId="3314" applyNumberFormat="1" applyFont="1" applyBorder="1" applyAlignment="1">
      <alignment horizontal="center" vertical="center" wrapText="1"/>
    </xf>
    <xf numFmtId="177" fontId="103" fillId="0" borderId="47" xfId="3314" applyNumberFormat="1" applyFont="1" applyFill="1" applyBorder="1" applyAlignment="1">
      <alignment horizontal="center" vertical="center" wrapText="1"/>
    </xf>
    <xf numFmtId="177" fontId="104" fillId="0" borderId="72" xfId="3314" applyNumberFormat="1" applyFont="1" applyFill="1" applyBorder="1" applyAlignment="1">
      <alignment horizontal="center" vertical="center" wrapText="1"/>
    </xf>
    <xf numFmtId="2" fontId="103" fillId="0" borderId="46" xfId="3314" applyNumberFormat="1" applyFont="1" applyFill="1" applyBorder="1" applyAlignment="1">
      <alignment horizontal="center" vertical="center" wrapText="1"/>
    </xf>
    <xf numFmtId="2" fontId="103" fillId="0" borderId="27" xfId="3314" applyNumberFormat="1" applyFont="1" applyFill="1" applyBorder="1" applyAlignment="1">
      <alignment horizontal="center" vertical="center" wrapText="1"/>
    </xf>
    <xf numFmtId="2" fontId="103" fillId="0" borderId="29" xfId="3314" applyNumberFormat="1" applyFont="1" applyFill="1" applyBorder="1" applyAlignment="1">
      <alignment horizontal="center" vertical="center" wrapText="1"/>
    </xf>
    <xf numFmtId="2" fontId="103" fillId="0" borderId="58" xfId="3314" applyNumberFormat="1" applyFont="1" applyFill="1" applyBorder="1" applyAlignment="1">
      <alignment horizontal="center" vertical="center" wrapText="1"/>
    </xf>
    <xf numFmtId="2" fontId="104" fillId="0" borderId="9" xfId="3314" applyNumberFormat="1" applyFont="1" applyFill="1" applyBorder="1" applyAlignment="1">
      <alignment horizontal="center" vertical="center" wrapText="1"/>
    </xf>
    <xf numFmtId="2" fontId="103" fillId="0" borderId="47" xfId="3314" applyNumberFormat="1" applyFont="1" applyFill="1" applyBorder="1" applyAlignment="1">
      <alignment horizontal="center" vertical="center" wrapText="1"/>
    </xf>
    <xf numFmtId="2" fontId="103" fillId="0" borderId="30" xfId="3314" applyNumberFormat="1" applyFont="1" applyFill="1" applyBorder="1" applyAlignment="1">
      <alignment horizontal="center" vertical="center" wrapText="1"/>
    </xf>
    <xf numFmtId="177" fontId="103" fillId="0" borderId="0" xfId="3314" applyNumberFormat="1" applyFont="1" applyFill="1" applyBorder="1" applyAlignment="1">
      <alignment horizontal="center" vertical="center" wrapText="1"/>
    </xf>
    <xf numFmtId="2" fontId="103" fillId="0" borderId="0" xfId="3314" applyNumberFormat="1" applyFont="1" applyFill="1" applyBorder="1" applyAlignment="1">
      <alignment horizontal="center" vertical="center" wrapText="1"/>
    </xf>
    <xf numFmtId="0" fontId="178" fillId="0" borderId="0" xfId="0" applyFont="1" applyFill="1" applyBorder="1"/>
    <xf numFmtId="176" fontId="103" fillId="0" borderId="35" xfId="3314" applyNumberFormat="1" applyFont="1" applyFill="1" applyBorder="1" applyAlignment="1">
      <alignment horizontal="center" vertical="center" wrapText="1"/>
    </xf>
    <xf numFmtId="4" fontId="103" fillId="0" borderId="47" xfId="3314" applyNumberFormat="1" applyFont="1" applyFill="1" applyBorder="1" applyAlignment="1">
      <alignment horizontal="center" vertical="center" wrapText="1"/>
    </xf>
    <xf numFmtId="4" fontId="103" fillId="0" borderId="30" xfId="3314" applyNumberFormat="1" applyFont="1" applyFill="1" applyBorder="1" applyAlignment="1">
      <alignment horizontal="center" vertical="center" wrapText="1"/>
    </xf>
    <xf numFmtId="4" fontId="103" fillId="0" borderId="31" xfId="3314" applyNumberFormat="1" applyFont="1" applyFill="1" applyBorder="1" applyAlignment="1">
      <alignment horizontal="center" vertical="center" wrapText="1"/>
    </xf>
    <xf numFmtId="176" fontId="104" fillId="0" borderId="46" xfId="3314" applyNumberFormat="1" applyFont="1" applyFill="1" applyBorder="1" applyAlignment="1">
      <alignment horizontal="center" vertical="center" wrapText="1"/>
    </xf>
    <xf numFmtId="176" fontId="104" fillId="0" borderId="27" xfId="3314" applyNumberFormat="1" applyFont="1" applyFill="1" applyBorder="1" applyAlignment="1">
      <alignment horizontal="center" vertical="center" wrapText="1"/>
    </xf>
    <xf numFmtId="176" fontId="104" fillId="0" borderId="29" xfId="3314" applyNumberFormat="1" applyFont="1" applyFill="1" applyBorder="1" applyAlignment="1">
      <alignment horizontal="center" vertical="center" wrapText="1"/>
    </xf>
    <xf numFmtId="2" fontId="103" fillId="0" borderId="31" xfId="3314" applyNumberFormat="1" applyFont="1" applyFill="1" applyBorder="1" applyAlignment="1">
      <alignment horizontal="center" vertical="center" wrapText="1"/>
    </xf>
    <xf numFmtId="4" fontId="104" fillId="0" borderId="71" xfId="3314" applyNumberFormat="1" applyFont="1" applyFill="1" applyBorder="1" applyAlignment="1">
      <alignment horizontal="center" vertical="center" wrapText="1"/>
    </xf>
    <xf numFmtId="4" fontId="104" fillId="0" borderId="9" xfId="3314" applyNumberFormat="1" applyFont="1" applyFill="1" applyBorder="1" applyAlignment="1">
      <alignment horizontal="center" vertical="center" wrapText="1"/>
    </xf>
    <xf numFmtId="4" fontId="103" fillId="0" borderId="6" xfId="3314" applyNumberFormat="1" applyFont="1" applyFill="1" applyBorder="1" applyAlignment="1">
      <alignment horizontal="center" vertical="center" wrapText="1"/>
    </xf>
    <xf numFmtId="4" fontId="103" fillId="0" borderId="72" xfId="3314" applyNumberFormat="1" applyFont="1" applyFill="1" applyBorder="1" applyAlignment="1">
      <alignment horizontal="center" vertical="center" wrapText="1"/>
    </xf>
    <xf numFmtId="0" fontId="103" fillId="0" borderId="73" xfId="3314" applyFont="1" applyFill="1" applyBorder="1" applyAlignment="1">
      <alignment vertical="center" wrapText="1"/>
    </xf>
    <xf numFmtId="0" fontId="104" fillId="0" borderId="73" xfId="3314" applyFont="1" applyFill="1" applyBorder="1" applyAlignment="1">
      <alignment horizontal="center" vertical="center" wrapText="1"/>
    </xf>
    <xf numFmtId="4" fontId="104" fillId="0" borderId="11" xfId="3314" applyNumberFormat="1" applyFont="1" applyFill="1" applyBorder="1" applyAlignment="1">
      <alignment horizontal="center" vertical="center" wrapText="1"/>
    </xf>
    <xf numFmtId="4" fontId="104" fillId="0" borderId="10" xfId="3314" applyNumberFormat="1" applyFont="1" applyFill="1" applyBorder="1" applyAlignment="1">
      <alignment horizontal="center" vertical="center" wrapText="1"/>
    </xf>
    <xf numFmtId="4" fontId="104" fillId="0" borderId="33" xfId="3314" applyNumberFormat="1" applyFont="1" applyFill="1" applyBorder="1" applyAlignment="1">
      <alignment horizontal="center" vertical="center" wrapText="1"/>
    </xf>
    <xf numFmtId="4" fontId="103" fillId="0" borderId="32" xfId="3314" applyNumberFormat="1" applyFont="1" applyFill="1" applyBorder="1" applyAlignment="1">
      <alignment horizontal="center" vertical="center" wrapText="1"/>
    </xf>
    <xf numFmtId="2" fontId="104" fillId="0" borderId="43" xfId="3314" applyNumberFormat="1" applyFont="1" applyFill="1" applyBorder="1" applyAlignment="1">
      <alignment horizontal="center" vertical="center" wrapText="1"/>
    </xf>
    <xf numFmtId="4" fontId="104" fillId="0" borderId="43" xfId="3314" applyNumberFormat="1" applyFont="1" applyFill="1" applyBorder="1" applyAlignment="1">
      <alignment horizontal="center" vertical="center" wrapText="1"/>
    </xf>
    <xf numFmtId="4" fontId="104" fillId="0" borderId="47" xfId="3314" applyNumberFormat="1" applyFont="1" applyFill="1" applyBorder="1" applyAlignment="1">
      <alignment horizontal="center" vertical="center" wrapText="1"/>
    </xf>
    <xf numFmtId="4" fontId="104" fillId="0" borderId="60" xfId="3314" applyNumberFormat="1" applyFont="1" applyFill="1" applyBorder="1" applyAlignment="1">
      <alignment horizontal="center" vertical="center" wrapText="1"/>
    </xf>
    <xf numFmtId="0" fontId="192" fillId="0" borderId="27" xfId="0" applyFont="1" applyFill="1" applyBorder="1" applyAlignment="1">
      <alignment vertical="center" wrapText="1"/>
    </xf>
    <xf numFmtId="2" fontId="184" fillId="0" borderId="46" xfId="3314" applyNumberFormat="1" applyFont="1" applyFill="1" applyBorder="1" applyAlignment="1">
      <alignment horizontal="center" vertical="center" wrapText="1"/>
    </xf>
    <xf numFmtId="2" fontId="184" fillId="0" borderId="27" xfId="3314" applyNumberFormat="1" applyFont="1" applyFill="1" applyBorder="1" applyAlignment="1">
      <alignment horizontal="center" vertical="center" wrapText="1"/>
    </xf>
    <xf numFmtId="2" fontId="184" fillId="0" borderId="29" xfId="3314" applyNumberFormat="1" applyFont="1" applyFill="1" applyBorder="1" applyAlignment="1">
      <alignment horizontal="center" vertical="center" wrapText="1"/>
    </xf>
    <xf numFmtId="0" fontId="193" fillId="0" borderId="1" xfId="0" applyFont="1" applyFill="1" applyBorder="1" applyAlignment="1">
      <alignment vertical="center" wrapText="1"/>
    </xf>
    <xf numFmtId="0" fontId="193" fillId="0" borderId="1" xfId="3315" applyFont="1" applyFill="1" applyBorder="1" applyAlignment="1" applyProtection="1">
      <alignment vertical="center" wrapText="1"/>
    </xf>
    <xf numFmtId="0" fontId="193" fillId="0" borderId="1" xfId="3315" applyFont="1" applyFill="1" applyBorder="1" applyAlignment="1" applyProtection="1">
      <alignment horizontal="left" vertical="center" wrapText="1" indent="1"/>
    </xf>
    <xf numFmtId="0" fontId="193" fillId="0" borderId="1" xfId="0" applyFont="1" applyFill="1" applyBorder="1" applyAlignment="1">
      <alignment horizontal="left" vertical="center" wrapText="1" indent="1"/>
    </xf>
    <xf numFmtId="0" fontId="192" fillId="0" borderId="1" xfId="3315" applyFont="1" applyFill="1" applyBorder="1" applyAlignment="1" applyProtection="1">
      <alignment vertical="center" wrapText="1"/>
    </xf>
    <xf numFmtId="0" fontId="192" fillId="0" borderId="1" xfId="0" applyFont="1" applyFill="1" applyBorder="1" applyAlignment="1">
      <alignment vertical="center" wrapText="1"/>
    </xf>
    <xf numFmtId="2" fontId="182" fillId="0" borderId="34" xfId="3314" applyNumberFormat="1" applyFont="1" applyFill="1" applyBorder="1" applyAlignment="1">
      <alignment horizontal="center" vertical="center" wrapText="1"/>
    </xf>
    <xf numFmtId="2" fontId="182" fillId="0" borderId="1" xfId="3314" applyNumberFormat="1" applyFont="1" applyFill="1" applyBorder="1" applyAlignment="1">
      <alignment horizontal="center" vertical="center" wrapText="1"/>
    </xf>
    <xf numFmtId="2" fontId="182" fillId="0" borderId="35" xfId="3314" applyNumberFormat="1" applyFont="1" applyFill="1" applyBorder="1" applyAlignment="1">
      <alignment horizontal="center" vertical="center" wrapText="1"/>
    </xf>
    <xf numFmtId="0" fontId="192" fillId="0" borderId="1" xfId="0" applyFont="1" applyFill="1" applyBorder="1"/>
    <xf numFmtId="0" fontId="105" fillId="0" borderId="30" xfId="3315" applyFont="1" applyFill="1" applyBorder="1" applyAlignment="1" applyProtection="1">
      <alignment vertical="center" wrapText="1"/>
    </xf>
    <xf numFmtId="0" fontId="103" fillId="0" borderId="35" xfId="3314" applyFont="1" applyFill="1" applyBorder="1" applyAlignment="1">
      <alignment vertical="center" wrapText="1"/>
    </xf>
    <xf numFmtId="0" fontId="104" fillId="0" borderId="31" xfId="3314" applyFont="1" applyFill="1" applyBorder="1" applyAlignment="1">
      <alignment vertical="center" wrapText="1"/>
    </xf>
    <xf numFmtId="2" fontId="103" fillId="0" borderId="43" xfId="3314" applyNumberFormat="1" applyFont="1" applyFill="1" applyBorder="1" applyAlignment="1">
      <alignment horizontal="center" vertical="center" wrapText="1"/>
    </xf>
    <xf numFmtId="2" fontId="104" fillId="0" borderId="56" xfId="3314" applyNumberFormat="1" applyFont="1" applyFill="1" applyBorder="1" applyAlignment="1">
      <alignment horizontal="center" vertical="center" wrapText="1"/>
    </xf>
    <xf numFmtId="2" fontId="103" fillId="0" borderId="56" xfId="3314" applyNumberFormat="1" applyFont="1" applyFill="1" applyBorder="1" applyAlignment="1">
      <alignment horizontal="center" vertical="center" wrapText="1"/>
    </xf>
    <xf numFmtId="176" fontId="103" fillId="0" borderId="27" xfId="3314" applyNumberFormat="1" applyFont="1" applyFill="1" applyBorder="1" applyAlignment="1">
      <alignment horizontal="center" vertical="center" wrapText="1"/>
    </xf>
    <xf numFmtId="49" fontId="196" fillId="0" borderId="73" xfId="3314" applyNumberFormat="1" applyFont="1" applyFill="1" applyBorder="1" applyAlignment="1">
      <alignment horizontal="center" vertical="center"/>
    </xf>
    <xf numFmtId="49" fontId="196" fillId="0" borderId="59" xfId="3314" applyNumberFormat="1" applyFont="1" applyFill="1" applyBorder="1" applyAlignment="1">
      <alignment horizontal="center" vertical="center"/>
    </xf>
    <xf numFmtId="49" fontId="196" fillId="0" borderId="61" xfId="3314" applyNumberFormat="1" applyFont="1" applyFill="1" applyBorder="1" applyAlignment="1">
      <alignment horizontal="center" vertical="center"/>
    </xf>
    <xf numFmtId="2" fontId="103" fillId="0" borderId="32" xfId="3314" applyNumberFormat="1" applyFont="1" applyFill="1" applyBorder="1" applyAlignment="1">
      <alignment horizontal="center" vertical="center" wrapText="1"/>
    </xf>
    <xf numFmtId="2" fontId="103" fillId="0" borderId="3" xfId="3314" applyNumberFormat="1" applyFont="1" applyFill="1" applyBorder="1" applyAlignment="1">
      <alignment horizontal="center" vertical="center" wrapText="1"/>
    </xf>
    <xf numFmtId="2" fontId="103" fillId="0" borderId="33" xfId="3314" applyNumberFormat="1" applyFont="1" applyFill="1" applyBorder="1" applyAlignment="1">
      <alignment horizontal="center" vertical="center" wrapText="1"/>
    </xf>
    <xf numFmtId="2" fontId="104" fillId="0" borderId="78" xfId="3314" applyNumberFormat="1" applyFont="1" applyFill="1" applyBorder="1" applyAlignment="1">
      <alignment horizontal="center" vertical="center" wrapText="1"/>
    </xf>
    <xf numFmtId="49" fontId="30" fillId="0" borderId="37" xfId="3314" applyNumberFormat="1" applyFont="1" applyFill="1" applyBorder="1" applyAlignment="1">
      <alignment horizontal="center" vertical="center"/>
    </xf>
    <xf numFmtId="2" fontId="103" fillId="0" borderId="79" xfId="3314" applyNumberFormat="1" applyFont="1" applyFill="1" applyBorder="1" applyAlignment="1">
      <alignment horizontal="center" vertical="center" wrapText="1"/>
    </xf>
    <xf numFmtId="0" fontId="0" fillId="0" borderId="37" xfId="0" applyBorder="1"/>
    <xf numFmtId="0" fontId="178" fillId="0" borderId="79" xfId="0" applyFont="1" applyFill="1" applyBorder="1"/>
    <xf numFmtId="176" fontId="103" fillId="0" borderId="29" xfId="3314" applyNumberFormat="1" applyFont="1" applyFill="1" applyBorder="1" applyAlignment="1">
      <alignment horizontal="center" vertical="center" wrapText="1"/>
    </xf>
    <xf numFmtId="2" fontId="104" fillId="0" borderId="29" xfId="3314" applyNumberFormat="1" applyFont="1" applyFill="1" applyBorder="1" applyAlignment="1">
      <alignment horizontal="center" vertical="center" wrapText="1"/>
    </xf>
    <xf numFmtId="2" fontId="104" fillId="0" borderId="67" xfId="3314" applyNumberFormat="1" applyFont="1" applyFill="1" applyBorder="1" applyAlignment="1">
      <alignment horizontal="center" vertical="center" wrapText="1"/>
    </xf>
    <xf numFmtId="49" fontId="26" fillId="0" borderId="68" xfId="3314" applyNumberFormat="1" applyFont="1" applyFill="1" applyBorder="1" applyAlignment="1">
      <alignment horizontal="center" vertical="center"/>
    </xf>
    <xf numFmtId="49" fontId="27" fillId="0" borderId="62" xfId="3314" applyNumberFormat="1" applyFont="1" applyBorder="1" applyAlignment="1">
      <alignment horizontal="center" vertical="center"/>
    </xf>
    <xf numFmtId="0" fontId="104" fillId="0" borderId="32" xfId="3314" applyFont="1" applyBorder="1" applyAlignment="1">
      <alignment horizontal="center" vertical="center" wrapText="1"/>
    </xf>
    <xf numFmtId="49" fontId="26" fillId="0" borderId="62" xfId="3314" applyNumberFormat="1" applyFont="1" applyFill="1" applyBorder="1" applyAlignment="1">
      <alignment horizontal="center" vertical="center"/>
    </xf>
    <xf numFmtId="49" fontId="26" fillId="0" borderId="58" xfId="3314" applyNumberFormat="1" applyFont="1" applyFill="1" applyBorder="1" applyAlignment="1">
      <alignment horizontal="center" vertical="center"/>
    </xf>
    <xf numFmtId="0" fontId="104" fillId="0" borderId="81" xfId="3314" applyFont="1" applyFill="1" applyBorder="1" applyAlignment="1">
      <alignment horizontal="center" vertical="center" wrapText="1"/>
    </xf>
    <xf numFmtId="0" fontId="104" fillId="0" borderId="8" xfId="3314" applyFont="1" applyFill="1" applyBorder="1" applyAlignment="1">
      <alignment horizontal="center" vertical="center" wrapText="1"/>
    </xf>
    <xf numFmtId="0" fontId="104" fillId="0" borderId="73" xfId="3314" applyFont="1" applyBorder="1" applyAlignment="1">
      <alignment horizontal="center" vertical="center" wrapText="1"/>
    </xf>
    <xf numFmtId="0" fontId="103" fillId="0" borderId="59" xfId="3314" applyFont="1" applyFill="1" applyBorder="1" applyAlignment="1">
      <alignment horizontal="left" vertical="center" wrapText="1"/>
    </xf>
    <xf numFmtId="0" fontId="103" fillId="0" borderId="59" xfId="3314" applyFont="1" applyFill="1" applyBorder="1" applyAlignment="1">
      <alignment vertical="center" wrapText="1"/>
    </xf>
    <xf numFmtId="0" fontId="104" fillId="0" borderId="73" xfId="3314" applyFont="1" applyFill="1" applyBorder="1" applyAlignment="1">
      <alignment horizontal="left" vertical="center" wrapText="1"/>
    </xf>
    <xf numFmtId="0" fontId="103" fillId="0" borderId="61" xfId="3314" applyFont="1" applyFill="1" applyBorder="1" applyAlignment="1">
      <alignment horizontal="left" vertical="center" wrapText="1"/>
    </xf>
    <xf numFmtId="49" fontId="30" fillId="0" borderId="82" xfId="3314" applyNumberFormat="1" applyFont="1" applyFill="1" applyBorder="1" applyAlignment="1">
      <alignment horizontal="center" vertical="center"/>
    </xf>
    <xf numFmtId="0" fontId="104" fillId="0" borderId="83" xfId="3314" applyFont="1" applyFill="1" applyBorder="1" applyAlignment="1">
      <alignment horizontal="center" vertical="center" wrapText="1"/>
    </xf>
    <xf numFmtId="0" fontId="104" fillId="0" borderId="78" xfId="3314" applyFont="1" applyFill="1" applyBorder="1" applyAlignment="1">
      <alignment horizontal="center" vertical="center" wrapText="1"/>
    </xf>
    <xf numFmtId="0" fontId="103" fillId="0" borderId="78" xfId="3314" applyFont="1" applyFill="1" applyBorder="1" applyAlignment="1">
      <alignment horizontal="center" vertical="center" wrapText="1"/>
    </xf>
    <xf numFmtId="0" fontId="103" fillId="0" borderId="6" xfId="3314" applyFont="1" applyFill="1" applyBorder="1" applyAlignment="1">
      <alignment horizontal="center" vertical="center" wrapText="1"/>
    </xf>
    <xf numFmtId="0" fontId="103" fillId="0" borderId="79" xfId="3314" applyFont="1" applyFill="1" applyBorder="1" applyAlignment="1">
      <alignment horizontal="center" vertical="center" wrapText="1"/>
    </xf>
    <xf numFmtId="0" fontId="103" fillId="0" borderId="65" xfId="3314" applyFont="1" applyFill="1" applyBorder="1" applyAlignment="1">
      <alignment horizontal="center" vertical="center" wrapText="1"/>
    </xf>
    <xf numFmtId="0" fontId="191" fillId="0" borderId="75" xfId="0" applyFont="1" applyFill="1" applyBorder="1" applyAlignment="1">
      <alignment vertical="center" wrapText="1"/>
    </xf>
    <xf numFmtId="0" fontId="191" fillId="0" borderId="59" xfId="0" applyFont="1" applyFill="1" applyBorder="1" applyAlignment="1">
      <alignment vertical="center" wrapText="1"/>
    </xf>
    <xf numFmtId="0" fontId="29" fillId="0" borderId="73" xfId="3315" applyFont="1" applyFill="1" applyBorder="1" applyAlignment="1" applyProtection="1">
      <alignment vertical="center" wrapText="1"/>
    </xf>
    <xf numFmtId="0" fontId="29" fillId="0" borderId="73" xfId="3315" applyFont="1" applyFill="1" applyBorder="1" applyAlignment="1" applyProtection="1">
      <alignment horizontal="left" vertical="center" wrapText="1" indent="1"/>
    </xf>
    <xf numFmtId="0" fontId="29" fillId="0" borderId="59" xfId="3315" applyFont="1" applyFill="1" applyBorder="1" applyAlignment="1" applyProtection="1">
      <alignment vertical="center" wrapText="1"/>
    </xf>
    <xf numFmtId="0" fontId="29" fillId="0" borderId="70" xfId="3315" applyFont="1" applyFill="1" applyBorder="1" applyAlignment="1" applyProtection="1">
      <alignment vertical="center" wrapText="1"/>
    </xf>
    <xf numFmtId="0" fontId="29" fillId="0" borderId="59" xfId="0" applyFont="1" applyFill="1" applyBorder="1" applyAlignment="1">
      <alignment vertical="center" wrapText="1"/>
    </xf>
    <xf numFmtId="0" fontId="191" fillId="0" borderId="59" xfId="3315" applyFont="1" applyFill="1" applyBorder="1" applyAlignment="1" applyProtection="1">
      <alignment vertical="center" wrapText="1"/>
    </xf>
    <xf numFmtId="0" fontId="105" fillId="0" borderId="59" xfId="3315" applyFont="1" applyFill="1" applyBorder="1" applyAlignment="1" applyProtection="1">
      <alignment vertical="center" wrapText="1"/>
    </xf>
    <xf numFmtId="0" fontId="105" fillId="0" borderId="84" xfId="0" applyFont="1" applyFill="1" applyBorder="1"/>
    <xf numFmtId="0" fontId="105" fillId="0" borderId="61" xfId="3315" applyFont="1" applyFill="1" applyBorder="1" applyAlignment="1" applyProtection="1">
      <alignment vertical="center" wrapText="1"/>
    </xf>
    <xf numFmtId="0" fontId="105" fillId="0" borderId="84" xfId="3315" applyFont="1" applyFill="1" applyBorder="1" applyAlignment="1" applyProtection="1">
      <alignment vertical="center" wrapText="1"/>
    </xf>
    <xf numFmtId="0" fontId="178" fillId="0" borderId="84" xfId="0" applyFont="1" applyFill="1" applyBorder="1"/>
    <xf numFmtId="49" fontId="196" fillId="0" borderId="57" xfId="3314" applyNumberFormat="1" applyFont="1" applyFill="1" applyBorder="1" applyAlignment="1">
      <alignment horizontal="center" vertical="center"/>
    </xf>
    <xf numFmtId="49" fontId="196" fillId="0" borderId="58" xfId="3314" applyNumberFormat="1" applyFont="1" applyFill="1" applyBorder="1" applyAlignment="1">
      <alignment horizontal="center" vertical="center"/>
    </xf>
    <xf numFmtId="49" fontId="196" fillId="0" borderId="64" xfId="3314" applyNumberFormat="1" applyFont="1" applyFill="1" applyBorder="1" applyAlignment="1">
      <alignment horizontal="center" vertical="center"/>
    </xf>
    <xf numFmtId="0" fontId="103" fillId="0" borderId="83" xfId="3314" applyFont="1" applyFill="1" applyBorder="1" applyAlignment="1">
      <alignment horizontal="center" vertical="center" wrapText="1"/>
    </xf>
    <xf numFmtId="0" fontId="105" fillId="0" borderId="75" xfId="0" applyFont="1" applyFill="1" applyBorder="1" applyAlignment="1">
      <alignment vertical="center" wrapText="1"/>
    </xf>
    <xf numFmtId="0" fontId="29" fillId="0" borderId="59" xfId="0" applyFont="1" applyFill="1" applyBorder="1" applyAlignment="1">
      <alignment horizontal="left" vertical="center" wrapText="1" indent="1"/>
    </xf>
    <xf numFmtId="0" fontId="29" fillId="0" borderId="84" xfId="3315" applyFont="1" applyFill="1" applyBorder="1" applyAlignment="1" applyProtection="1">
      <alignment vertical="center" wrapText="1"/>
    </xf>
    <xf numFmtId="0" fontId="29" fillId="0" borderId="70" xfId="0" applyFont="1" applyFill="1" applyBorder="1" applyAlignment="1">
      <alignment vertical="center" wrapText="1"/>
    </xf>
    <xf numFmtId="0" fontId="105" fillId="0" borderId="73" xfId="3315" applyFont="1" applyFill="1" applyBorder="1" applyAlignment="1" applyProtection="1">
      <alignment vertical="center" wrapText="1"/>
    </xf>
    <xf numFmtId="0" fontId="105" fillId="0" borderId="59" xfId="0" applyFont="1" applyFill="1" applyBorder="1" applyAlignment="1">
      <alignment vertical="center" wrapText="1"/>
    </xf>
    <xf numFmtId="0" fontId="29" fillId="0" borderId="84" xfId="0" applyFont="1" applyFill="1" applyBorder="1"/>
    <xf numFmtId="0" fontId="103" fillId="0" borderId="56" xfId="3314" applyFont="1" applyFill="1" applyBorder="1" applyAlignment="1">
      <alignment horizontal="center" vertical="center" wrapText="1"/>
    </xf>
    <xf numFmtId="0" fontId="105" fillId="0" borderId="75" xfId="3315" applyFont="1" applyFill="1" applyBorder="1" applyAlignment="1" applyProtection="1">
      <alignment vertical="center" wrapText="1"/>
    </xf>
    <xf numFmtId="0" fontId="105" fillId="0" borderId="70" xfId="3315" applyFont="1" applyFill="1" applyBorder="1" applyAlignment="1" applyProtection="1">
      <alignment vertical="center" wrapText="1"/>
    </xf>
    <xf numFmtId="2" fontId="103" fillId="0" borderId="2" xfId="3314" applyNumberFormat="1" applyFont="1" applyFill="1" applyBorder="1" applyAlignment="1">
      <alignment horizontal="center" vertical="center" wrapText="1"/>
    </xf>
    <xf numFmtId="2" fontId="103" fillId="0" borderId="67" xfId="3314" applyNumberFormat="1" applyFont="1" applyFill="1" applyBorder="1" applyAlignment="1">
      <alignment horizontal="center" vertical="center" wrapText="1"/>
    </xf>
    <xf numFmtId="49" fontId="30" fillId="0" borderId="57" xfId="3314" applyNumberFormat="1" applyFont="1" applyFill="1" applyBorder="1" applyAlignment="1">
      <alignment horizontal="center" vertical="center"/>
    </xf>
    <xf numFmtId="49" fontId="26" fillId="0" borderId="64" xfId="3314" applyNumberFormat="1" applyFont="1" applyFill="1" applyBorder="1" applyAlignment="1">
      <alignment horizontal="center" vertical="center"/>
    </xf>
    <xf numFmtId="0" fontId="195" fillId="0" borderId="56" xfId="144" applyFont="1" applyFill="1" applyBorder="1" applyAlignment="1">
      <alignment horizontal="center" vertical="center" wrapText="1"/>
    </xf>
    <xf numFmtId="0" fontId="195" fillId="0" borderId="65" xfId="144" applyFont="1" applyFill="1" applyBorder="1" applyAlignment="1">
      <alignment horizontal="center" vertical="center" wrapText="1"/>
    </xf>
    <xf numFmtId="0" fontId="194" fillId="0" borderId="56" xfId="144" applyFont="1" applyFill="1" applyBorder="1" applyAlignment="1">
      <alignment horizontal="center" vertical="center" wrapText="1"/>
    </xf>
    <xf numFmtId="0" fontId="194" fillId="0" borderId="65" xfId="144" applyFont="1" applyFill="1" applyBorder="1" applyAlignment="1">
      <alignment horizontal="center" vertical="center" wrapText="1"/>
    </xf>
    <xf numFmtId="0" fontId="194" fillId="0" borderId="59" xfId="144" applyFont="1" applyFill="1" applyBorder="1" applyAlignment="1">
      <alignment vertical="center" wrapText="1"/>
    </xf>
    <xf numFmtId="0" fontId="194" fillId="0" borderId="61" xfId="144" applyFont="1" applyFill="1" applyBorder="1" applyAlignment="1">
      <alignment vertical="center" wrapText="1"/>
    </xf>
    <xf numFmtId="49" fontId="77" fillId="0" borderId="57" xfId="3314" applyNumberFormat="1" applyFont="1" applyFill="1" applyBorder="1" applyAlignment="1">
      <alignment horizontal="center" vertical="center"/>
    </xf>
    <xf numFmtId="49" fontId="77" fillId="0" borderId="58" xfId="3314" applyNumberFormat="1" applyFont="1" applyFill="1" applyBorder="1" applyAlignment="1">
      <alignment horizontal="center" vertical="center"/>
    </xf>
    <xf numFmtId="49" fontId="77" fillId="0" borderId="64" xfId="3314" applyNumberFormat="1" applyFont="1" applyFill="1" applyBorder="1" applyAlignment="1">
      <alignment horizontal="center" vertical="center"/>
    </xf>
    <xf numFmtId="0" fontId="28" fillId="0" borderId="0" xfId="0" applyFont="1" applyFill="1" applyBorder="1" applyAlignment="1">
      <alignment vertical="center" wrapText="1"/>
    </xf>
    <xf numFmtId="0" fontId="0" fillId="0" borderId="0" xfId="0" applyAlignment="1">
      <alignment wrapText="1"/>
    </xf>
    <xf numFmtId="0" fontId="25" fillId="0" borderId="1" xfId="0" applyFont="1" applyBorder="1" applyAlignment="1">
      <alignment horizontal="center" vertical="center" wrapText="1"/>
    </xf>
    <xf numFmtId="0" fontId="26" fillId="0" borderId="12" xfId="0" applyFont="1" applyBorder="1" applyAlignment="1">
      <alignment horizontal="center"/>
    </xf>
    <xf numFmtId="0" fontId="25" fillId="0" borderId="0" xfId="5" applyFont="1" applyBorder="1" applyAlignment="1" applyProtection="1">
      <alignment horizontal="center" vertical="top" wrapText="1"/>
    </xf>
    <xf numFmtId="0" fontId="25" fillId="0" borderId="12" xfId="5" applyFont="1" applyBorder="1" applyAlignment="1" applyProtection="1">
      <alignment horizontal="center" vertical="top" wrapText="1"/>
    </xf>
    <xf numFmtId="0" fontId="25" fillId="0" borderId="1" xfId="0" applyFont="1" applyBorder="1" applyAlignment="1">
      <alignment horizontal="center" vertical="center" textRotation="90" wrapText="1"/>
    </xf>
    <xf numFmtId="0" fontId="0" fillId="0" borderId="1" xfId="0" applyBorder="1" applyAlignment="1">
      <alignment horizontal="center" vertical="center" textRotation="90" wrapText="1"/>
    </xf>
    <xf numFmtId="0" fontId="0" fillId="0" borderId="0" xfId="0" applyAlignment="1"/>
    <xf numFmtId="0" fontId="80" fillId="0" borderId="0" xfId="0" applyFont="1" applyBorder="1" applyAlignment="1">
      <alignment horizontal="center"/>
    </xf>
    <xf numFmtId="0" fontId="30" fillId="0" borderId="0" xfId="0" applyFont="1" applyBorder="1" applyAlignment="1"/>
    <xf numFmtId="0" fontId="69" fillId="0" borderId="0" xfId="0" applyFont="1" applyBorder="1" applyAlignment="1">
      <alignment horizontal="center" vertical="center"/>
    </xf>
    <xf numFmtId="0" fontId="30" fillId="0" borderId="0" xfId="0" applyFont="1" applyAlignment="1">
      <alignment horizontal="center"/>
    </xf>
    <xf numFmtId="0" fontId="81" fillId="0" borderId="0" xfId="0" applyNumberFormat="1" applyFont="1" applyAlignment="1">
      <alignment horizontal="center" vertical="center"/>
    </xf>
    <xf numFmtId="0" fontId="73" fillId="0" borderId="0" xfId="0" applyFont="1" applyAlignment="1">
      <alignment horizontal="center" vertical="center"/>
    </xf>
    <xf numFmtId="0" fontId="30" fillId="2" borderId="0" xfId="0" applyFont="1" applyFill="1" applyAlignment="1">
      <alignment horizontal="center" wrapText="1"/>
    </xf>
    <xf numFmtId="0" fontId="30" fillId="2" borderId="0" xfId="0" applyFont="1" applyFill="1" applyAlignment="1">
      <alignment horizontal="center"/>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70" fillId="0" borderId="4" xfId="0" applyFont="1" applyBorder="1" applyAlignment="1">
      <alignment horizontal="center" vertical="center" wrapText="1"/>
    </xf>
    <xf numFmtId="0" fontId="70" fillId="0" borderId="3" xfId="0" applyFont="1" applyBorder="1" applyAlignment="1">
      <alignment horizontal="center" vertical="center" wrapText="1"/>
    </xf>
    <xf numFmtId="0" fontId="25" fillId="0" borderId="6" xfId="0" applyFont="1" applyBorder="1" applyAlignment="1">
      <alignment horizontal="center" vertical="center" textRotation="90" wrapText="1"/>
    </xf>
    <xf numFmtId="0" fontId="26" fillId="2" borderId="0" xfId="0" applyFont="1" applyFill="1" applyAlignment="1"/>
    <xf numFmtId="0" fontId="0" fillId="0" borderId="1" xfId="0" applyBorder="1" applyAlignment="1">
      <alignment wrapText="1"/>
    </xf>
    <xf numFmtId="0" fontId="69" fillId="0" borderId="7" xfId="0" applyFont="1" applyBorder="1" applyAlignment="1">
      <alignment horizontal="center" vertical="center" wrapText="1"/>
    </xf>
    <xf numFmtId="0" fontId="69" fillId="0" borderId="8" xfId="0" applyFont="1" applyBorder="1" applyAlignment="1">
      <alignment horizontal="center" vertical="center" wrapText="1"/>
    </xf>
    <xf numFmtId="0" fontId="69" fillId="0" borderId="6" xfId="0" applyFont="1" applyBorder="1" applyAlignment="1">
      <alignment horizontal="center" vertical="center" wrapText="1"/>
    </xf>
    <xf numFmtId="0" fontId="69" fillId="28" borderId="2" xfId="0" applyFont="1" applyFill="1" applyBorder="1" applyAlignment="1">
      <alignment horizontal="left" vertical="top" wrapText="1"/>
    </xf>
    <xf numFmtId="0" fontId="69" fillId="28" borderId="4" xfId="0" applyFont="1" applyFill="1" applyBorder="1" applyAlignment="1">
      <alignment horizontal="left" vertical="top" wrapText="1"/>
    </xf>
    <xf numFmtId="0" fontId="69" fillId="28" borderId="3" xfId="0" applyFont="1" applyFill="1" applyBorder="1" applyAlignment="1">
      <alignment horizontal="left" vertical="top" wrapText="1"/>
    </xf>
    <xf numFmtId="0" fontId="27" fillId="28" borderId="2" xfId="0" applyFont="1" applyFill="1" applyBorder="1" applyAlignment="1">
      <alignment horizontal="center" vertical="center" wrapText="1"/>
    </xf>
    <xf numFmtId="0" fontId="27" fillId="28" borderId="4" xfId="0" applyFont="1" applyFill="1" applyBorder="1" applyAlignment="1">
      <alignment horizontal="center" vertical="center" wrapText="1"/>
    </xf>
    <xf numFmtId="0" fontId="27" fillId="28" borderId="3" xfId="0" applyFont="1" applyFill="1" applyBorder="1" applyAlignment="1">
      <alignment horizontal="center" vertical="center" wrapText="1"/>
    </xf>
    <xf numFmtId="0" fontId="103" fillId="0" borderId="4" xfId="3314" applyFont="1" applyFill="1" applyBorder="1" applyAlignment="1">
      <alignment horizontal="center" vertical="center" wrapText="1"/>
    </xf>
    <xf numFmtId="0" fontId="103" fillId="0" borderId="3" xfId="3314" applyFont="1" applyFill="1" applyBorder="1" applyAlignment="1">
      <alignment horizontal="center" vertical="center" wrapText="1"/>
    </xf>
    <xf numFmtId="0" fontId="103" fillId="0" borderId="33" xfId="3314" applyFont="1" applyFill="1" applyBorder="1" applyAlignment="1">
      <alignment horizontal="center" vertical="center" wrapText="1"/>
    </xf>
    <xf numFmtId="0" fontId="29" fillId="0" borderId="0" xfId="3314" applyFont="1" applyAlignment="1">
      <alignment horizontal="left" vertical="center" wrapText="1"/>
    </xf>
    <xf numFmtId="0" fontId="104" fillId="0" borderId="34" xfId="3314" applyFont="1" applyBorder="1" applyAlignment="1">
      <alignment horizontal="center" vertical="center" wrapText="1"/>
    </xf>
    <xf numFmtId="0" fontId="104" fillId="0" borderId="47" xfId="3314" applyFont="1" applyBorder="1" applyAlignment="1">
      <alignment horizontal="center" vertical="center" wrapText="1"/>
    </xf>
    <xf numFmtId="0" fontId="104" fillId="0" borderId="1" xfId="3314" applyFont="1" applyBorder="1" applyAlignment="1">
      <alignment horizontal="center" vertical="center" wrapText="1"/>
    </xf>
    <xf numFmtId="0" fontId="104" fillId="0" borderId="30" xfId="3314" applyFont="1" applyBorder="1" applyAlignment="1">
      <alignment horizontal="center" vertical="center" wrapText="1"/>
    </xf>
    <xf numFmtId="0" fontId="104" fillId="0" borderId="35" xfId="3314" applyFont="1" applyBorder="1" applyAlignment="1">
      <alignment horizontal="center" vertical="center" wrapText="1"/>
    </xf>
    <xf numFmtId="0" fontId="104" fillId="0" borderId="31" xfId="3314" applyFont="1" applyBorder="1" applyAlignment="1">
      <alignment horizontal="center" vertical="center" wrapText="1"/>
    </xf>
    <xf numFmtId="0" fontId="101" fillId="0" borderId="0" xfId="3314" applyFont="1" applyAlignment="1">
      <alignment vertical="top" wrapText="1"/>
    </xf>
    <xf numFmtId="0" fontId="104" fillId="0" borderId="0" xfId="3314" applyFont="1" applyAlignment="1">
      <alignment horizontal="center" vertical="center" wrapText="1"/>
    </xf>
    <xf numFmtId="0" fontId="101" fillId="0" borderId="0" xfId="3314" applyFont="1" applyAlignment="1">
      <alignment wrapText="1"/>
    </xf>
    <xf numFmtId="0" fontId="104" fillId="0" borderId="0" xfId="3314" applyFont="1" applyAlignment="1">
      <alignment vertical="center" wrapText="1"/>
    </xf>
    <xf numFmtId="0" fontId="189" fillId="0" borderId="0" xfId="3314" applyFont="1" applyFill="1" applyAlignment="1">
      <alignment horizontal="center" vertical="center" wrapText="1"/>
    </xf>
    <xf numFmtId="0" fontId="190" fillId="0" borderId="0" xfId="0" applyFont="1" applyAlignment="1">
      <alignment horizontal="center" vertical="center" wrapText="1"/>
    </xf>
    <xf numFmtId="49" fontId="29" fillId="0" borderId="0" xfId="3314" applyNumberFormat="1" applyFont="1" applyAlignment="1">
      <alignment horizontal="left" vertical="center"/>
    </xf>
    <xf numFmtId="0" fontId="177" fillId="0" borderId="0" xfId="3314" applyFont="1" applyFill="1" applyAlignment="1">
      <alignment horizontal="center" vertical="center" wrapText="1"/>
    </xf>
    <xf numFmtId="49" fontId="26" fillId="0" borderId="58" xfId="3314" applyNumberFormat="1" applyFont="1" applyFill="1" applyBorder="1" applyAlignment="1">
      <alignment horizontal="center" vertical="center"/>
    </xf>
    <xf numFmtId="0" fontId="103" fillId="0" borderId="38" xfId="3314" applyFont="1" applyFill="1" applyBorder="1" applyAlignment="1">
      <alignment horizontal="center" vertical="center" wrapText="1"/>
    </xf>
    <xf numFmtId="0" fontId="103" fillId="0" borderId="40" xfId="3314" applyFont="1" applyFill="1" applyBorder="1" applyAlignment="1">
      <alignment horizontal="center" vertical="center" wrapText="1"/>
    </xf>
    <xf numFmtId="0" fontId="103" fillId="0" borderId="77" xfId="3314" applyFont="1" applyFill="1" applyBorder="1" applyAlignment="1">
      <alignment horizontal="center" vertical="center" wrapText="1"/>
    </xf>
    <xf numFmtId="0" fontId="103" fillId="0" borderId="69" xfId="3314" applyFont="1" applyFill="1" applyBorder="1" applyAlignment="1">
      <alignment horizontal="center" vertical="center" wrapText="1"/>
    </xf>
    <xf numFmtId="49" fontId="69" fillId="0" borderId="57" xfId="3314" applyNumberFormat="1" applyFont="1" applyBorder="1" applyAlignment="1">
      <alignment horizontal="center" vertical="center" wrapText="1"/>
    </xf>
    <xf numFmtId="49" fontId="69" fillId="0" borderId="58" xfId="3314" applyNumberFormat="1" applyFont="1" applyBorder="1" applyAlignment="1">
      <alignment horizontal="center" vertical="center" wrapText="1"/>
    </xf>
    <xf numFmtId="49" fontId="69" fillId="0" borderId="64" xfId="3314" applyNumberFormat="1" applyFont="1" applyBorder="1" applyAlignment="1">
      <alignment horizontal="center" vertical="center" wrapText="1"/>
    </xf>
    <xf numFmtId="0" fontId="103" fillId="0" borderId="75" xfId="3314" applyFont="1" applyBorder="1" applyAlignment="1">
      <alignment horizontal="center" vertical="center" wrapText="1"/>
    </xf>
    <xf numFmtId="0" fontId="103" fillId="0" borderId="59" xfId="3314" applyFont="1" applyBorder="1" applyAlignment="1">
      <alignment horizontal="center" vertical="center" wrapText="1"/>
    </xf>
    <xf numFmtId="0" fontId="103" fillId="0" borderId="61" xfId="3314" applyFont="1" applyBorder="1" applyAlignment="1">
      <alignment horizontal="center" vertical="center" wrapText="1"/>
    </xf>
    <xf numFmtId="0" fontId="103" fillId="0" borderId="76" xfId="3314" applyFont="1" applyBorder="1" applyAlignment="1">
      <alignment horizontal="center" vertical="center" wrapText="1"/>
    </xf>
    <xf numFmtId="0" fontId="103" fillId="0" borderId="56" xfId="3314" applyFont="1" applyBorder="1" applyAlignment="1">
      <alignment horizontal="center" vertical="center" wrapText="1"/>
    </xf>
    <xf numFmtId="0" fontId="103" fillId="0" borderId="65" xfId="3314" applyFont="1" applyBorder="1" applyAlignment="1">
      <alignment horizontal="center" vertical="center" wrapText="1"/>
    </xf>
    <xf numFmtId="0" fontId="103" fillId="0" borderId="46" xfId="3314" applyFont="1" applyBorder="1" applyAlignment="1">
      <alignment horizontal="center" vertical="center" wrapText="1"/>
    </xf>
    <xf numFmtId="0" fontId="103" fillId="0" borderId="27" xfId="3314" applyFont="1" applyBorder="1" applyAlignment="1">
      <alignment horizontal="center" vertical="center" wrapText="1"/>
    </xf>
    <xf numFmtId="0" fontId="103" fillId="0" borderId="29" xfId="3314" applyFont="1" applyBorder="1" applyAlignment="1">
      <alignment horizontal="center" vertical="center" wrapText="1"/>
    </xf>
    <xf numFmtId="0" fontId="103" fillId="0" borderId="34" xfId="3314" applyFont="1" applyBorder="1" applyAlignment="1">
      <alignment horizontal="center" vertical="center" wrapText="1"/>
    </xf>
    <xf numFmtId="0" fontId="103" fillId="0" borderId="1" xfId="3314" applyFont="1" applyBorder="1" applyAlignment="1">
      <alignment horizontal="center" vertical="center" wrapText="1"/>
    </xf>
    <xf numFmtId="0" fontId="103" fillId="0" borderId="35" xfId="3314" applyFont="1" applyBorder="1" applyAlignment="1">
      <alignment horizontal="center" vertical="center" wrapText="1"/>
    </xf>
    <xf numFmtId="0" fontId="103" fillId="0" borderId="39" xfId="3314" applyFont="1" applyFill="1" applyBorder="1" applyAlignment="1">
      <alignment horizontal="center" vertical="center" wrapText="1"/>
    </xf>
    <xf numFmtId="0" fontId="182" fillId="0" borderId="45" xfId="3314" applyFont="1" applyFill="1" applyBorder="1" applyAlignment="1">
      <alignment horizontal="center" vertical="center" wrapText="1"/>
    </xf>
    <xf numFmtId="0" fontId="182" fillId="0" borderId="80" xfId="3314" applyFont="1" applyFill="1" applyBorder="1" applyAlignment="1">
      <alignment horizontal="center" vertical="center" wrapText="1"/>
    </xf>
    <xf numFmtId="0" fontId="29" fillId="0" borderId="0" xfId="2579" applyFont="1" applyAlignment="1">
      <alignment horizontal="center" vertical="center"/>
    </xf>
    <xf numFmtId="0" fontId="29" fillId="0" borderId="0" xfId="2579" applyFont="1" applyFill="1" applyAlignment="1">
      <alignment horizontal="left" vertical="center"/>
    </xf>
    <xf numFmtId="0" fontId="103" fillId="0" borderId="0" xfId="2579" applyFont="1" applyAlignment="1">
      <alignment vertical="center"/>
    </xf>
    <xf numFmtId="0" fontId="104" fillId="0" borderId="1" xfId="2579" applyFont="1" applyBorder="1" applyAlignment="1">
      <alignment horizontal="center" vertical="center" wrapText="1"/>
    </xf>
    <xf numFmtId="0" fontId="104" fillId="0" borderId="35" xfId="2579" applyFont="1" applyBorder="1" applyAlignment="1">
      <alignment horizontal="center" vertical="center" wrapText="1"/>
    </xf>
    <xf numFmtId="0" fontId="104" fillId="30" borderId="7" xfId="2579" applyFont="1" applyFill="1" applyBorder="1" applyAlignment="1">
      <alignment horizontal="center" vertical="center" wrapText="1"/>
    </xf>
    <xf numFmtId="0" fontId="104" fillId="30" borderId="8" xfId="2579" applyFont="1" applyFill="1" applyBorder="1" applyAlignment="1">
      <alignment horizontal="center" vertical="center" wrapText="1"/>
    </xf>
    <xf numFmtId="0" fontId="104" fillId="30" borderId="56" xfId="2579" applyFont="1" applyFill="1" applyBorder="1" applyAlignment="1">
      <alignment horizontal="center" vertical="center" wrapText="1"/>
    </xf>
    <xf numFmtId="0" fontId="104" fillId="0" borderId="2" xfId="2579" applyFont="1" applyBorder="1" applyAlignment="1">
      <alignment horizontal="center" vertical="center" wrapText="1"/>
    </xf>
    <xf numFmtId="0" fontId="104" fillId="0" borderId="4" xfId="2579" applyFont="1" applyBorder="1" applyAlignment="1">
      <alignment horizontal="center" vertical="center" wrapText="1"/>
    </xf>
    <xf numFmtId="0" fontId="104" fillId="0" borderId="3" xfId="2579" applyFont="1" applyBorder="1" applyAlignment="1">
      <alignment horizontal="center" vertical="center" wrapText="1"/>
    </xf>
    <xf numFmtId="0" fontId="27" fillId="0" borderId="0" xfId="2579" applyFont="1" applyBorder="1" applyAlignment="1">
      <alignment vertical="center" wrapText="1"/>
    </xf>
    <xf numFmtId="0" fontId="177" fillId="0" borderId="0" xfId="2579" applyFont="1" applyFill="1" applyAlignment="1">
      <alignment horizontal="center" vertical="center"/>
    </xf>
    <xf numFmtId="49" fontId="103" fillId="0" borderId="46" xfId="2579" applyNumberFormat="1" applyFont="1" applyBorder="1" applyAlignment="1">
      <alignment horizontal="center" vertical="center" wrapText="1"/>
    </xf>
    <xf numFmtId="49" fontId="103" fillId="0" borderId="34" xfId="2579" applyNumberFormat="1" applyFont="1" applyBorder="1" applyAlignment="1">
      <alignment horizontal="center" vertical="center" wrapText="1"/>
    </xf>
    <xf numFmtId="0" fontId="103" fillId="0" borderId="27" xfId="2579" applyFont="1" applyBorder="1" applyAlignment="1">
      <alignment horizontal="center" vertical="center" wrapText="1"/>
    </xf>
    <xf numFmtId="0" fontId="103" fillId="0" borderId="1" xfId="2579" applyFont="1" applyBorder="1" applyAlignment="1">
      <alignment horizontal="center" vertical="center" wrapText="1"/>
    </xf>
    <xf numFmtId="0" fontId="103" fillId="0" borderId="27" xfId="2579" applyFont="1" applyFill="1" applyBorder="1" applyAlignment="1">
      <alignment horizontal="center" vertical="center" wrapText="1"/>
    </xf>
    <xf numFmtId="0" fontId="103" fillId="0" borderId="1" xfId="2579" applyFont="1" applyFill="1" applyBorder="1" applyAlignment="1">
      <alignment horizontal="center" vertical="center" wrapText="1"/>
    </xf>
    <xf numFmtId="0" fontId="78" fillId="41" borderId="0" xfId="2580" applyFont="1" applyFill="1" applyAlignment="1" applyProtection="1">
      <alignment horizontal="left" vertical="top" wrapText="1"/>
    </xf>
    <xf numFmtId="0" fontId="104" fillId="0" borderId="0" xfId="2579" applyFont="1" applyAlignment="1">
      <alignment vertical="top" wrapText="1"/>
    </xf>
    <xf numFmtId="0" fontId="104" fillId="0" borderId="0" xfId="2579" applyFont="1" applyAlignment="1">
      <alignment horizontal="left" vertical="center" wrapText="1"/>
    </xf>
    <xf numFmtId="0" fontId="171" fillId="41" borderId="0" xfId="2579" applyFont="1" applyFill="1" applyAlignment="1">
      <alignment horizontal="center" vertical="center"/>
    </xf>
    <xf numFmtId="0" fontId="171" fillId="41" borderId="0" xfId="2579" applyFont="1" applyFill="1" applyAlignment="1">
      <alignment horizontal="center" vertical="center" wrapText="1"/>
    </xf>
    <xf numFmtId="0" fontId="103" fillId="0" borderId="29" xfId="2579" applyFont="1" applyFill="1" applyBorder="1" applyAlignment="1">
      <alignment horizontal="center" vertical="center" wrapText="1"/>
    </xf>
  </cellXfs>
  <cellStyles count="5442">
    <cellStyle name="_090730_ХТГ_2010_поточка" xfId="269"/>
    <cellStyle name="_15 рух коштiв за червень" xfId="270"/>
    <cellStyle name="_15 рух коштiв за червень_ЗапасыЛена2" xfId="271"/>
    <cellStyle name="_15 рух коштiв за червень_ТЕПЛО_ЗАГАЛЬНА_з_01_01_14" xfId="272"/>
    <cellStyle name="_15 рух коштiв за червень_ТЕЦ 2013" xfId="273"/>
    <cellStyle name="_15 рух коштiв за червень_УГПБ_new" xfId="274"/>
    <cellStyle name="_15 рух коштiв за червень_Форма для B-BB" xfId="275"/>
    <cellStyle name="_2008 інвестиції" xfId="276"/>
    <cellStyle name="_2008 інвестиції_ЗапасыЛена2" xfId="277"/>
    <cellStyle name="_2008 інвестиції_УГПБ_new" xfId="278"/>
    <cellStyle name="_2008 інвестиції_Форма для B-BB" xfId="279"/>
    <cellStyle name="_275 наказ_нак" xfId="280"/>
    <cellStyle name="_275 наказ_нак_ТЕПЛО_ЗАГАЛЬНА_з_01_01_14" xfId="281"/>
    <cellStyle name="_275 наказ_нак_ТЕЦ 2013" xfId="282"/>
    <cellStyle name="_6_ДовЁдка для КР К╡ 2010 Дод_3" xfId="283"/>
    <cellStyle name="_6_ДовЁдка для КР К╡ 2010 Дод_3_ЗапасыЛена2" xfId="284"/>
    <cellStyle name="_6_ДовЁдка для КР К╡ 2010 Дод_3_УГПБ_new" xfId="285"/>
    <cellStyle name="_6_ДовЁдка для КР К╡ 2010 Дод_3_Форма для B-BB" xfId="286"/>
    <cellStyle name="_Fakt_2" xfId="287"/>
    <cellStyle name="_Ieai 08_.eai._ai. eai._iaano.(ia __e)-1 c iaeaaiaiiyi - copy" xfId="288"/>
    <cellStyle name="_Ieai 08_.eai._ai. eai._iaano.(ia __e)-1 c iaeaaiaiiyi - copy_ЗапасыЛена2" xfId="289"/>
    <cellStyle name="_Ieai 08_.eai._ai. eai._iaano.(ia __e)-1 c iaeaaiaiiyi - copy_УГПБ_new" xfId="290"/>
    <cellStyle name="_Ieai 08_.eai._ai. eai._iaano.(ia __e)-1 c iaeaaiaiiyi - copy_Форма для B-BB" xfId="291"/>
    <cellStyle name="_Plan_09_1_forma" xfId="292"/>
    <cellStyle name="_Plan_09_1_forma_ЗапасыЛена2" xfId="293"/>
    <cellStyle name="_Plan_09_1_forma_ЗапасыЛена2_бюджет новая форма2" xfId="294"/>
    <cellStyle name="_Plan_09_1_forma_УГПБ_new" xfId="295"/>
    <cellStyle name="_Plan_09_1_forma_УГПБ_new_бюджет новая форма2" xfId="296"/>
    <cellStyle name="_Plan_09_1_forma_Форма для B-BB" xfId="297"/>
    <cellStyle name="_Plan_09_1_forma_Форма для B-BB_бюджет новая форма2" xfId="298"/>
    <cellStyle name="_UTG 11 plan ckorr" xfId="299"/>
    <cellStyle name="_Бланк на нараду (1)" xfId="300"/>
    <cellStyle name="_Бланк на нараду (1)_ЗапасыЛена2" xfId="301"/>
    <cellStyle name="_Бланк на нараду (1)_ЗапасыЛена2_бюджет новая форма2" xfId="302"/>
    <cellStyle name="_Бланк на нараду (1)_УГПБ_new" xfId="303"/>
    <cellStyle name="_Бланк на нараду (1)_УГПБ_new_бюджет новая форма2" xfId="304"/>
    <cellStyle name="_Бланк на нараду (1)_Форма для B-BB" xfId="305"/>
    <cellStyle name="_Бланк на нараду (1)_Форма для B-BB_бюджет новая форма2" xfId="306"/>
    <cellStyle name="_БМФ " xfId="307"/>
    <cellStyle name="_БМФ _ЗапасыЛена2" xfId="308"/>
    <cellStyle name="_БМФ _ЗапасыЛена2_бюджет новая форма2" xfId="309"/>
    <cellStyle name="_БМФ _УГПБ_new" xfId="310"/>
    <cellStyle name="_БМФ _УГПБ_new_бюджет новая форма2" xfId="311"/>
    <cellStyle name="_БМФ _Форма для B-BB" xfId="312"/>
    <cellStyle name="_БМФ _Форма для B-BB_бюджет новая форма2" xfId="313"/>
    <cellStyle name="_ВГЕ Кап буд план 09" xfId="314"/>
    <cellStyle name="_ВГЕ Кап буд план 09_ЗапасыЛена2" xfId="315"/>
    <cellStyle name="_ВГЕ Кап буд план 09_УГПБ_new" xfId="316"/>
    <cellStyle name="_ВГЕ Кап буд план 09_Форма для B-BB" xfId="317"/>
    <cellStyle name="_ВРТП К_ 2009" xfId="318"/>
    <cellStyle name="_ВРТП К_ 2009_ЗапасыЛена2" xfId="319"/>
    <cellStyle name="_ВРТП К_ 2009_ЗапасыЛена2_бюджет новая форма2" xfId="320"/>
    <cellStyle name="_ВРТП К_ 2009_УГПБ_new" xfId="321"/>
    <cellStyle name="_ВРТП К_ 2009_УГПБ_new_бюджет новая форма2" xfId="322"/>
    <cellStyle name="_ВРТП К_ 2009_Форма для B-BB" xfId="323"/>
    <cellStyle name="_ВРТП К_ 2009_Форма для B-BB_бюджет новая форма2" xfId="324"/>
    <cellStyle name="_Для Юли рем Кинвест хвост" xfId="325"/>
    <cellStyle name="_Для Юли рем Кинвест хвост_ЗапасыЛена2" xfId="326"/>
    <cellStyle name="_Для Юли рем Кинвест хвост_УГПБ_new" xfId="327"/>
    <cellStyle name="_Для Юли рем Кинвест хвост_Форма для B-BB" xfId="328"/>
    <cellStyle name="_Дов. Процак кориг.плану на 01.04.07-2" xfId="329"/>
    <cellStyle name="_Дов. Процак кориг.плану на 01.04.07-2_ЗапасыЛена2" xfId="330"/>
    <cellStyle name="_Дов. Процак кориг.плану на 01.04.07-2_УГПБ_new" xfId="331"/>
    <cellStyle name="_Дов. Процак кориг.плану на 01.04.07-2_Форма для B-BB" xfId="332"/>
    <cellStyle name="_Довдка тендер на 12 07 10" xfId="333"/>
    <cellStyle name="_Довдка тендер на 12 07 10_ЗапасыЛена2" xfId="334"/>
    <cellStyle name="_Довдка тендер на 12 07 10_УГПБ_new" xfId="335"/>
    <cellStyle name="_Довдка тендер на 12 07 10_Форма для B-BB" xfId="336"/>
    <cellStyle name="_Довідка капбудівн" xfId="337"/>
    <cellStyle name="_Довідка капбудівн_ЗапасыЛена2" xfId="338"/>
    <cellStyle name="_Довідка капбудівн_ЗапасыЛена2_бюджет новая форма2" xfId="339"/>
    <cellStyle name="_Довідка капбудівн_УГПБ_new" xfId="340"/>
    <cellStyle name="_Довідка капбудівн_УГПБ_new_бюджет новая форма2" xfId="341"/>
    <cellStyle name="_Довідка капбудівн_Форма для B-BB" xfId="342"/>
    <cellStyle name="_Довідка капбудівн_Форма для B-BB_бюджет новая форма2" xfId="343"/>
    <cellStyle name="_довідка остання" xfId="344"/>
    <cellStyle name="_довідка остання_ЗапасыЛена2" xfId="345"/>
    <cellStyle name="_довідка остання_УГПБ_new" xfId="346"/>
    <cellStyle name="_довідка остання_Форма для B-BB" xfId="347"/>
    <cellStyle name="_Довідка про хід будівництва ДК 2кв 2008" xfId="348"/>
    <cellStyle name="_Довідка про хід будівництва ДК 2кв 2008_ЗапасыЛена2" xfId="349"/>
    <cellStyle name="_Довідка про хід будівництва ДК 2кв 2008_УГПБ_new" xfId="350"/>
    <cellStyle name="_Довідка про хід будівництва ДК 2кв 2008_Форма для B-BB" xfId="351"/>
    <cellStyle name="_Додатки до финплану 27-08" xfId="352"/>
    <cellStyle name="_Додатки до финплану 27-08_бюджет новая форма2" xfId="353"/>
    <cellStyle name="_ДодатокМТР" xfId="354"/>
    <cellStyle name="_ДодатокМТР_2011 - 2009(ОЧИК2010)" xfId="355"/>
    <cellStyle name="_ДодатокМТР_Директор 2011-Шаблон" xfId="356"/>
    <cellStyle name="_ДодатокМТР_ЗапасыЛена2" xfId="357"/>
    <cellStyle name="_ДодатокМТР_ив022Книга1" xfId="358"/>
    <cellStyle name="_ДодатокМТР_Книга1" xfId="359"/>
    <cellStyle name="_ДодатокМТР_План 11.11.2011" xfId="360"/>
    <cellStyle name="_ДодатокМТР_План 2011 НАК (04)нак" xfId="361"/>
    <cellStyle name="_ДодатокМТР_План 2011 НАК (2004)нак" xfId="362"/>
    <cellStyle name="_ДодатокМТР_План 2011 НАК (23.12)бс" xfId="363"/>
    <cellStyle name="_ДодатокМТР_План 2011 НАК 17 08" xfId="364"/>
    <cellStyle name="_ДодатокМТР_УГПБ_new" xfId="365"/>
    <cellStyle name="_ДодатокМТР_Форма для B-BB" xfId="366"/>
    <cellStyle name="_ДТГ новій" xfId="367"/>
    <cellStyle name="_ДТГ новій_ЗапасыЛена2" xfId="368"/>
    <cellStyle name="_ДТГ новій_ЗапасыЛена2_бюджет новая форма2" xfId="369"/>
    <cellStyle name="_ДТГ новій_УГПБ_new" xfId="370"/>
    <cellStyle name="_ДТГ новій_УГПБ_new_бюджет новая форма2" xfId="371"/>
    <cellStyle name="_ДТГ новій_Форма для B-BB" xfId="372"/>
    <cellStyle name="_ДТГ новій_Форма для B-BB_бюджет новая форма2" xfId="373"/>
    <cellStyle name="_ДТГ оборудование ИНМА 2010 план" xfId="374"/>
    <cellStyle name="_ДТГ оборудование ИНМА 2010 план_ЗапасыЛена2" xfId="375"/>
    <cellStyle name="_ДТГ оборудование ИНМА 2010 план_УГПБ_new" xfId="376"/>
    <cellStyle name="_ДТГ оборудование ИНМА 2010 план_Форма для B-BB" xfId="377"/>
    <cellStyle name="_Жовтень на 8 число" xfId="378"/>
    <cellStyle name="_Жовтень на 8 число_ЗапасыЛена2" xfId="379"/>
    <cellStyle name="_Жовтень на 8 число_ЗапасыЛена2_бюджет новая форма2" xfId="380"/>
    <cellStyle name="_Жовтень на 8 число_УГПБ_new" xfId="381"/>
    <cellStyle name="_Жовтень на 8 число_УГПБ_new_бюджет новая форма2" xfId="382"/>
    <cellStyle name="_Жовтень на 8 число_Форма для B-BB" xfId="383"/>
    <cellStyle name="_Жовтень на 8 число_Форма для B-BB_бюджет новая форма2" xfId="384"/>
    <cellStyle name="_Зв_тКР-_нвестиц__ по ДК" xfId="385"/>
    <cellStyle name="_Зв_тКР-_нвестиц__ по ДК_ЗапасыЛена2" xfId="386"/>
    <cellStyle name="_Зв_тКР-_нвестиц__ по ДК_УГПБ_new" xfId="387"/>
    <cellStyle name="_Зв_тКР-_нвестиц__ по ДК_Форма для B-BB" xfId="388"/>
    <cellStyle name="_Звит UTG 10 рух коштив+ нарахування" xfId="389"/>
    <cellStyle name="_Зворот " xfId="390"/>
    <cellStyle name="_Зворот _ЗапасыЛена2" xfId="391"/>
    <cellStyle name="_Зворот _ЗапасыЛена2_бюджет новая форма2" xfId="392"/>
    <cellStyle name="_Зворот _УГПБ_new" xfId="393"/>
    <cellStyle name="_Зворот _УГПБ_new_бюджет новая форма2" xfId="394"/>
    <cellStyle name="_Зворот _Форма для B-BB" xfId="395"/>
    <cellStyle name="_Зворот _Форма для B-BB_бюджет новая форма2" xfId="396"/>
    <cellStyle name="_ИТГ План КИ 2009 2_1" xfId="397"/>
    <cellStyle name="_ИТГ План КИ 2009 2_1_ЗапасыЛена2" xfId="398"/>
    <cellStyle name="_ИТГ План КИ 2009 2_1_УГПБ_new" xfId="399"/>
    <cellStyle name="_ИТГ План КИ 2009 2_1_Форма для B-BB" xfId="400"/>
    <cellStyle name="_Кап план2009 Техдиагаз Коригований" xfId="401"/>
    <cellStyle name="_Кап план2009 Техдиагаз Коригований_ЗапасыЛена2" xfId="402"/>
    <cellStyle name="_Кап план2009 Техдиагаз Коригований_УГПБ_new" xfId="403"/>
    <cellStyle name="_Кап план2009 Техдиагаз Коригований_Форма для B-BB" xfId="404"/>
    <cellStyle name="_КапИВЦ2010-2" xfId="405"/>
    <cellStyle name="_КапИВЦ2010-2_ЗапасыЛена2" xfId="406"/>
    <cellStyle name="_КапИВЦ2010-2_УГПБ_new" xfId="407"/>
    <cellStyle name="_КапИВЦ2010-2_Форма для B-BB" xfId="408"/>
    <cellStyle name="_Капремонт сводный  на 2010 по УМГ ХТГ" xfId="409"/>
    <cellStyle name="_Капремонт сводный  на 2010 по УМГ ХТГ_ЗапасыЛена2" xfId="410"/>
    <cellStyle name="_Капремонт сводный  на 2010 по УМГ ХТГ_УГПБ_new" xfId="411"/>
    <cellStyle name="_Капремонт сводный  на 2010 по УМГ ХТГ_Форма для B-BB" xfId="412"/>
    <cellStyle name="_Квартиры 2010" xfId="413"/>
    <cellStyle name="_Квартиры 2010_ЗапасыЛена2" xfId="414"/>
    <cellStyle name="_Квартиры 2010_УГПБ_new" xfId="415"/>
    <cellStyle name="_Квартиры 2010_Форма для B-BB" xfId="416"/>
    <cellStyle name="_КІплан" xfId="417"/>
    <cellStyle name="_КІплан (1)" xfId="418"/>
    <cellStyle name="_КІплан (1)_ЗапасыЛена2" xfId="419"/>
    <cellStyle name="_КІплан (1)_УГПБ_new" xfId="420"/>
    <cellStyle name="_КІплан (1)_Форма для B-BB" xfId="421"/>
    <cellStyle name="_КІплан_ЗапасыЛена2" xfId="422"/>
    <cellStyle name="_КІплан_УГПБ_new" xfId="423"/>
    <cellStyle name="_КІплан_Форма для B-BB" xfId="424"/>
    <cellStyle name="_Книга1" xfId="425"/>
    <cellStyle name="_Книга1_ЗапасыЛена2" xfId="426"/>
    <cellStyle name="_Книга1_ЗапасыЛена2_бюджет новая форма2" xfId="427"/>
    <cellStyle name="_Книга1_УГПБ_new" xfId="428"/>
    <cellStyle name="_Книга1_УГПБ_new_бюджет новая форма2" xfId="429"/>
    <cellStyle name="_Книга1_Форма для B-BB" xfId="430"/>
    <cellStyle name="_Книга1_Форма для B-BB_бюджет новая форма2" xfId="431"/>
    <cellStyle name="_Копия ПОТОЧКА_КТГ_ПР 2010" xfId="432"/>
    <cellStyle name="_КР по предл. филий" xfId="433"/>
    <cellStyle name="_КР по предл. филий_ЗапасыЛена2" xfId="434"/>
    <cellStyle name="_КР по предл. филий_ЗапасыЛена2_бюджет новая форма2" xfId="435"/>
    <cellStyle name="_КР по предл. филий_УГПБ_new" xfId="436"/>
    <cellStyle name="_КР по предл. филий_УГПБ_new_бюджет новая форма2" xfId="437"/>
    <cellStyle name="_КР по предл. филий_Форма для B-BB" xfId="438"/>
    <cellStyle name="_КР по предл. филий_Форма для B-BB_бюджет новая форма2" xfId="439"/>
    <cellStyle name="_КР_инвестиции" xfId="440"/>
    <cellStyle name="_КР_инвестиции_ЗапасыЛена2" xfId="441"/>
    <cellStyle name="_КР_инвестиции_ЗапасыЛена2_бюджет новая форма2" xfId="442"/>
    <cellStyle name="_КР_инвестиции_УГПБ_new" xfId="443"/>
    <cellStyle name="_КР_инвестиции_УГПБ_new_бюджет новая форма2" xfId="444"/>
    <cellStyle name="_КР_инвестиции_Форма для B-BB" xfId="445"/>
    <cellStyle name="_КР_инвестиции_Форма для B-BB_бюджет новая форма2" xfId="446"/>
    <cellStyle name="_Крит_деятельности" xfId="447"/>
    <cellStyle name="_Крит_деятельности_ЗапасыЛена2" xfId="448"/>
    <cellStyle name="_Крит_деятельности_ЗапасыЛена2_бюджет новая форма2" xfId="449"/>
    <cellStyle name="_Крит_деятельности_УГПБ_new" xfId="450"/>
    <cellStyle name="_Крит_деятельности_УГПБ_new_бюджет новая форма2" xfId="451"/>
    <cellStyle name="_Крит_деятельности_Форма для B-BB" xfId="452"/>
    <cellStyle name="_Крит_деятельности_Форма для B-BB_бюджет новая форма2" xfId="453"/>
    <cellStyle name="_НАК розпорядження 275(н)" xfId="454"/>
    <cellStyle name="_НАК розпорядження 275(н)_ЗапасыЛена2" xfId="455"/>
    <cellStyle name="_НАК розпорядження 275(н)_ТЕПЛО_ЗАГАЛЬНА_з_01_01_14" xfId="456"/>
    <cellStyle name="_НАК розпорядження 275(н)_ТЕЦ 2013" xfId="457"/>
    <cellStyle name="_НАК розпорядження 275(н)_УГПБ_new" xfId="458"/>
    <cellStyle name="_НАК розпорядження 275(н)_Форма для B-BB" xfId="459"/>
    <cellStyle name="_НТЕЦ_ФП_2008_Мин_корр 26.01" xfId="460"/>
    <cellStyle name="_Облад без кошторису" xfId="461"/>
    <cellStyle name="_Облад без кошторису_ЗапасыЛена2" xfId="462"/>
    <cellStyle name="_Облад без кошторису_УГПБ_new" xfId="463"/>
    <cellStyle name="_Облад без кошторису_Форма для B-BB" xfId="464"/>
    <cellStyle name="_ОДА-2010" xfId="465"/>
    <cellStyle name="_ОДА-2010_ЗапасыЛена2" xfId="466"/>
    <cellStyle name="_ОДА-2010_УГПБ_new" xfId="467"/>
    <cellStyle name="_ОДА-2010_Форма для B-BB" xfId="468"/>
    <cellStyle name="_ОДУ" xfId="469"/>
    <cellStyle name="_ОДУ_ЗапасыЛена2" xfId="470"/>
    <cellStyle name="_ОДУ_ЗапасыЛена2_бюджет новая форма2" xfId="471"/>
    <cellStyle name="_ОДУ_УГПБ_new" xfId="472"/>
    <cellStyle name="_ОДУ_УГПБ_new_бюджет новая форма2" xfId="473"/>
    <cellStyle name="_ОДУ_Форма для B-BB" xfId="474"/>
    <cellStyle name="_ОДУ_Форма для B-BB_бюджет новая форма2" xfId="475"/>
    <cellStyle name="_Отчет по КР КИ травень" xfId="476"/>
    <cellStyle name="_Отчет по КР КИ травень_ЗапасыЛена2" xfId="477"/>
    <cellStyle name="_Отчет по КР КИ травень_УГПБ_new" xfId="478"/>
    <cellStyle name="_Отчет по КР КИ травень_Форма для B-BB" xfId="479"/>
    <cellStyle name="_ПВР 2008 УАГ з ПДВ для УТГ" xfId="480"/>
    <cellStyle name="_ПВР 2008 УАГ з ПДВ для УТГ_ЗапасыЛена2" xfId="481"/>
    <cellStyle name="_ПВР 2008 УАГ з ПДВ для УТГ_УГПБ_new" xfId="482"/>
    <cellStyle name="_ПВР 2008 УАГ з ПДВ для УТГ_Форма для B-BB" xfId="483"/>
    <cellStyle name="_ПереликКР" xfId="484"/>
    <cellStyle name="_ПереликКР_ЗапасыЛена2" xfId="485"/>
    <cellStyle name="_ПереликКР_УГПБ_new" xfId="486"/>
    <cellStyle name="_ПереликКР_Форма для B-BB" xfId="487"/>
    <cellStyle name="_План  кап.рем. кап.інвест на 2008 нова форма" xfId="488"/>
    <cellStyle name="_План  кап.рем. кап.інвест на 2008 нова форма_ЗапасыЛена2" xfId="489"/>
    <cellStyle name="_План  кап.рем. кап.інвест на 2008 нова форма_УГПБ_new" xfId="490"/>
    <cellStyle name="_План  кап.рем. кап.інвест на 2008 нова форма_Форма для B-BB" xfId="491"/>
    <cellStyle name="_План  кап.рем. кварт" xfId="492"/>
    <cellStyle name="_План  кап.рем. кварт_ЗапасыЛена2" xfId="493"/>
    <cellStyle name="_План  кап.рем. кварт_УГПБ_new" xfId="494"/>
    <cellStyle name="_План  кап.рем. кварт_Форма для B-BB" xfId="495"/>
    <cellStyle name="_План 08р.кап.рем. кап.інвест.(на рік) (1)" xfId="496"/>
    <cellStyle name="_План 08р.кап.рем. кап.інвест.(на рік) (1)_ЗапасыЛена2" xfId="497"/>
    <cellStyle name="_План 08р.кап.рем. кап.інвест.(на рік) (1)_УГПБ_new" xfId="498"/>
    <cellStyle name="_План 08р.кап.рем. кап.інвест.(на рік) (1)_Форма для B-BB" xfId="499"/>
    <cellStyle name="_План 08р.кап.рем. кап.інвест.(на рік)-1" xfId="500"/>
    <cellStyle name="_План 08р.кап.рем. кап.інвест.(на рік)-1_ЗапасыЛена2" xfId="501"/>
    <cellStyle name="_План 08р.кап.рем. кап.інвест.(на рік)-1_УГПБ_new" xfId="502"/>
    <cellStyle name="_План 08р.кап.рем. кап.інвест.(на рік)-1_Форма для B-BB" xfId="503"/>
    <cellStyle name="_план 2010" xfId="504"/>
    <cellStyle name="_план 2010_ЗапасыЛена2" xfId="505"/>
    <cellStyle name="_план 2010_УГПБ_new" xfId="506"/>
    <cellStyle name="_план 2010_Форма для B-BB" xfId="507"/>
    <cellStyle name="_План КР (уточн.)" xfId="508"/>
    <cellStyle name="_План КР (уточн.)_ЗапасыЛена2" xfId="509"/>
    <cellStyle name="_План КР (уточн.)_ЗапасыЛена2_бюджет новая форма2" xfId="510"/>
    <cellStyle name="_План КР (уточн.)_УГПБ_new" xfId="511"/>
    <cellStyle name="_План КР (уточн.)_УГПБ_new_бюджет новая форма2" xfId="512"/>
    <cellStyle name="_План КР (уточн.)_Форма для B-BB" xfId="513"/>
    <cellStyle name="_План КР (уточн.)_Форма для B-BB_бюджет новая форма2" xfId="514"/>
    <cellStyle name="_План КР 2007 по ПСГ" xfId="515"/>
    <cellStyle name="_План КР 2007 по ПСГ_ЗапасыЛена2" xfId="516"/>
    <cellStyle name="_План КР 2007 по ПСГ_ЗапасыЛена2_бюджет новая форма2" xfId="517"/>
    <cellStyle name="_План КР 2007 по ПСГ_УГПБ_new" xfId="518"/>
    <cellStyle name="_План КР 2007 по ПСГ_УГПБ_new_бюджет новая форма2" xfId="519"/>
    <cellStyle name="_План КР 2007 по ПСГ_Форма для B-BB" xfId="520"/>
    <cellStyle name="_План КР 2007 по ПСГ_Форма для B-BB_бюджет новая форма2" xfId="521"/>
    <cellStyle name="_План КР 2009 ОДУ" xfId="522"/>
    <cellStyle name="_План КР 2009 ОДУ_ЗапасыЛена2" xfId="523"/>
    <cellStyle name="_План КР 2009 ОДУ_ЗапасыЛена2_бюджет новая форма2" xfId="524"/>
    <cellStyle name="_План КР 2009 ОДУ_УГПБ_new" xfId="525"/>
    <cellStyle name="_План КР 2009 ОДУ_УГПБ_new_бюджет новая форма2" xfId="526"/>
    <cellStyle name="_План КР 2009 ОДУ_Форма для B-BB" xfId="527"/>
    <cellStyle name="_План КР 2009 ОДУ_Форма для B-BB_бюджет новая форма2" xfId="528"/>
    <cellStyle name="_План_УТГ_скориг_свод_12(24.12.09)" xfId="529"/>
    <cellStyle name="_плана кап.инв.2008по ЭГ" xfId="530"/>
    <cellStyle name="_плана кап.инв.2008по ЭГ_ЗапасыЛена2" xfId="531"/>
    <cellStyle name="_плана кап.инв.2008по ЭГ_УГПБ_new" xfId="532"/>
    <cellStyle name="_плана кап.инв.2008по ЭГ_Форма для B-BB" xfId="533"/>
    <cellStyle name="_ПланКІ-2009-ДФК" xfId="534"/>
    <cellStyle name="_ПланКІ-2009-ДФК_ЗапасыЛена2" xfId="535"/>
    <cellStyle name="_ПланКІ-2009-ДФК_ЗапасыЛена2_бюджет новая форма2" xfId="536"/>
    <cellStyle name="_ПланКІ-2009-ДФК_УГПБ_new" xfId="537"/>
    <cellStyle name="_ПланКІ-2009-ДФК_УГПБ_new_бюджет новая форма2" xfId="538"/>
    <cellStyle name="_ПланКІ-2009-ДФК_Форма для B-BB" xfId="539"/>
    <cellStyle name="_ПланКІ-2009-ДФК_Форма для B-BB_бюджет новая форма2" xfId="540"/>
    <cellStyle name="_ПланКІ-2009-ЛТГ" xfId="541"/>
    <cellStyle name="_ПланКІ-2009-ЛТГ_ЗапасыЛена2" xfId="542"/>
    <cellStyle name="_ПланКІ-2009-ЛТГ_ЗапасыЛена2_бюджет новая форма2" xfId="543"/>
    <cellStyle name="_ПланКІ-2009-ЛТГ_УГПБ_new" xfId="544"/>
    <cellStyle name="_ПланКІ-2009-ЛТГ_УГПБ_new_бюджет новая форма2" xfId="545"/>
    <cellStyle name="_ПланКІ-2009-ЛТГ_Форма для B-BB" xfId="546"/>
    <cellStyle name="_ПланКІ-2009-ЛТГ_Форма для B-BB_бюджет новая форма2" xfId="547"/>
    <cellStyle name="_ПланКР-2009-уточ27-07-09" xfId="548"/>
    <cellStyle name="_ПланКР-2009-уточ27-07-09_ЗапасыЛена2" xfId="549"/>
    <cellStyle name="_ПланКР-2009-уточ27-07-09_УГПБ_new" xfId="550"/>
    <cellStyle name="_ПланКР-2009-уточ27-07-09_Форма для B-BB" xfId="551"/>
    <cellStyle name="_ПланКР-2009-уточ27-07-09фин" xfId="552"/>
    <cellStyle name="_ПланКР-2009-уточ27-07-09фин_ЗапасыЛена2" xfId="553"/>
    <cellStyle name="_ПланКР-2009-уточ27-07-09фин_УГПБ_new" xfId="554"/>
    <cellStyle name="_ПланКР-2009-уточ27-07-09фин_Форма для B-BB" xfId="555"/>
    <cellStyle name="_покварт остання" xfId="556"/>
    <cellStyle name="_покварт остання_ЗапасыЛена2" xfId="557"/>
    <cellStyle name="_покварт остання_УГПБ_new" xfId="558"/>
    <cellStyle name="_покварт остання_Форма для B-BB" xfId="559"/>
    <cellStyle name="_покварт)" xfId="560"/>
    <cellStyle name="_покварт)_ЗапасыЛена2" xfId="561"/>
    <cellStyle name="_покварт)_УГПБ_new" xfId="562"/>
    <cellStyle name="_покварт)_Форма для B-BB" xfId="563"/>
    <cellStyle name="_ПРГК сводний_" xfId="564"/>
    <cellStyle name="_Прогр. всіх видів рем. по ПСГ на 08р. ( на 08.11.07р.)." xfId="565"/>
    <cellStyle name="_Прогр. всіх видів рем. по ПСГ на 08р. ( на 08.11.07р.)._бюджет новая форма2" xfId="566"/>
    <cellStyle name="_Ремонти КТГ-2008" xfId="567"/>
    <cellStyle name="_Ремонти КТГ-2008 последние" xfId="568"/>
    <cellStyle name="_Ремонти КТГ-2008 последние_ЗапасыЛена2" xfId="569"/>
    <cellStyle name="_Ремонти КТГ-2008 последние_УГПБ_new" xfId="570"/>
    <cellStyle name="_Ремонти КТГ-2008 последние_Форма для B-BB" xfId="571"/>
    <cellStyle name="_Ремонти КТГ-2008_ЗапасыЛена2" xfId="572"/>
    <cellStyle name="_Ремонти КТГ-2008_УГПБ_new" xfId="573"/>
    <cellStyle name="_Ремонти КТГ-2008_Форма для B-BB" xfId="574"/>
    <cellStyle name="_Свод для плана 2009 ХТГ" xfId="575"/>
    <cellStyle name="_Свод для плана 2009 ХТГ_ЗапасыЛена2" xfId="576"/>
    <cellStyle name="_Свод для плана 2009 ХТГ_ЗапасыЛена2_бюджет новая форма2" xfId="577"/>
    <cellStyle name="_Свод для плана 2009 ХТГ_УГПБ_new" xfId="578"/>
    <cellStyle name="_Свод для плана 2009 ХТГ_УГПБ_new_бюджет новая форма2" xfId="579"/>
    <cellStyle name="_Свод для плана 2009 ХТГ_Форма для B-BB" xfId="580"/>
    <cellStyle name="_Свод для плана 2009 ХТГ_Форма для B-BB_бюджет новая форма2" xfId="581"/>
    <cellStyle name="_Таблиця 2" xfId="582"/>
    <cellStyle name="_Таблиця 2_ЗапасыЛена2" xfId="583"/>
    <cellStyle name="_Таблиця 2_УГПБ_new" xfId="584"/>
    <cellStyle name="_Таблиця 2_Форма для B-BB" xfId="585"/>
    <cellStyle name="_УГПБ Обладн.не вход. кошт.2009 Вестя" xfId="586"/>
    <cellStyle name="_УГПБ Обладн.не вход. кошт.2009 Вестя_ЗапасыЛена2" xfId="587"/>
    <cellStyle name="_УГПБ Обладн.не вход. кошт.2009 Вестя_УГПБ_new" xfId="588"/>
    <cellStyle name="_УГПБ Обладн.не вход. кошт.2009 Вестя_Форма для B-BB" xfId="589"/>
    <cellStyle name="_УТГ" xfId="590"/>
    <cellStyle name="_Філітовій орієнтовно 6 міс" xfId="591"/>
    <cellStyle name="_Філітовій орієнтовно 6 міс_ЗапасыЛена2" xfId="592"/>
    <cellStyle name="_Філітовій орієнтовно 6 міс_ЗапасыЛена2_бюджет новая форма2" xfId="593"/>
    <cellStyle name="_Філітовій орієнтовно 6 міс_УГПБ_new" xfId="594"/>
    <cellStyle name="_Філітовій орієнтовно 6 міс_УГПБ_new_бюджет новая форма2" xfId="595"/>
    <cellStyle name="_Філітовій орієнтовно 6 міс_Форма для B-BB" xfId="596"/>
    <cellStyle name="_Філітовій орієнтовно 6 міс_Форма для B-BB_бюджет новая форма2" xfId="597"/>
    <cellStyle name="_ХТГ довідка." xfId="598"/>
    <cellStyle name="_ХТГ довідка._ЗапасыЛена2" xfId="599"/>
    <cellStyle name="_ХТГ довідка._ЗапасыЛена2_бюджет новая форма2" xfId="600"/>
    <cellStyle name="_ХТГ довідка._УГПБ_new" xfId="601"/>
    <cellStyle name="_ХТГ довідка._УГПБ_new_бюджет новая форма2" xfId="602"/>
    <cellStyle name="_ХТГ довідка._Форма для B-BB" xfId="603"/>
    <cellStyle name="_ХТГ довідка._Форма для B-BB_бюджет новая форма2" xfId="604"/>
    <cellStyle name="_Шаблон_для_заполнения(утг-9 02)" xfId="605"/>
    <cellStyle name="_Шаблон_для_заполнения(утг-9 02)_ЗапасыЛена2" xfId="606"/>
    <cellStyle name="_Шаблон_для_заполнения(утг-9 02)_ЗапасыЛена2_бюджет новая форма2" xfId="607"/>
    <cellStyle name="_Шаблон_для_заполнения(утг-9 02)_УГПБ_new" xfId="608"/>
    <cellStyle name="_Шаблон_для_заполнения(утг-9 02)_УГПБ_new_бюджет новая форма2" xfId="609"/>
    <cellStyle name="_Шаблон_для_заполнения(утг-9 02)_Форма для B-BB" xfId="610"/>
    <cellStyle name="_Шаблон_для_заполнения(утг-9 02)_Форма для B-BB_бюджет новая форма2" xfId="611"/>
    <cellStyle name="20% - Accent1" xfId="9"/>
    <cellStyle name="20% - Accent2" xfId="10"/>
    <cellStyle name="20% - Accent3" xfId="11"/>
    <cellStyle name="20% - Accent4" xfId="12"/>
    <cellStyle name="20% - Accent5" xfId="13"/>
    <cellStyle name="20% - Accent6" xfId="14"/>
    <cellStyle name="20% - Акцент1 2" xfId="15"/>
    <cellStyle name="20% - Акцент1 2 2" xfId="613"/>
    <cellStyle name="20% - Акцент1 2 2 2" xfId="1614"/>
    <cellStyle name="20% - Акцент1 2 3" xfId="614"/>
    <cellStyle name="20% - Акцент1 2 3 2" xfId="1615"/>
    <cellStyle name="20% - Акцент1 2 4" xfId="615"/>
    <cellStyle name="20% - Акцент1 2 5" xfId="616"/>
    <cellStyle name="20% - Акцент1 2 5 2" xfId="1616"/>
    <cellStyle name="20% - Акцент1 2 6" xfId="617"/>
    <cellStyle name="20% - Акцент1 2 6 2" xfId="1617"/>
    <cellStyle name="20% - Акцент1 2 7" xfId="1613"/>
    <cellStyle name="20% - Акцент1 2 8" xfId="612"/>
    <cellStyle name="20% - Акцент1 3" xfId="618"/>
    <cellStyle name="20% - Акцент1 3 2" xfId="1618"/>
    <cellStyle name="20% - Акцент1 4" xfId="619"/>
    <cellStyle name="20% - Акцент1 4 2" xfId="1619"/>
    <cellStyle name="20% - Акцент1 5" xfId="620"/>
    <cellStyle name="20% - Акцент1 5 2" xfId="1620"/>
    <cellStyle name="20% - Акцент1 6" xfId="621"/>
    <cellStyle name="20% - Акцент1 6 2" xfId="1621"/>
    <cellStyle name="20% - Акцент2 2" xfId="16"/>
    <cellStyle name="20% - Акцент2 2 2" xfId="623"/>
    <cellStyle name="20% - Акцент2 2 2 2" xfId="1623"/>
    <cellStyle name="20% - Акцент2 2 3" xfId="624"/>
    <cellStyle name="20% - Акцент2 2 3 2" xfId="1624"/>
    <cellStyle name="20% - Акцент2 2 4" xfId="625"/>
    <cellStyle name="20% - Акцент2 2 5" xfId="626"/>
    <cellStyle name="20% - Акцент2 2 5 2" xfId="1625"/>
    <cellStyle name="20% - Акцент2 2 6" xfId="627"/>
    <cellStyle name="20% - Акцент2 2 6 2" xfId="1626"/>
    <cellStyle name="20% - Акцент2 2 7" xfId="1622"/>
    <cellStyle name="20% - Акцент2 2 8" xfId="622"/>
    <cellStyle name="20% - Акцент2 3" xfId="628"/>
    <cellStyle name="20% - Акцент2 3 2" xfId="1627"/>
    <cellStyle name="20% - Акцент2 4" xfId="629"/>
    <cellStyle name="20% - Акцент2 4 2" xfId="1628"/>
    <cellStyle name="20% - Акцент2 5" xfId="630"/>
    <cellStyle name="20% - Акцент2 5 2" xfId="1629"/>
    <cellStyle name="20% - Акцент2 6" xfId="631"/>
    <cellStyle name="20% - Акцент2 6 2" xfId="1630"/>
    <cellStyle name="20% - Акцент3 2" xfId="17"/>
    <cellStyle name="20% - Акцент3 2 2" xfId="633"/>
    <cellStyle name="20% - Акцент3 2 2 2" xfId="1632"/>
    <cellStyle name="20% - Акцент3 2 3" xfId="634"/>
    <cellStyle name="20% - Акцент3 2 3 2" xfId="1633"/>
    <cellStyle name="20% - Акцент3 2 4" xfId="635"/>
    <cellStyle name="20% - Акцент3 2 5" xfId="636"/>
    <cellStyle name="20% - Акцент3 2 5 2" xfId="1634"/>
    <cellStyle name="20% - Акцент3 2 6" xfId="637"/>
    <cellStyle name="20% - Акцент3 2 6 2" xfId="1635"/>
    <cellStyle name="20% - Акцент3 2 7" xfId="1631"/>
    <cellStyle name="20% - Акцент3 2 8" xfId="632"/>
    <cellStyle name="20% - Акцент3 3" xfId="638"/>
    <cellStyle name="20% - Акцент3 3 2" xfId="1636"/>
    <cellStyle name="20% - Акцент3 4" xfId="639"/>
    <cellStyle name="20% - Акцент3 4 2" xfId="1637"/>
    <cellStyle name="20% - Акцент3 5" xfId="640"/>
    <cellStyle name="20% - Акцент3 5 2" xfId="1638"/>
    <cellStyle name="20% - Акцент4 2" xfId="18"/>
    <cellStyle name="20% - Акцент4 2 2" xfId="642"/>
    <cellStyle name="20% - Акцент4 2 2 2" xfId="1640"/>
    <cellStyle name="20% - Акцент4 2 3" xfId="643"/>
    <cellStyle name="20% - Акцент4 2 3 2" xfId="1641"/>
    <cellStyle name="20% - Акцент4 2 4" xfId="644"/>
    <cellStyle name="20% - Акцент4 2 5" xfId="645"/>
    <cellStyle name="20% - Акцент4 2 5 2" xfId="1642"/>
    <cellStyle name="20% - Акцент4 2 6" xfId="646"/>
    <cellStyle name="20% - Акцент4 2 6 2" xfId="1643"/>
    <cellStyle name="20% - Акцент4 2 7" xfId="1639"/>
    <cellStyle name="20% - Акцент4 2 8" xfId="641"/>
    <cellStyle name="20% - Акцент4 3" xfId="647"/>
    <cellStyle name="20% - Акцент4 3 2" xfId="1644"/>
    <cellStyle name="20% - Акцент4 4" xfId="648"/>
    <cellStyle name="20% - Акцент4 4 2" xfId="1645"/>
    <cellStyle name="20% - Акцент4 5" xfId="649"/>
    <cellStyle name="20% - Акцент4 5 2" xfId="1646"/>
    <cellStyle name="20% - Акцент4 6" xfId="650"/>
    <cellStyle name="20% - Акцент4 6 2" xfId="1647"/>
    <cellStyle name="20% - Акцент5 2" xfId="19"/>
    <cellStyle name="20% - Акцент5 2 2" xfId="652"/>
    <cellStyle name="20% - Акцент5 2 2 2" xfId="1649"/>
    <cellStyle name="20% - Акцент5 2 3" xfId="653"/>
    <cellStyle name="20% - Акцент5 2 3 2" xfId="1650"/>
    <cellStyle name="20% - Акцент5 2 4" xfId="654"/>
    <cellStyle name="20% - Акцент5 2 5" xfId="655"/>
    <cellStyle name="20% - Акцент5 2 5 2" xfId="1651"/>
    <cellStyle name="20% - Акцент5 2 6" xfId="656"/>
    <cellStyle name="20% - Акцент5 2 6 2" xfId="1652"/>
    <cellStyle name="20% - Акцент5 2 7" xfId="1648"/>
    <cellStyle name="20% - Акцент5 2 8" xfId="651"/>
    <cellStyle name="20% - Акцент5 3" xfId="657"/>
    <cellStyle name="20% - Акцент5 3 2" xfId="1653"/>
    <cellStyle name="20% - Акцент5 4" xfId="658"/>
    <cellStyle name="20% - Акцент5 4 2" xfId="1654"/>
    <cellStyle name="20% - Акцент5 5" xfId="659"/>
    <cellStyle name="20% - Акцент5 5 2" xfId="1655"/>
    <cellStyle name="20% - Акцент6 2" xfId="20"/>
    <cellStyle name="20% - Акцент6 2 2" xfId="661"/>
    <cellStyle name="20% - Акцент6 2 2 2" xfId="1657"/>
    <cellStyle name="20% - Акцент6 2 3" xfId="662"/>
    <cellStyle name="20% - Акцент6 2 3 2" xfId="1658"/>
    <cellStyle name="20% - Акцент6 2 4" xfId="663"/>
    <cellStyle name="20% - Акцент6 2 5" xfId="664"/>
    <cellStyle name="20% - Акцент6 2 5 2" xfId="1659"/>
    <cellStyle name="20% - Акцент6 2 6" xfId="665"/>
    <cellStyle name="20% - Акцент6 2 6 2" xfId="1660"/>
    <cellStyle name="20% - Акцент6 2 7" xfId="1656"/>
    <cellStyle name="20% - Акцент6 2 8" xfId="660"/>
    <cellStyle name="20% - Акцент6 3" xfId="666"/>
    <cellStyle name="20% - Акцент6 3 2" xfId="1661"/>
    <cellStyle name="20% - Акцент6 4" xfId="667"/>
    <cellStyle name="20% - Акцент6 4 2" xfId="1662"/>
    <cellStyle name="20% - Акцент6 5" xfId="668"/>
    <cellStyle name="20% - Акцент6 5 2" xfId="1663"/>
    <cellStyle name="20% – Акцентування1" xfId="669"/>
    <cellStyle name="20% – Акцентування1 1" xfId="670"/>
    <cellStyle name="20% – Акцентування1 1 2" xfId="1665"/>
    <cellStyle name="20% – Акцентування1 2" xfId="671"/>
    <cellStyle name="20% – Акцентування1 2 2" xfId="1666"/>
    <cellStyle name="20% – Акцентування1 3" xfId="672"/>
    <cellStyle name="20% – Акцентування1 3 2" xfId="1667"/>
    <cellStyle name="20% – Акцентування1 4" xfId="673"/>
    <cellStyle name="20% – Акцентування1 4 2" xfId="1668"/>
    <cellStyle name="20% – Акцентування1 5" xfId="1664"/>
    <cellStyle name="20% – Акцентування1_ЗапасыЛена2" xfId="674"/>
    <cellStyle name="20% – Акцентування2" xfId="675"/>
    <cellStyle name="20% – Акцентування2 1" xfId="676"/>
    <cellStyle name="20% – Акцентування2 1 2" xfId="1670"/>
    <cellStyle name="20% – Акцентування2 2" xfId="677"/>
    <cellStyle name="20% – Акцентування2 2 2" xfId="1671"/>
    <cellStyle name="20% – Акцентування2 3" xfId="678"/>
    <cellStyle name="20% – Акцентування2 3 2" xfId="1672"/>
    <cellStyle name="20% – Акцентування2 4" xfId="679"/>
    <cellStyle name="20% – Акцентування2 4 2" xfId="1673"/>
    <cellStyle name="20% – Акцентування2 5" xfId="1669"/>
    <cellStyle name="20% – Акцентування2_ЗапасыЛена2" xfId="680"/>
    <cellStyle name="20% – Акцентування3" xfId="681"/>
    <cellStyle name="20% – Акцентування3 1" xfId="682"/>
    <cellStyle name="20% – Акцентування3 1 2" xfId="1675"/>
    <cellStyle name="20% – Акцентування3 2" xfId="683"/>
    <cellStyle name="20% – Акцентування3 2 2" xfId="1676"/>
    <cellStyle name="20% – Акцентування3 3" xfId="684"/>
    <cellStyle name="20% – Акцентування3 3 2" xfId="1677"/>
    <cellStyle name="20% – Акцентування3 4" xfId="685"/>
    <cellStyle name="20% – Акцентування3 4 2" xfId="1678"/>
    <cellStyle name="20% – Акцентування3 5" xfId="1674"/>
    <cellStyle name="20% – Акцентування3_ЗапасыЛена2" xfId="686"/>
    <cellStyle name="20% – Акцентування4" xfId="687"/>
    <cellStyle name="20% – Акцентування4 1" xfId="688"/>
    <cellStyle name="20% – Акцентування4 1 2" xfId="1680"/>
    <cellStyle name="20% – Акцентування4 2" xfId="689"/>
    <cellStyle name="20% – Акцентування4 2 2" xfId="1681"/>
    <cellStyle name="20% – Акцентування4 3" xfId="690"/>
    <cellStyle name="20% – Акцентування4 3 2" xfId="1682"/>
    <cellStyle name="20% – Акцентування4 4" xfId="691"/>
    <cellStyle name="20% – Акцентування4 4 2" xfId="1683"/>
    <cellStyle name="20% – Акцентування4 5" xfId="1679"/>
    <cellStyle name="20% – Акцентування4_ЗапасыЛена2" xfId="692"/>
    <cellStyle name="20% – Акцентування5" xfId="693"/>
    <cellStyle name="20% – Акцентування5 1" xfId="694"/>
    <cellStyle name="20% – Акцентування5 1 2" xfId="1685"/>
    <cellStyle name="20% – Акцентування5 2" xfId="695"/>
    <cellStyle name="20% – Акцентування5 2 2" xfId="1686"/>
    <cellStyle name="20% – Акцентування5 3" xfId="696"/>
    <cellStyle name="20% – Акцентування5 3 2" xfId="1687"/>
    <cellStyle name="20% – Акцентування5 4" xfId="697"/>
    <cellStyle name="20% – Акцентування5 4 2" xfId="1688"/>
    <cellStyle name="20% – Акцентування5 5" xfId="1684"/>
    <cellStyle name="20% – Акцентування5_ЗапасыЛена2" xfId="698"/>
    <cellStyle name="20% – Акцентування6" xfId="699"/>
    <cellStyle name="20% – Акцентування6 1" xfId="700"/>
    <cellStyle name="20% – Акцентування6 1 2" xfId="1690"/>
    <cellStyle name="20% – Акцентування6 2" xfId="701"/>
    <cellStyle name="20% – Акцентування6 2 2" xfId="1691"/>
    <cellStyle name="20% – Акцентування6 3" xfId="702"/>
    <cellStyle name="20% – Акцентування6 3 2" xfId="1692"/>
    <cellStyle name="20% – Акцентування6 4" xfId="703"/>
    <cellStyle name="20% – Акцентування6 4 2" xfId="1693"/>
    <cellStyle name="20% – Акцентування6 5" xfId="1689"/>
    <cellStyle name="20% – Акцентування6_ЗапасыЛена2" xfId="704"/>
    <cellStyle name="40% - Accent1" xfId="21"/>
    <cellStyle name="40% - Accent2" xfId="22"/>
    <cellStyle name="40% - Accent3" xfId="23"/>
    <cellStyle name="40% - Accent4" xfId="24"/>
    <cellStyle name="40% - Accent5" xfId="25"/>
    <cellStyle name="40% - Accent6" xfId="26"/>
    <cellStyle name="40% - Акцент1 2" xfId="27"/>
    <cellStyle name="40% - Акцент1 2 2" xfId="706"/>
    <cellStyle name="40% - Акцент1 2 2 2" xfId="1695"/>
    <cellStyle name="40% - Акцент1 2 3" xfId="707"/>
    <cellStyle name="40% - Акцент1 2 3 2" xfId="1696"/>
    <cellStyle name="40% - Акцент1 2 4" xfId="708"/>
    <cellStyle name="40% - Акцент1 2 5" xfId="709"/>
    <cellStyle name="40% - Акцент1 2 5 2" xfId="1697"/>
    <cellStyle name="40% - Акцент1 2 6" xfId="710"/>
    <cellStyle name="40% - Акцент1 2 6 2" xfId="1698"/>
    <cellStyle name="40% - Акцент1 2 7" xfId="1694"/>
    <cellStyle name="40% - Акцент1 2 8" xfId="705"/>
    <cellStyle name="40% - Акцент1 3" xfId="711"/>
    <cellStyle name="40% - Акцент1 3 2" xfId="1699"/>
    <cellStyle name="40% - Акцент1 4" xfId="712"/>
    <cellStyle name="40% - Акцент1 4 2" xfId="1700"/>
    <cellStyle name="40% - Акцент1 5" xfId="713"/>
    <cellStyle name="40% - Акцент1 5 2" xfId="1701"/>
    <cellStyle name="40% - Акцент1 6" xfId="714"/>
    <cellStyle name="40% - Акцент1 6 2" xfId="1702"/>
    <cellStyle name="40% - Акцент2 2" xfId="28"/>
    <cellStyle name="40% - Акцент2 2 2" xfId="716"/>
    <cellStyle name="40% - Акцент2 2 2 2" xfId="1704"/>
    <cellStyle name="40% - Акцент2 2 3" xfId="717"/>
    <cellStyle name="40% - Акцент2 2 3 2" xfId="1705"/>
    <cellStyle name="40% - Акцент2 2 4" xfId="718"/>
    <cellStyle name="40% - Акцент2 2 5" xfId="1703"/>
    <cellStyle name="40% - Акцент2 2 6" xfId="715"/>
    <cellStyle name="40% - Акцент2 3" xfId="719"/>
    <cellStyle name="40% - Акцент2 3 2" xfId="1706"/>
    <cellStyle name="40% - Акцент2 4" xfId="720"/>
    <cellStyle name="40% - Акцент2 4 2" xfId="1707"/>
    <cellStyle name="40% - Акцент3 2" xfId="29"/>
    <cellStyle name="40% - Акцент3 2 2" xfId="722"/>
    <cellStyle name="40% - Акцент3 2 2 2" xfId="1709"/>
    <cellStyle name="40% - Акцент3 2 3" xfId="723"/>
    <cellStyle name="40% - Акцент3 2 3 2" xfId="1710"/>
    <cellStyle name="40% - Акцент3 2 4" xfId="724"/>
    <cellStyle name="40% - Акцент3 2 5" xfId="725"/>
    <cellStyle name="40% - Акцент3 2 5 2" xfId="1711"/>
    <cellStyle name="40% - Акцент3 2 6" xfId="726"/>
    <cellStyle name="40% - Акцент3 2 6 2" xfId="1712"/>
    <cellStyle name="40% - Акцент3 2 7" xfId="1708"/>
    <cellStyle name="40% - Акцент3 2 8" xfId="721"/>
    <cellStyle name="40% - Акцент3 3" xfId="727"/>
    <cellStyle name="40% - Акцент3 3 2" xfId="1713"/>
    <cellStyle name="40% - Акцент3 4" xfId="728"/>
    <cellStyle name="40% - Акцент3 4 2" xfId="1714"/>
    <cellStyle name="40% - Акцент3 5" xfId="729"/>
    <cellStyle name="40% - Акцент3 5 2" xfId="1715"/>
    <cellStyle name="40% - Акцент4 2" xfId="30"/>
    <cellStyle name="40% - Акцент4 2 2" xfId="731"/>
    <cellStyle name="40% - Акцент4 2 2 2" xfId="1717"/>
    <cellStyle name="40% - Акцент4 2 3" xfId="732"/>
    <cellStyle name="40% - Акцент4 2 3 2" xfId="1718"/>
    <cellStyle name="40% - Акцент4 2 4" xfId="733"/>
    <cellStyle name="40% - Акцент4 2 5" xfId="734"/>
    <cellStyle name="40% - Акцент4 2 5 2" xfId="1719"/>
    <cellStyle name="40% - Акцент4 2 6" xfId="735"/>
    <cellStyle name="40% - Акцент4 2 6 2" xfId="1720"/>
    <cellStyle name="40% - Акцент4 2 7" xfId="1716"/>
    <cellStyle name="40% - Акцент4 2 8" xfId="730"/>
    <cellStyle name="40% - Акцент4 3" xfId="736"/>
    <cellStyle name="40% - Акцент4 3 2" xfId="1721"/>
    <cellStyle name="40% - Акцент4 4" xfId="737"/>
    <cellStyle name="40% - Акцент4 4 2" xfId="1722"/>
    <cellStyle name="40% - Акцент4 5" xfId="738"/>
    <cellStyle name="40% - Акцент4 5 2" xfId="1723"/>
    <cellStyle name="40% - Акцент4 6" xfId="739"/>
    <cellStyle name="40% - Акцент4 6 2" xfId="1724"/>
    <cellStyle name="40% - Акцент5 2" xfId="31"/>
    <cellStyle name="40% - Акцент5 2 2" xfId="741"/>
    <cellStyle name="40% - Акцент5 2 2 2" xfId="1726"/>
    <cellStyle name="40% - Акцент5 2 3" xfId="742"/>
    <cellStyle name="40% - Акцент5 2 3 2" xfId="1727"/>
    <cellStyle name="40% - Акцент5 2 4" xfId="743"/>
    <cellStyle name="40% - Акцент5 2 5" xfId="744"/>
    <cellStyle name="40% - Акцент5 2 5 2" xfId="1728"/>
    <cellStyle name="40% - Акцент5 2 6" xfId="745"/>
    <cellStyle name="40% - Акцент5 2 6 2" xfId="1729"/>
    <cellStyle name="40% - Акцент5 2 7" xfId="1725"/>
    <cellStyle name="40% - Акцент5 2 8" xfId="740"/>
    <cellStyle name="40% - Акцент5 3" xfId="746"/>
    <cellStyle name="40% - Акцент5 3 2" xfId="1730"/>
    <cellStyle name="40% - Акцент5 4" xfId="747"/>
    <cellStyle name="40% - Акцент5 4 2" xfId="1731"/>
    <cellStyle name="40% - Акцент5 5" xfId="748"/>
    <cellStyle name="40% - Акцент5 5 2" xfId="1732"/>
    <cellStyle name="40% - Акцент6 2" xfId="32"/>
    <cellStyle name="40% - Акцент6 2 2" xfId="750"/>
    <cellStyle name="40% - Акцент6 2 2 2" xfId="1734"/>
    <cellStyle name="40% - Акцент6 2 3" xfId="751"/>
    <cellStyle name="40% - Акцент6 2 3 2" xfId="1735"/>
    <cellStyle name="40% - Акцент6 2 4" xfId="752"/>
    <cellStyle name="40% - Акцент6 2 5" xfId="753"/>
    <cellStyle name="40% - Акцент6 2 5 2" xfId="1736"/>
    <cellStyle name="40% - Акцент6 2 6" xfId="754"/>
    <cellStyle name="40% - Акцент6 2 6 2" xfId="1737"/>
    <cellStyle name="40% - Акцент6 2 7" xfId="1733"/>
    <cellStyle name="40% - Акцент6 2 8" xfId="749"/>
    <cellStyle name="40% - Акцент6 3" xfId="755"/>
    <cellStyle name="40% - Акцент6 3 2" xfId="1738"/>
    <cellStyle name="40% - Акцент6 4" xfId="756"/>
    <cellStyle name="40% - Акцент6 4 2" xfId="1739"/>
    <cellStyle name="40% - Акцент6 5" xfId="757"/>
    <cellStyle name="40% - Акцент6 5 2" xfId="1740"/>
    <cellStyle name="40% - Акцент6 6" xfId="758"/>
    <cellStyle name="40% - Акцент6 6 2" xfId="1741"/>
    <cellStyle name="40% – Акцентування1" xfId="759"/>
    <cellStyle name="40% – Акцентування1 1" xfId="760"/>
    <cellStyle name="40% – Акцентування1 1 2" xfId="1743"/>
    <cellStyle name="40% – Акцентування1 2" xfId="761"/>
    <cellStyle name="40% – Акцентування1 2 2" xfId="1744"/>
    <cellStyle name="40% – Акцентування1 3" xfId="762"/>
    <cellStyle name="40% – Акцентування1 3 2" xfId="1745"/>
    <cellStyle name="40% – Акцентування1 4" xfId="763"/>
    <cellStyle name="40% – Акцентування1 4 2" xfId="1746"/>
    <cellStyle name="40% – Акцентування1 5" xfId="1742"/>
    <cellStyle name="40% – Акцентування1_ЗапасыЛена2" xfId="764"/>
    <cellStyle name="40% – Акцентування2" xfId="765"/>
    <cellStyle name="40% – Акцентування2 1" xfId="766"/>
    <cellStyle name="40% – Акцентування2 1 2" xfId="1748"/>
    <cellStyle name="40% – Акцентування2 2" xfId="767"/>
    <cellStyle name="40% – Акцентування2 2 2" xfId="1749"/>
    <cellStyle name="40% – Акцентування2 3" xfId="768"/>
    <cellStyle name="40% – Акцентування2 3 2" xfId="1750"/>
    <cellStyle name="40% – Акцентування2 4" xfId="769"/>
    <cellStyle name="40% – Акцентування2 4 2" xfId="1751"/>
    <cellStyle name="40% – Акцентування2 5" xfId="1747"/>
    <cellStyle name="40% – Акцентування2_ЗапасыЛена2" xfId="770"/>
    <cellStyle name="40% – Акцентування3" xfId="771"/>
    <cellStyle name="40% – Акцентування3 1" xfId="772"/>
    <cellStyle name="40% – Акцентування3 1 2" xfId="1753"/>
    <cellStyle name="40% – Акцентування3 2" xfId="773"/>
    <cellStyle name="40% – Акцентування3 2 2" xfId="1754"/>
    <cellStyle name="40% – Акцентування3 3" xfId="774"/>
    <cellStyle name="40% – Акцентування3 3 2" xfId="1755"/>
    <cellStyle name="40% – Акцентування3 4" xfId="775"/>
    <cellStyle name="40% – Акцентування3 4 2" xfId="1756"/>
    <cellStyle name="40% – Акцентування3 5" xfId="1752"/>
    <cellStyle name="40% – Акцентування3_ЗапасыЛена2" xfId="776"/>
    <cellStyle name="40% – Акцентування4" xfId="777"/>
    <cellStyle name="40% – Акцентування4 1" xfId="778"/>
    <cellStyle name="40% – Акцентування4 1 2" xfId="1758"/>
    <cellStyle name="40% – Акцентування4 2" xfId="779"/>
    <cellStyle name="40% – Акцентування4 2 2" xfId="1759"/>
    <cellStyle name="40% – Акцентування4 3" xfId="780"/>
    <cellStyle name="40% – Акцентування4 3 2" xfId="1760"/>
    <cellStyle name="40% – Акцентування4 4" xfId="781"/>
    <cellStyle name="40% – Акцентування4 4 2" xfId="1761"/>
    <cellStyle name="40% – Акцентування4 5" xfId="1757"/>
    <cellStyle name="40% – Акцентування4_ЗапасыЛена2" xfId="782"/>
    <cellStyle name="40% – Акцентування5" xfId="783"/>
    <cellStyle name="40% – Акцентування5 1" xfId="784"/>
    <cellStyle name="40% – Акцентування5 1 2" xfId="1763"/>
    <cellStyle name="40% – Акцентування5 2" xfId="785"/>
    <cellStyle name="40% – Акцентування5 2 2" xfId="1764"/>
    <cellStyle name="40% – Акцентування5 3" xfId="786"/>
    <cellStyle name="40% – Акцентування5 3 2" xfId="1765"/>
    <cellStyle name="40% – Акцентування5 4" xfId="787"/>
    <cellStyle name="40% – Акцентування5 4 2" xfId="1766"/>
    <cellStyle name="40% – Акцентування5 5" xfId="1762"/>
    <cellStyle name="40% – Акцентування5_ЗапасыЛена2" xfId="788"/>
    <cellStyle name="40% – Акцентування6" xfId="789"/>
    <cellStyle name="40% – Акцентування6 1" xfId="790"/>
    <cellStyle name="40% – Акцентування6 1 2" xfId="1768"/>
    <cellStyle name="40% – Акцентування6 2" xfId="791"/>
    <cellStyle name="40% – Акцентування6 2 2" xfId="1769"/>
    <cellStyle name="40% – Акцентування6 3" xfId="792"/>
    <cellStyle name="40% – Акцентування6 3 2" xfId="1770"/>
    <cellStyle name="40% – Акцентування6 4" xfId="793"/>
    <cellStyle name="40% – Акцентування6 4 2" xfId="1771"/>
    <cellStyle name="40% – Акцентування6 5" xfId="1767"/>
    <cellStyle name="40% – Акцентування6_ЗапасыЛена2" xfId="794"/>
    <cellStyle name="60% - Accent1" xfId="33"/>
    <cellStyle name="60% - Accent2" xfId="34"/>
    <cellStyle name="60% - Accent3" xfId="35"/>
    <cellStyle name="60% - Accent4" xfId="36"/>
    <cellStyle name="60% - Accent5" xfId="37"/>
    <cellStyle name="60% - Accent6" xfId="38"/>
    <cellStyle name="60% - Акцент1 2" xfId="39"/>
    <cellStyle name="60% - Акцент1 2 2" xfId="796"/>
    <cellStyle name="60% - Акцент1 2 3" xfId="797"/>
    <cellStyle name="60% - Акцент1 2 4" xfId="798"/>
    <cellStyle name="60% - Акцент1 2 5" xfId="799"/>
    <cellStyle name="60% - Акцент1 2 6" xfId="795"/>
    <cellStyle name="60% - Акцент1 2 7" xfId="2162"/>
    <cellStyle name="60% - Акцент1 3" xfId="800"/>
    <cellStyle name="60% - Акцент1 4" xfId="801"/>
    <cellStyle name="60% - Акцент1 5" xfId="802"/>
    <cellStyle name="60% - Акцент2 2" xfId="40"/>
    <cellStyle name="60% - Акцент2 2 2" xfId="804"/>
    <cellStyle name="60% - Акцент2 2 3" xfId="805"/>
    <cellStyle name="60% - Акцент2 2 4" xfId="803"/>
    <cellStyle name="60% - Акцент2 2 5" xfId="2161"/>
    <cellStyle name="60% - Акцент2 3" xfId="806"/>
    <cellStyle name="60% - Акцент2 4" xfId="807"/>
    <cellStyle name="60% - Акцент3 2" xfId="41"/>
    <cellStyle name="60% - Акцент3 2 2" xfId="809"/>
    <cellStyle name="60% - Акцент3 2 3" xfId="810"/>
    <cellStyle name="60% - Акцент3 2 4" xfId="811"/>
    <cellStyle name="60% - Акцент3 2 5" xfId="812"/>
    <cellStyle name="60% - Акцент3 2 6" xfId="808"/>
    <cellStyle name="60% - Акцент3 2 7" xfId="2160"/>
    <cellStyle name="60% - Акцент3 3" xfId="813"/>
    <cellStyle name="60% - Акцент3 4" xfId="814"/>
    <cellStyle name="60% - Акцент3 5" xfId="815"/>
    <cellStyle name="60% - Акцент4 2" xfId="42"/>
    <cellStyle name="60% - Акцент4 2 2" xfId="817"/>
    <cellStyle name="60% - Акцент4 2 3" xfId="818"/>
    <cellStyle name="60% - Акцент4 2 4" xfId="819"/>
    <cellStyle name="60% - Акцент4 2 5" xfId="820"/>
    <cellStyle name="60% - Акцент4 2 6" xfId="816"/>
    <cellStyle name="60% - Акцент4 2 7" xfId="2159"/>
    <cellStyle name="60% - Акцент4 3" xfId="821"/>
    <cellStyle name="60% - Акцент4 4" xfId="822"/>
    <cellStyle name="60% - Акцент4 5" xfId="823"/>
    <cellStyle name="60% - Акцент4 6" xfId="824"/>
    <cellStyle name="60% - Акцент5 2" xfId="43"/>
    <cellStyle name="60% - Акцент5 2 2" xfId="826"/>
    <cellStyle name="60% - Акцент5 2 3" xfId="827"/>
    <cellStyle name="60% - Акцент5 2 4" xfId="825"/>
    <cellStyle name="60% - Акцент5 2 5" xfId="2158"/>
    <cellStyle name="60% - Акцент5 3" xfId="828"/>
    <cellStyle name="60% - Акцент5 4" xfId="829"/>
    <cellStyle name="60% - Акцент6 2" xfId="44"/>
    <cellStyle name="60% - Акцент6 2 2" xfId="831"/>
    <cellStyle name="60% - Акцент6 2 3" xfId="832"/>
    <cellStyle name="60% - Акцент6 2 4" xfId="833"/>
    <cellStyle name="60% - Акцент6 2 5" xfId="834"/>
    <cellStyle name="60% - Акцент6 2 6" xfId="830"/>
    <cellStyle name="60% - Акцент6 2 7" xfId="2157"/>
    <cellStyle name="60% - Акцент6 3" xfId="835"/>
    <cellStyle name="60% - Акцент6 4" xfId="836"/>
    <cellStyle name="60% - Акцент6 5" xfId="837"/>
    <cellStyle name="60% - Акцент6 6" xfId="838"/>
    <cellStyle name="60% – Акцентування1" xfId="839"/>
    <cellStyle name="60% – Акцентування1 1" xfId="840"/>
    <cellStyle name="60% – Акцентування1 2" xfId="841"/>
    <cellStyle name="60% – Акцентування1 3" xfId="842"/>
    <cellStyle name="60% – Акцентування1 4" xfId="843"/>
    <cellStyle name="60% – Акцентування1_ЗапасыЛена2" xfId="844"/>
    <cellStyle name="60% – Акцентування2" xfId="845"/>
    <cellStyle name="60% – Акцентування2 1" xfId="846"/>
    <cellStyle name="60% – Акцентування2 2" xfId="847"/>
    <cellStyle name="60% – Акцентування2 3" xfId="848"/>
    <cellStyle name="60% – Акцентування2 4" xfId="849"/>
    <cellStyle name="60% – Акцентування2_ЗапасыЛена2" xfId="850"/>
    <cellStyle name="60% – Акцентування3" xfId="851"/>
    <cellStyle name="60% – Акцентування3 1" xfId="852"/>
    <cellStyle name="60% – Акцентування3 2" xfId="853"/>
    <cellStyle name="60% – Акцентування3 3" xfId="854"/>
    <cellStyle name="60% – Акцентування3 4" xfId="855"/>
    <cellStyle name="60% – Акцентування3_ЗапасыЛена2" xfId="856"/>
    <cellStyle name="60% – Акцентування4" xfId="857"/>
    <cellStyle name="60% – Акцентування4 1" xfId="858"/>
    <cellStyle name="60% – Акцентування4 2" xfId="859"/>
    <cellStyle name="60% – Акцентування4 3" xfId="860"/>
    <cellStyle name="60% – Акцентування4 4" xfId="861"/>
    <cellStyle name="60% – Акцентування4_ЗапасыЛена2" xfId="862"/>
    <cellStyle name="60% – Акцентування5" xfId="863"/>
    <cellStyle name="60% – Акцентування5 1" xfId="864"/>
    <cellStyle name="60% – Акцентування5 2" xfId="865"/>
    <cellStyle name="60% – Акцентування5 3" xfId="866"/>
    <cellStyle name="60% – Акцентування5 4" xfId="867"/>
    <cellStyle name="60% – Акцентування5_ЗапасыЛена2" xfId="868"/>
    <cellStyle name="60% – Акцентування6" xfId="869"/>
    <cellStyle name="60% – Акцентування6 1" xfId="870"/>
    <cellStyle name="60% – Акцентування6 2" xfId="871"/>
    <cellStyle name="60% – Акцентування6 3" xfId="872"/>
    <cellStyle name="60% – Акцентування6 4" xfId="873"/>
    <cellStyle name="60% – Акцентування6_ЗапасыЛена2" xfId="874"/>
    <cellStyle name="Accent" xfId="227"/>
    <cellStyle name="Accent 1" xfId="228"/>
    <cellStyle name="Accent 1 2" xfId="229"/>
    <cellStyle name="Accent 1 2 2" xfId="875"/>
    <cellStyle name="Accent 2" xfId="230"/>
    <cellStyle name="Accent 2 2" xfId="231"/>
    <cellStyle name="Accent 2 2 2" xfId="876"/>
    <cellStyle name="Accent 3" xfId="232"/>
    <cellStyle name="Accent 3 2" xfId="233"/>
    <cellStyle name="Accent 3 2 2" xfId="877"/>
    <cellStyle name="Accent 4" xfId="234"/>
    <cellStyle name="Accent 4 2" xfId="878"/>
    <cellStyle name="Accent1" xfId="45"/>
    <cellStyle name="Accent2" xfId="46"/>
    <cellStyle name="Accent3" xfId="47"/>
    <cellStyle name="Accent4" xfId="48"/>
    <cellStyle name="Accent5" xfId="49"/>
    <cellStyle name="Accent6" xfId="50"/>
    <cellStyle name="Bad" xfId="51"/>
    <cellStyle name="Bad 2" xfId="236"/>
    <cellStyle name="Bad 2 2" xfId="879"/>
    <cellStyle name="Bad 3" xfId="235"/>
    <cellStyle name="Bad 4" xfId="880"/>
    <cellStyle name="Border" xfId="881"/>
    <cellStyle name="Border 2" xfId="1895"/>
    <cellStyle name="Calc Currency (0)" xfId="882"/>
    <cellStyle name="Calc Currency (2)" xfId="883"/>
    <cellStyle name="Calc Percent (0)" xfId="884"/>
    <cellStyle name="Calc Percent (1)" xfId="885"/>
    <cellStyle name="Calc Percent (2)" xfId="886"/>
    <cellStyle name="Calc Units (0)" xfId="887"/>
    <cellStyle name="Calc Units (1)" xfId="888"/>
    <cellStyle name="Calc Units (2)" xfId="889"/>
    <cellStyle name="Calculation" xfId="52"/>
    <cellStyle name="Calculation 2" xfId="216"/>
    <cellStyle name="Calculation 2 2" xfId="1897"/>
    <cellStyle name="Calculation 3" xfId="1896"/>
    <cellStyle name="Check Cell" xfId="53"/>
    <cellStyle name="Column-Header" xfId="890"/>
    <cellStyle name="Comma" xfId="891"/>
    <cellStyle name="Comma [0]_#6 Temps &amp; Contractors" xfId="892"/>
    <cellStyle name="Comma [00]" xfId="893"/>
    <cellStyle name="Comma 10" xfId="894"/>
    <cellStyle name="Comma 11" xfId="895"/>
    <cellStyle name="Comma 12" xfId="896"/>
    <cellStyle name="Comma 2" xfId="2"/>
    <cellStyle name="Comma 2 2" xfId="897"/>
    <cellStyle name="Comma 2 2 2" xfId="898"/>
    <cellStyle name="Comma 2 3" xfId="899"/>
    <cellStyle name="Comma 2 4" xfId="900"/>
    <cellStyle name="Comma 2 5" xfId="901"/>
    <cellStyle name="Comma 2 6" xfId="902"/>
    <cellStyle name="Comma 3" xfId="903"/>
    <cellStyle name="Comma 3 2" xfId="904"/>
    <cellStyle name="Comma 4" xfId="905"/>
    <cellStyle name="Comma 4 2" xfId="906"/>
    <cellStyle name="Comma 5" xfId="907"/>
    <cellStyle name="Comma 5 2" xfId="908"/>
    <cellStyle name="Comma 6" xfId="909"/>
    <cellStyle name="Comma 6 2" xfId="910"/>
    <cellStyle name="Comma 7" xfId="911"/>
    <cellStyle name="Comma 7 2" xfId="912"/>
    <cellStyle name="Comma 8" xfId="913"/>
    <cellStyle name="Comma 8 2" xfId="914"/>
    <cellStyle name="Comma 9" xfId="915"/>
    <cellStyle name="Comma_#6 Temps &amp; Contractors" xfId="916"/>
    <cellStyle name="Comma0" xfId="917"/>
    <cellStyle name="Currency [0]_#6 Temps &amp; Contractors" xfId="918"/>
    <cellStyle name="Currency [00]" xfId="919"/>
    <cellStyle name="Currency_#6 Temps &amp; Contractors" xfId="920"/>
    <cellStyle name="Currency0" xfId="921"/>
    <cellStyle name="Date" xfId="922"/>
    <cellStyle name="Date Short" xfId="923"/>
    <cellStyle name="Define-Column" xfId="924"/>
    <cellStyle name="Dezimal [0]_laroux" xfId="925"/>
    <cellStyle name="Dezimal_laroux" xfId="926"/>
    <cellStyle name="Enter Currency (0)" xfId="927"/>
    <cellStyle name="Enter Currency (2)" xfId="928"/>
    <cellStyle name="Enter Units (0)" xfId="929"/>
    <cellStyle name="Enter Units (1)" xfId="930"/>
    <cellStyle name="Enter Units (2)" xfId="931"/>
    <cellStyle name="Error" xfId="237"/>
    <cellStyle name="Error 2" xfId="238"/>
    <cellStyle name="Error 2 2" xfId="932"/>
    <cellStyle name="Euro" xfId="933"/>
    <cellStyle name="Excel Built-in Normal" xfId="54"/>
    <cellStyle name="Excel Built-in Normal 2" xfId="934"/>
    <cellStyle name="Excel Built-in Normal 2 2" xfId="1775"/>
    <cellStyle name="Excel Built-in Normal 3" xfId="1774"/>
    <cellStyle name="Explanatory Text" xfId="55"/>
    <cellStyle name="Footnote" xfId="239"/>
    <cellStyle name="Footnote 2" xfId="240"/>
    <cellStyle name="Footnote 2 2" xfId="935"/>
    <cellStyle name="From" xfId="936"/>
    <cellStyle name="FS10" xfId="937"/>
    <cellStyle name="Good" xfId="56"/>
    <cellStyle name="Good 2" xfId="242"/>
    <cellStyle name="Good 2 2" xfId="938"/>
    <cellStyle name="Good 3" xfId="241"/>
    <cellStyle name="Good 4" xfId="939"/>
    <cellStyle name="Grey" xfId="940"/>
    <cellStyle name="Header1" xfId="941"/>
    <cellStyle name="Header1 2" xfId="942"/>
    <cellStyle name="Header1 2 2" xfId="943"/>
    <cellStyle name="Header1 3" xfId="944"/>
    <cellStyle name="Header1 3 2" xfId="945"/>
    <cellStyle name="Header1 4" xfId="946"/>
    <cellStyle name="Header2" xfId="947"/>
    <cellStyle name="Heading" xfId="243"/>
    <cellStyle name="Heading 1" xfId="57"/>
    <cellStyle name="Heading 1 2" xfId="245"/>
    <cellStyle name="Heading 1 2 2" xfId="948"/>
    <cellStyle name="Heading 1 3" xfId="244"/>
    <cellStyle name="Heading 1 4" xfId="949"/>
    <cellStyle name="Heading 2" xfId="58"/>
    <cellStyle name="Heading 2 2" xfId="247"/>
    <cellStyle name="Heading 2 2 2" xfId="950"/>
    <cellStyle name="Heading 2 3" xfId="246"/>
    <cellStyle name="Heading 2 4" xfId="951"/>
    <cellStyle name="Heading 3" xfId="59"/>
    <cellStyle name="Heading 3 2" xfId="248"/>
    <cellStyle name="Heading 3 3" xfId="952"/>
    <cellStyle name="Heading 4" xfId="60"/>
    <cellStyle name="highlight" xfId="953"/>
    <cellStyle name="Hyperlink 2" xfId="954"/>
    <cellStyle name="Iau?iue" xfId="955"/>
    <cellStyle name="Input" xfId="61"/>
    <cellStyle name="Input [yellow]" xfId="956"/>
    <cellStyle name="Input 2" xfId="217"/>
    <cellStyle name="Input 2 2" xfId="1899"/>
    <cellStyle name="Input 3" xfId="1898"/>
    <cellStyle name="Input 4" xfId="2156"/>
    <cellStyle name="Input 5" xfId="2170"/>
    <cellStyle name="Input 6" xfId="2168"/>
    <cellStyle name="Level0" xfId="957"/>
    <cellStyle name="Level0 2" xfId="958"/>
    <cellStyle name="Level0 3" xfId="959"/>
    <cellStyle name="Level0 4" xfId="960"/>
    <cellStyle name="Level0_Директор 2011-Шаблон" xfId="961"/>
    <cellStyle name="Level1" xfId="962"/>
    <cellStyle name="Level1-Numbers" xfId="963"/>
    <cellStyle name="Level1-Numbers-Hide" xfId="964"/>
    <cellStyle name="Level2" xfId="965"/>
    <cellStyle name="Level2-Hide" xfId="966"/>
    <cellStyle name="Level2-Numbers" xfId="967"/>
    <cellStyle name="Level2-Numbers-Hide" xfId="968"/>
    <cellStyle name="Level3" xfId="969"/>
    <cellStyle name="Level3-Hide" xfId="970"/>
    <cellStyle name="Level3-Numbers" xfId="971"/>
    <cellStyle name="Level3-Numbers-Hide" xfId="972"/>
    <cellStyle name="Level4" xfId="973"/>
    <cellStyle name="Level4-Hide" xfId="974"/>
    <cellStyle name="Level4-Numbers" xfId="975"/>
    <cellStyle name="Level4-Numbers-Hide" xfId="976"/>
    <cellStyle name="Level5" xfId="977"/>
    <cellStyle name="Level5-Hide" xfId="978"/>
    <cellStyle name="Level5-Numbers" xfId="979"/>
    <cellStyle name="Level5-Numbers-Hide" xfId="980"/>
    <cellStyle name="Level6" xfId="981"/>
    <cellStyle name="Level6-Hide" xfId="982"/>
    <cellStyle name="Level6-Numbers" xfId="983"/>
    <cellStyle name="Level7" xfId="984"/>
    <cellStyle name="Level7-Hide" xfId="985"/>
    <cellStyle name="Level7-Numbers" xfId="986"/>
    <cellStyle name="Link Currency (0)" xfId="987"/>
    <cellStyle name="Link Currency (2)" xfId="988"/>
    <cellStyle name="Link Units (0)" xfId="989"/>
    <cellStyle name="Link Units (1)" xfId="990"/>
    <cellStyle name="Link Units (2)" xfId="991"/>
    <cellStyle name="Linked Cell" xfId="62"/>
    <cellStyle name="Milliers [0]_laroux" xfId="992"/>
    <cellStyle name="Milliers_laroux" xfId="993"/>
    <cellStyle name="Neutral" xfId="63"/>
    <cellStyle name="Neutral 2" xfId="250"/>
    <cellStyle name="Neutral 2 2" xfId="994"/>
    <cellStyle name="Neutral 3" xfId="249"/>
    <cellStyle name="Neutral 4" xfId="995"/>
    <cellStyle name="normal" xfId="996"/>
    <cellStyle name="Normal - Style1" xfId="997"/>
    <cellStyle name="Normal 2" xfId="998"/>
    <cellStyle name="Normal_# 41-Market &amp;Trends" xfId="999"/>
    <cellStyle name="normalPercent" xfId="1000"/>
    <cellStyle name="nornPercent" xfId="1001"/>
    <cellStyle name="Note" xfId="64"/>
    <cellStyle name="Note 2" xfId="218"/>
    <cellStyle name="Note 2 2" xfId="252"/>
    <cellStyle name="Note 2 2 2" xfId="1902"/>
    <cellStyle name="Note 2 3" xfId="1002"/>
    <cellStyle name="Note 2 3 2" xfId="1903"/>
    <cellStyle name="Note 2 4" xfId="1901"/>
    <cellStyle name="Note 3" xfId="251"/>
    <cellStyle name="Note 3 2" xfId="1904"/>
    <cellStyle name="Note 4" xfId="1003"/>
    <cellStyle name="Note 4 2" xfId="1905"/>
    <cellStyle name="Note 5" xfId="1900"/>
    <cellStyle name="Number-Cells" xfId="1004"/>
    <cellStyle name="Number-Cells-Column2" xfId="1005"/>
    <cellStyle name="Number-Cells-Column5" xfId="1006"/>
    <cellStyle name="Output" xfId="65"/>
    <cellStyle name="Output 2" xfId="219"/>
    <cellStyle name="Output 2 2" xfId="1893"/>
    <cellStyle name="Output 3" xfId="1894"/>
    <cellStyle name="Percent [0]" xfId="1007"/>
    <cellStyle name="Percent [00]" xfId="1008"/>
    <cellStyle name="Percent [2]" xfId="1009"/>
    <cellStyle name="Percent_#6 Temps &amp; Contractors" xfId="1010"/>
    <cellStyle name="PrePop Currency (0)" xfId="1011"/>
    <cellStyle name="PrePop Currency (2)" xfId="1012"/>
    <cellStyle name="PrePop Units (0)" xfId="1013"/>
    <cellStyle name="PrePop Units (1)" xfId="1014"/>
    <cellStyle name="PrePop Units (2)" xfId="1015"/>
    <cellStyle name="Row-Header" xfId="1016"/>
    <cellStyle name="S4" xfId="1017"/>
    <cellStyle name="S4 2" xfId="1018"/>
    <cellStyle name="S4 3" xfId="1019"/>
    <cellStyle name="S7" xfId="1020"/>
    <cellStyle name="S7 2" xfId="1021"/>
    <cellStyle name="S7 3" xfId="1022"/>
    <cellStyle name="Status" xfId="253"/>
    <cellStyle name="Status 2" xfId="254"/>
    <cellStyle name="Status_Лора  Річний план_ шаблон_30.10.17" xfId="1023"/>
    <cellStyle name="TableStyleLight1" xfId="263"/>
    <cellStyle name="TableStyleLight1 2" xfId="1024"/>
    <cellStyle name="TableStyleLight1 3" xfId="1025"/>
    <cellStyle name="Text" xfId="255"/>
    <cellStyle name="Text 2" xfId="256"/>
    <cellStyle name="Text 3" xfId="1027"/>
    <cellStyle name="Text 4" xfId="1028"/>
    <cellStyle name="Text 5" xfId="1026"/>
    <cellStyle name="Text Indent A" xfId="1029"/>
    <cellStyle name="Text Indent B" xfId="1030"/>
    <cellStyle name="Text Indent C" xfId="1031"/>
    <cellStyle name="Text_Лора  Річний план_ шаблон_30.10.17" xfId="1032"/>
    <cellStyle name="Title" xfId="66"/>
    <cellStyle name="Total" xfId="67"/>
    <cellStyle name="Total 2" xfId="220"/>
    <cellStyle name="Total 2 2" xfId="1891"/>
    <cellStyle name="Total 3" xfId="1892"/>
    <cellStyle name="Tytuі" xfId="1033"/>
    <cellStyle name="Tytuі 2" xfId="1034"/>
    <cellStyle name="Tytuі 3" xfId="1035"/>
    <cellStyle name="vb-rynok" xfId="1036"/>
    <cellStyle name="Währung [0]_RESULTS" xfId="1037"/>
    <cellStyle name="Währung_RESULTS" xfId="1038"/>
    <cellStyle name="Warning" xfId="257"/>
    <cellStyle name="Warning 2" xfId="258"/>
    <cellStyle name="Warning 2 2" xfId="1039"/>
    <cellStyle name="Warning Text" xfId="68"/>
    <cellStyle name="Акцент1 2" xfId="69"/>
    <cellStyle name="Акцент1 2 2" xfId="1040"/>
    <cellStyle name="Акцент1 2 3" xfId="1041"/>
    <cellStyle name="Акцент1 2 4" xfId="1042"/>
    <cellStyle name="Акцент1 2 5" xfId="1043"/>
    <cellStyle name="Акцент1 3" xfId="1044"/>
    <cellStyle name="Акцент1 4" xfId="1045"/>
    <cellStyle name="Акцент1 5" xfId="1046"/>
    <cellStyle name="Акцент1 6" xfId="1047"/>
    <cellStyle name="Акцент2 2" xfId="70"/>
    <cellStyle name="Акцент2 2 2" xfId="1048"/>
    <cellStyle name="Акцент2 2 3" xfId="1049"/>
    <cellStyle name="Акцент2 2 4" xfId="1050"/>
    <cellStyle name="Акцент2 2 5" xfId="1051"/>
    <cellStyle name="Акцент2 3" xfId="1052"/>
    <cellStyle name="Акцент2 4" xfId="1053"/>
    <cellStyle name="Акцент2 5" xfId="1054"/>
    <cellStyle name="Акцент2 6" xfId="1055"/>
    <cellStyle name="Акцент3 2" xfId="71"/>
    <cellStyle name="Акцент3 2 2" xfId="1056"/>
    <cellStyle name="Акцент3 2 3" xfId="1057"/>
    <cellStyle name="Акцент3 2 4" xfId="1058"/>
    <cellStyle name="Акцент3 3" xfId="1059"/>
    <cellStyle name="Акцент3 4" xfId="1060"/>
    <cellStyle name="Акцент3 5" xfId="1061"/>
    <cellStyle name="Акцент4 2" xfId="72"/>
    <cellStyle name="Акцент4 2 2" xfId="1062"/>
    <cellStyle name="Акцент4 2 3" xfId="1063"/>
    <cellStyle name="Акцент4 2 4" xfId="1064"/>
    <cellStyle name="Акцент4 2 5" xfId="1065"/>
    <cellStyle name="Акцент4 3" xfId="1066"/>
    <cellStyle name="Акцент4 4" xfId="1067"/>
    <cellStyle name="Акцент4 5" xfId="1068"/>
    <cellStyle name="Акцент4 6" xfId="1069"/>
    <cellStyle name="Акцент5 2" xfId="73"/>
    <cellStyle name="Акцент5 2 2" xfId="1070"/>
    <cellStyle name="Акцент5 2 3" xfId="1071"/>
    <cellStyle name="Акцент5 2 4" xfId="1072"/>
    <cellStyle name="Акцент5 3" xfId="1073"/>
    <cellStyle name="Акцент5 4" xfId="1074"/>
    <cellStyle name="Акцент5 5" xfId="1075"/>
    <cellStyle name="Акцент6 2" xfId="74"/>
    <cellStyle name="Акцент6 2 2" xfId="1076"/>
    <cellStyle name="Акцент6 2 3" xfId="1077"/>
    <cellStyle name="Акцент6 2 4" xfId="1078"/>
    <cellStyle name="Акцент6 3" xfId="1079"/>
    <cellStyle name="Акцент6 4" xfId="1080"/>
    <cellStyle name="Акцент6 5" xfId="1081"/>
    <cellStyle name="Акцентування1" xfId="1082"/>
    <cellStyle name="Акцентування1 1" xfId="1083"/>
    <cellStyle name="Акцентування1 2" xfId="1084"/>
    <cellStyle name="Акцентування1 3" xfId="1085"/>
    <cellStyle name="Акцентування1 4" xfId="1086"/>
    <cellStyle name="Акцентування1_ЗапасыЛена2" xfId="1087"/>
    <cellStyle name="Акцентування2" xfId="1088"/>
    <cellStyle name="Акцентування2 1" xfId="1089"/>
    <cellStyle name="Акцентування2 2" xfId="1090"/>
    <cellStyle name="Акцентування2 3" xfId="1091"/>
    <cellStyle name="Акцентування2 4" xfId="1092"/>
    <cellStyle name="Акцентування2_ЗапасыЛена2" xfId="1093"/>
    <cellStyle name="Акцентування3" xfId="1094"/>
    <cellStyle name="Акцентування3 1" xfId="1095"/>
    <cellStyle name="Акцентування3 2" xfId="1096"/>
    <cellStyle name="Акцентування3 3" xfId="1097"/>
    <cellStyle name="Акцентування3 4" xfId="1098"/>
    <cellStyle name="Акцентування3_ЗапасыЛена2" xfId="1099"/>
    <cellStyle name="Акцентування4" xfId="1100"/>
    <cellStyle name="Акцентування4 1" xfId="1101"/>
    <cellStyle name="Акцентування4 2" xfId="1102"/>
    <cellStyle name="Акцентування4 3" xfId="1103"/>
    <cellStyle name="Акцентування4 4" xfId="1104"/>
    <cellStyle name="Акцентування4_ЗапасыЛена2" xfId="1105"/>
    <cellStyle name="Акцентування5" xfId="1106"/>
    <cellStyle name="Акцентування5 1" xfId="1107"/>
    <cellStyle name="Акцентування5 2" xfId="1108"/>
    <cellStyle name="Акцентування5 3" xfId="1109"/>
    <cellStyle name="Акцентування5 4" xfId="1110"/>
    <cellStyle name="Акцентування5_ЗапасыЛена2" xfId="1111"/>
    <cellStyle name="Акцентування6" xfId="1112"/>
    <cellStyle name="Акцентування6 1" xfId="1113"/>
    <cellStyle name="Акцентування6 2" xfId="1114"/>
    <cellStyle name="Акцентування6 3" xfId="1115"/>
    <cellStyle name="Акцентування6 4" xfId="1116"/>
    <cellStyle name="Акцентування6_ЗапасыЛена2" xfId="1117"/>
    <cellStyle name="Ввід" xfId="1118"/>
    <cellStyle name="Ввід 1" xfId="1119"/>
    <cellStyle name="Ввід 1 2" xfId="1907"/>
    <cellStyle name="Ввід 2" xfId="1120"/>
    <cellStyle name="Ввід 2 2" xfId="1908"/>
    <cellStyle name="Ввід 3" xfId="1121"/>
    <cellStyle name="Ввід 3 2" xfId="1909"/>
    <cellStyle name="Ввід 4" xfId="1122"/>
    <cellStyle name="Ввід 4 2" xfId="1910"/>
    <cellStyle name="Ввід 5" xfId="1906"/>
    <cellStyle name="Ввід_ЗапасыЛена2" xfId="1123"/>
    <cellStyle name="Ввод  2" xfId="75"/>
    <cellStyle name="Ввод  2 2" xfId="1124"/>
    <cellStyle name="Ввод  2 2 2" xfId="1912"/>
    <cellStyle name="Ввод  2 3" xfId="1125"/>
    <cellStyle name="Ввод  2 3 2" xfId="1913"/>
    <cellStyle name="Ввод  2 4" xfId="1126"/>
    <cellStyle name="Ввод  2 4 2" xfId="1914"/>
    <cellStyle name="Ввод  2 5" xfId="1911"/>
    <cellStyle name="Ввод  3" xfId="1127"/>
    <cellStyle name="Ввод  3 2" xfId="1915"/>
    <cellStyle name="Ввод  4" xfId="1128"/>
    <cellStyle name="Ввод  4 2" xfId="1916"/>
    <cellStyle name="Відсотковий 2" xfId="76"/>
    <cellStyle name="Відсотковий 2 2" xfId="1129"/>
    <cellStyle name="Відсотковий 2 3" xfId="2155"/>
    <cellStyle name="Відсотковий 3" xfId="1130"/>
    <cellStyle name="Відсотковий 3 2" xfId="1131"/>
    <cellStyle name="Відсотковий 3 3" xfId="1132"/>
    <cellStyle name="Внебиржевой" xfId="1133"/>
    <cellStyle name="Вывод 2" xfId="77"/>
    <cellStyle name="Вывод 2 2" xfId="1134"/>
    <cellStyle name="Вывод 2 2 2" xfId="1889"/>
    <cellStyle name="Вывод 2 3" xfId="1135"/>
    <cellStyle name="Вывод 2 3 2" xfId="1888"/>
    <cellStyle name="Вывод 2 4" xfId="1136"/>
    <cellStyle name="Вывод 2 4 2" xfId="1887"/>
    <cellStyle name="Вывод 2 5" xfId="1137"/>
    <cellStyle name="Вывод 2 5 2" xfId="1886"/>
    <cellStyle name="Вывод 2 6" xfId="1890"/>
    <cellStyle name="Вывод 3" xfId="1138"/>
    <cellStyle name="Вывод 3 2" xfId="1885"/>
    <cellStyle name="Вывод 4" xfId="1139"/>
    <cellStyle name="Вывод 4 2" xfId="1884"/>
    <cellStyle name="Вывод 5" xfId="1140"/>
    <cellStyle name="Вывод 5 2" xfId="1883"/>
    <cellStyle name="Вывод 6" xfId="1141"/>
    <cellStyle name="Вывод 6 2" xfId="1882"/>
    <cellStyle name="Вычисление 2" xfId="78"/>
    <cellStyle name="Вычисление 2 2" xfId="1142"/>
    <cellStyle name="Вычисление 2 2 2" xfId="1918"/>
    <cellStyle name="Вычисление 2 3" xfId="1143"/>
    <cellStyle name="Вычисление 2 3 2" xfId="1919"/>
    <cellStyle name="Вычисление 2 4" xfId="1144"/>
    <cellStyle name="Вычисление 2 4 2" xfId="1920"/>
    <cellStyle name="Вычисление 2 5" xfId="1145"/>
    <cellStyle name="Вычисление 2 5 2" xfId="1921"/>
    <cellStyle name="Вычисление 2 6" xfId="1917"/>
    <cellStyle name="Вычисление 3" xfId="1146"/>
    <cellStyle name="Вычисление 3 2" xfId="1922"/>
    <cellStyle name="Вычисление 4" xfId="1147"/>
    <cellStyle name="Вычисление 4 2" xfId="1923"/>
    <cellStyle name="Вычисление 5" xfId="1148"/>
    <cellStyle name="Вычисление 5 2" xfId="1924"/>
    <cellStyle name="Вычисление 6" xfId="1149"/>
    <cellStyle name="Вычисление 6 2" xfId="1925"/>
    <cellStyle name="Гиперссылка 2" xfId="265"/>
    <cellStyle name="Гиперссылка 3" xfId="1150"/>
    <cellStyle name="Денежный 2" xfId="79"/>
    <cellStyle name="Денежный 2 2" xfId="1152"/>
    <cellStyle name="Денежный 2 3" xfId="1153"/>
    <cellStyle name="Денежный 2 4" xfId="1151"/>
    <cellStyle name="Денежный 2 5" xfId="2154"/>
    <cellStyle name="Денежный 3" xfId="80"/>
    <cellStyle name="Денежный 3 2" xfId="1155"/>
    <cellStyle name="Денежный 3 3" xfId="1154"/>
    <cellStyle name="Денежный 4" xfId="81"/>
    <cellStyle name="Добре" xfId="1156"/>
    <cellStyle name="Добре 1" xfId="1157"/>
    <cellStyle name="Добре 2" xfId="1158"/>
    <cellStyle name="Добре 3" xfId="1159"/>
    <cellStyle name="Добре 4" xfId="1160"/>
    <cellStyle name="Добре_ЗапасыЛена2" xfId="1161"/>
    <cellStyle name="Заголовок 1 1" xfId="1162"/>
    <cellStyle name="Заголовок 1 2" xfId="82"/>
    <cellStyle name="Заголовок 1 2 2" xfId="1163"/>
    <cellStyle name="Заголовок 1 3" xfId="83"/>
    <cellStyle name="Заголовок 1 3 2" xfId="1164"/>
    <cellStyle name="Заголовок 1 3 3" xfId="2153"/>
    <cellStyle name="Заголовок 1 4" xfId="1165"/>
    <cellStyle name="Заголовок 1 5" xfId="1166"/>
    <cellStyle name="Заголовок 1 6" xfId="1167"/>
    <cellStyle name="Заголовок 2 1" xfId="1168"/>
    <cellStyle name="Заголовок 2 2" xfId="84"/>
    <cellStyle name="Заголовок 2 2 2" xfId="1169"/>
    <cellStyle name="Заголовок 2 3" xfId="85"/>
    <cellStyle name="Заголовок 2 3 2" xfId="1170"/>
    <cellStyle name="Заголовок 2 3 3" xfId="2152"/>
    <cellStyle name="Заголовок 2 4" xfId="1171"/>
    <cellStyle name="Заголовок 2 5" xfId="1172"/>
    <cellStyle name="Заголовок 2 6" xfId="1173"/>
    <cellStyle name="Заголовок 3 1" xfId="1174"/>
    <cellStyle name="Заголовок 3 2" xfId="86"/>
    <cellStyle name="Заголовок 3 2 2" xfId="1175"/>
    <cellStyle name="Заголовок 3 3" xfId="87"/>
    <cellStyle name="Заголовок 3 3 2" xfId="1176"/>
    <cellStyle name="Заголовок 3 3 3" xfId="2151"/>
    <cellStyle name="Заголовок 3 4" xfId="1177"/>
    <cellStyle name="Заголовок 3 5" xfId="1178"/>
    <cellStyle name="Заголовок 3 6" xfId="1179"/>
    <cellStyle name="Заголовок 4 1" xfId="1180"/>
    <cellStyle name="Заголовок 4 2" xfId="88"/>
    <cellStyle name="Заголовок 4 2 2" xfId="1181"/>
    <cellStyle name="Заголовок 4 3" xfId="89"/>
    <cellStyle name="Заголовок 4 3 2" xfId="1182"/>
    <cellStyle name="Заголовок 4 3 3" xfId="2150"/>
    <cellStyle name="Заголовок 4 4" xfId="1183"/>
    <cellStyle name="Заголовок 4 5" xfId="1184"/>
    <cellStyle name="Заголовок 4 6" xfId="1185"/>
    <cellStyle name="Звичайний 2" xfId="7"/>
    <cellStyle name="Звичайний 2 2" xfId="90"/>
    <cellStyle name="Звичайний 2 2 2" xfId="1187"/>
    <cellStyle name="Звичайний 2 2 2 2" xfId="1188"/>
    <cellStyle name="Звичайний 2 2 2 2 2" xfId="1955"/>
    <cellStyle name="Звичайний 2 2 2 2 2 2" xfId="2451"/>
    <cellStyle name="Звичайний 2 2 2 2 2 2 2" xfId="2589"/>
    <cellStyle name="Звичайний 2 2 2 2 2 2 2 2" xfId="4715"/>
    <cellStyle name="Звичайний 2 2 2 2 2 2 3" xfId="3322"/>
    <cellStyle name="Звичайний 2 2 2 2 2 2 4" xfId="4578"/>
    <cellStyle name="Звичайний 2 2 2 2 2 3" xfId="2588"/>
    <cellStyle name="Звичайний 2 2 2 2 2 3 2" xfId="4714"/>
    <cellStyle name="Звичайний 2 2 2 2 2 4" xfId="3321"/>
    <cellStyle name="Звичайний 2 2 2 2 2 5" xfId="4164"/>
    <cellStyle name="Звичайний 2 2 2 2 3" xfId="2188"/>
    <cellStyle name="Звичайний 2 2 2 2 3 2" xfId="2590"/>
    <cellStyle name="Звичайний 2 2 2 2 3 2 2" xfId="4716"/>
    <cellStyle name="Звичайний 2 2 2 2 3 3" xfId="3323"/>
    <cellStyle name="Звичайний 2 2 2 2 3 4" xfId="4315"/>
    <cellStyle name="Звичайний 2 2 2 2 4" xfId="2298"/>
    <cellStyle name="Звичайний 2 2 2 2 4 2" xfId="2591"/>
    <cellStyle name="Звичайний 2 2 2 2 4 2 2" xfId="4717"/>
    <cellStyle name="Звичайний 2 2 2 2 4 3" xfId="3324"/>
    <cellStyle name="Звичайний 2 2 2 2 4 4" xfId="4425"/>
    <cellStyle name="Звичайний 2 2 2 2 5" xfId="2587"/>
    <cellStyle name="Звичайний 2 2 2 2 5 2" xfId="4713"/>
    <cellStyle name="Звичайний 2 2 2 2 6" xfId="3320"/>
    <cellStyle name="Звичайний 2 2 2 2 7" xfId="4054"/>
    <cellStyle name="Звичайний 2 2 2 3" xfId="1954"/>
    <cellStyle name="Звичайний 2 2 2 3 2" xfId="2450"/>
    <cellStyle name="Звичайний 2 2 2 3 2 2" xfId="2593"/>
    <cellStyle name="Звичайний 2 2 2 3 2 2 2" xfId="4719"/>
    <cellStyle name="Звичайний 2 2 2 3 2 3" xfId="3326"/>
    <cellStyle name="Звичайний 2 2 2 3 2 4" xfId="4577"/>
    <cellStyle name="Звичайний 2 2 2 3 3" xfId="2592"/>
    <cellStyle name="Звичайний 2 2 2 3 3 2" xfId="4718"/>
    <cellStyle name="Звичайний 2 2 2 3 4" xfId="3325"/>
    <cellStyle name="Звичайний 2 2 2 3 5" xfId="4163"/>
    <cellStyle name="Звичайний 2 2 2 4" xfId="2187"/>
    <cellStyle name="Звичайний 2 2 2 4 2" xfId="2594"/>
    <cellStyle name="Звичайний 2 2 2 4 2 2" xfId="4720"/>
    <cellStyle name="Звичайний 2 2 2 4 3" xfId="3327"/>
    <cellStyle name="Звичайний 2 2 2 4 4" xfId="4314"/>
    <cellStyle name="Звичайний 2 2 2 5" xfId="2297"/>
    <cellStyle name="Звичайний 2 2 2 5 2" xfId="2595"/>
    <cellStyle name="Звичайний 2 2 2 5 2 2" xfId="4721"/>
    <cellStyle name="Звичайний 2 2 2 5 3" xfId="3328"/>
    <cellStyle name="Звичайний 2 2 2 5 4" xfId="4424"/>
    <cellStyle name="Звичайний 2 2 2 6" xfId="2586"/>
    <cellStyle name="Звичайний 2 2 2 6 2" xfId="4712"/>
    <cellStyle name="Звичайний 2 2 2 7" xfId="3319"/>
    <cellStyle name="Звичайний 2 2 2 8" xfId="4053"/>
    <cellStyle name="Звичайний 2 2 3" xfId="1189"/>
    <cellStyle name="Звичайний 2 2 3 2" xfId="1956"/>
    <cellStyle name="Звичайний 2 2 3 2 2" xfId="2452"/>
    <cellStyle name="Звичайний 2 2 3 2 2 2" xfId="2598"/>
    <cellStyle name="Звичайний 2 2 3 2 2 2 2" xfId="4724"/>
    <cellStyle name="Звичайний 2 2 3 2 2 3" xfId="3331"/>
    <cellStyle name="Звичайний 2 2 3 2 2 4" xfId="4579"/>
    <cellStyle name="Звичайний 2 2 3 2 3" xfId="2597"/>
    <cellStyle name="Звичайний 2 2 3 2 3 2" xfId="4723"/>
    <cellStyle name="Звичайний 2 2 3 2 4" xfId="3330"/>
    <cellStyle name="Звичайний 2 2 3 2 5" xfId="4165"/>
    <cellStyle name="Звичайний 2 2 3 3" xfId="2189"/>
    <cellStyle name="Звичайний 2 2 3 3 2" xfId="2599"/>
    <cellStyle name="Звичайний 2 2 3 3 2 2" xfId="4725"/>
    <cellStyle name="Звичайний 2 2 3 3 3" xfId="3332"/>
    <cellStyle name="Звичайний 2 2 3 3 4" xfId="4316"/>
    <cellStyle name="Звичайний 2 2 3 4" xfId="2299"/>
    <cellStyle name="Звичайний 2 2 3 4 2" xfId="2600"/>
    <cellStyle name="Звичайний 2 2 3 4 2 2" xfId="4726"/>
    <cellStyle name="Звичайний 2 2 3 4 3" xfId="3333"/>
    <cellStyle name="Звичайний 2 2 3 4 4" xfId="4426"/>
    <cellStyle name="Звичайний 2 2 3 5" xfId="2596"/>
    <cellStyle name="Звичайний 2 2 3 5 2" xfId="4722"/>
    <cellStyle name="Звичайний 2 2 3 6" xfId="3329"/>
    <cellStyle name="Звичайний 2 2 3 7" xfId="4055"/>
    <cellStyle name="Звичайний 2 2 4" xfId="1186"/>
    <cellStyle name="Звичайний 2 2 4 2" xfId="2079"/>
    <cellStyle name="Звичайний 2 2 4 2 2" xfId="2572"/>
    <cellStyle name="Звичайний 2 2 4 2 2 2" xfId="2603"/>
    <cellStyle name="Звичайний 2 2 4 2 2 2 2" xfId="4729"/>
    <cellStyle name="Звичайний 2 2 4 2 2 3" xfId="3336"/>
    <cellStyle name="Звичайний 2 2 4 2 2 4" xfId="4699"/>
    <cellStyle name="Звичайний 2 2 4 2 3" xfId="2602"/>
    <cellStyle name="Звичайний 2 2 4 2 3 2" xfId="4728"/>
    <cellStyle name="Звичайний 2 2 4 2 4" xfId="3335"/>
    <cellStyle name="Звичайний 2 2 4 2 5" xfId="4285"/>
    <cellStyle name="Звичайний 2 2 4 3" xfId="2419"/>
    <cellStyle name="Звичайний 2 2 4 3 2" xfId="2604"/>
    <cellStyle name="Звичайний 2 2 4 3 2 2" xfId="4730"/>
    <cellStyle name="Звичайний 2 2 4 3 3" xfId="3337"/>
    <cellStyle name="Звичайний 2 2 4 3 4" xfId="4546"/>
    <cellStyle name="Звичайний 2 2 4 4" xfId="2601"/>
    <cellStyle name="Звичайний 2 2 4 4 2" xfId="4727"/>
    <cellStyle name="Звичайний 2 2 4 5" xfId="3334"/>
    <cellStyle name="Звичайний 2 2 4 6" xfId="4052"/>
    <cellStyle name="Звичайний 2 2 5" xfId="2149"/>
    <cellStyle name="Звичайний 2 2 6" xfId="1953"/>
    <cellStyle name="Звичайний 2 2 6 2" xfId="2449"/>
    <cellStyle name="Звичайний 2 2 6 2 2" xfId="2606"/>
    <cellStyle name="Звичайний 2 2 6 2 2 2" xfId="4732"/>
    <cellStyle name="Звичайний 2 2 6 2 3" xfId="3339"/>
    <cellStyle name="Звичайний 2 2 6 2 4" xfId="4576"/>
    <cellStyle name="Звичайний 2 2 6 3" xfId="2605"/>
    <cellStyle name="Звичайний 2 2 6 3 2" xfId="4731"/>
    <cellStyle name="Звичайний 2 2 6 4" xfId="3338"/>
    <cellStyle name="Звичайний 2 2 6 5" xfId="4162"/>
    <cellStyle name="Звичайний 2 2 7" xfId="2186"/>
    <cellStyle name="Звичайний 2 2 7 2" xfId="2607"/>
    <cellStyle name="Звичайний 2 2 7 2 2" xfId="4733"/>
    <cellStyle name="Звичайний 2 2 7 3" xfId="3340"/>
    <cellStyle name="Звичайний 2 2 7 4" xfId="4313"/>
    <cellStyle name="Звичайний 2 2 8" xfId="2296"/>
    <cellStyle name="Звичайний 2 2 8 2" xfId="2608"/>
    <cellStyle name="Звичайний 2 2 8 2 2" xfId="4734"/>
    <cellStyle name="Звичайний 2 2 8 3" xfId="3341"/>
    <cellStyle name="Звичайний 2 2 8 4" xfId="4423"/>
    <cellStyle name="Звичайний 2 3" xfId="2164"/>
    <cellStyle name="Звичайний 3" xfId="91"/>
    <cellStyle name="Звичайний 3 2" xfId="92"/>
    <cellStyle name="Звичайний 3 2 2" xfId="1612"/>
    <cellStyle name="Звичайний 3 2 3" xfId="2147"/>
    <cellStyle name="Звичайний 3 3" xfId="93"/>
    <cellStyle name="Звичайний 3 4" xfId="94"/>
    <cellStyle name="Звичайний 3 5" xfId="95"/>
    <cellStyle name="Звичайний 3 6" xfId="96"/>
    <cellStyle name="Звичайний 3 6 2" xfId="97"/>
    <cellStyle name="Звичайний 3 7" xfId="98"/>
    <cellStyle name="Звичайний 3 7 2" xfId="2146"/>
    <cellStyle name="Звичайний 3 7 2 2" xfId="2578"/>
    <cellStyle name="Звичайний 3 7 2 2 2" xfId="2611"/>
    <cellStyle name="Звичайний 3 7 2 2 2 2" xfId="4737"/>
    <cellStyle name="Звичайний 3 7 2 2 3" xfId="3344"/>
    <cellStyle name="Звичайний 3 7 2 2 4" xfId="4705"/>
    <cellStyle name="Звичайний 3 7 2 3" xfId="2610"/>
    <cellStyle name="Звичайний 3 7 2 3 2" xfId="4736"/>
    <cellStyle name="Звичайний 3 7 2 4" xfId="3343"/>
    <cellStyle name="Звичайний 3 7 2 5" xfId="4310"/>
    <cellStyle name="Звичайний 3 7 3" xfId="2444"/>
    <cellStyle name="Звичайний 3 7 3 2" xfId="2612"/>
    <cellStyle name="Звичайний 3 7 3 2 2" xfId="4738"/>
    <cellStyle name="Звичайний 3 7 3 3" xfId="3345"/>
    <cellStyle name="Звичайний 3 7 3 4" xfId="4571"/>
    <cellStyle name="Звичайний 3 7 4" xfId="2609"/>
    <cellStyle name="Звичайний 3 7 4 2" xfId="4735"/>
    <cellStyle name="Звичайний 3 7 5" xfId="3279"/>
    <cellStyle name="Звичайний 3 7 5 2" xfId="5405"/>
    <cellStyle name="Звичайний 3 7 6" xfId="3342"/>
    <cellStyle name="Звичайний 3 7 7" xfId="4015"/>
    <cellStyle name="Звичайний 3 8" xfId="99"/>
    <cellStyle name="Звичайний 3 8 2" xfId="2145"/>
    <cellStyle name="Звичайний 3 8 2 2" xfId="2577"/>
    <cellStyle name="Звичайний 3 8 2 2 2" xfId="2615"/>
    <cellStyle name="Звичайний 3 8 2 2 2 2" xfId="4741"/>
    <cellStyle name="Звичайний 3 8 2 2 3" xfId="3348"/>
    <cellStyle name="Звичайний 3 8 2 2 4" xfId="4704"/>
    <cellStyle name="Звичайний 3 8 2 3" xfId="2614"/>
    <cellStyle name="Звичайний 3 8 2 3 2" xfId="4740"/>
    <cellStyle name="Звичайний 3 8 2 4" xfId="3347"/>
    <cellStyle name="Звичайний 3 8 2 5" xfId="4309"/>
    <cellStyle name="Звичайний 3 8 3" xfId="2443"/>
    <cellStyle name="Звичайний 3 8 3 2" xfId="2616"/>
    <cellStyle name="Звичайний 3 8 3 2 2" xfId="4742"/>
    <cellStyle name="Звичайний 3 8 3 3" xfId="3349"/>
    <cellStyle name="Звичайний 3 8 3 4" xfId="4570"/>
    <cellStyle name="Звичайний 3 8 4" xfId="2613"/>
    <cellStyle name="Звичайний 3 8 4 2" xfId="4739"/>
    <cellStyle name="Звичайний 3 8 5" xfId="3280"/>
    <cellStyle name="Звичайний 3 8 5 2" xfId="5406"/>
    <cellStyle name="Звичайний 3 8 6" xfId="3346"/>
    <cellStyle name="Звичайний 3 8 7" xfId="4016"/>
    <cellStyle name="Звичайний 3 9" xfId="2148"/>
    <cellStyle name="Звичайний 4" xfId="100"/>
    <cellStyle name="Звичайний 4 2" xfId="101"/>
    <cellStyle name="Звичайний 4 2 2" xfId="2143"/>
    <cellStyle name="Звичайний 4 2 2 2" xfId="2576"/>
    <cellStyle name="Звичайний 4 2 2 2 2" xfId="2620"/>
    <cellStyle name="Звичайний 4 2 2 2 2 2" xfId="4746"/>
    <cellStyle name="Звичайний 4 2 2 2 3" xfId="3353"/>
    <cellStyle name="Звичайний 4 2 2 2 4" xfId="4703"/>
    <cellStyle name="Звичайний 4 2 2 3" xfId="2619"/>
    <cellStyle name="Звичайний 4 2 2 3 2" xfId="4745"/>
    <cellStyle name="Звичайний 4 2 2 4" xfId="3352"/>
    <cellStyle name="Звичайний 4 2 2 5" xfId="4307"/>
    <cellStyle name="Звичайний 4 2 3" xfId="2441"/>
    <cellStyle name="Звичайний 4 2 3 2" xfId="2621"/>
    <cellStyle name="Звичайний 4 2 3 2 2" xfId="4747"/>
    <cellStyle name="Звичайний 4 2 3 3" xfId="3354"/>
    <cellStyle name="Звичайний 4 2 3 4" xfId="4568"/>
    <cellStyle name="Звичайний 4 2 4" xfId="2618"/>
    <cellStyle name="Звичайний 4 2 4 2" xfId="4744"/>
    <cellStyle name="Звичайний 4 2 5" xfId="3282"/>
    <cellStyle name="Звичайний 4 2 5 2" xfId="5408"/>
    <cellStyle name="Звичайний 4 2 6" xfId="3351"/>
    <cellStyle name="Звичайний 4 2 7" xfId="4018"/>
    <cellStyle name="Звичайний 4 3" xfId="102"/>
    <cellStyle name="Звичайний 4 4" xfId="1190"/>
    <cellStyle name="Звичайний 4 5" xfId="2144"/>
    <cellStyle name="Звичайний 4 5 2" xfId="2442"/>
    <cellStyle name="Звичайний 4 5 2 2" xfId="2623"/>
    <cellStyle name="Звичайний 4 5 2 2 2" xfId="4749"/>
    <cellStyle name="Звичайний 4 5 2 3" xfId="3356"/>
    <cellStyle name="Звичайний 4 5 2 4" xfId="4569"/>
    <cellStyle name="Звичайний 4 5 3" xfId="2622"/>
    <cellStyle name="Звичайний 4 5 3 2" xfId="4748"/>
    <cellStyle name="Звичайний 4 5 4" xfId="3355"/>
    <cellStyle name="Звичайний 4 5 5" xfId="4308"/>
    <cellStyle name="Звичайний 4 6" xfId="2617"/>
    <cellStyle name="Звичайний 4 6 2" xfId="4743"/>
    <cellStyle name="Звичайний 4 7" xfId="3281"/>
    <cellStyle name="Звичайний 4 7 2" xfId="5407"/>
    <cellStyle name="Звичайний 4 8" xfId="3350"/>
    <cellStyle name="Звичайний 4 9" xfId="4017"/>
    <cellStyle name="Звичайний 5" xfId="103"/>
    <cellStyle name="Звичайний 5 2" xfId="215"/>
    <cellStyle name="Звичайний 6" xfId="221"/>
    <cellStyle name="Звичайний 6 2" xfId="2091"/>
    <cellStyle name="Звичайний 6 2 2" xfId="2575"/>
    <cellStyle name="Звичайний 6 2 2 2" xfId="2626"/>
    <cellStyle name="Звичайний 6 2 2 2 2" xfId="4752"/>
    <cellStyle name="Звичайний 6 2 2 3" xfId="3359"/>
    <cellStyle name="Звичайний 6 2 2 4" xfId="4702"/>
    <cellStyle name="Звичайний 6 2 3" xfId="2625"/>
    <cellStyle name="Звичайний 6 2 3 2" xfId="4751"/>
    <cellStyle name="Звичайний 6 2 4" xfId="3358"/>
    <cellStyle name="Звичайний 6 2 5" xfId="4293"/>
    <cellStyle name="Звичайний 6 3" xfId="2427"/>
    <cellStyle name="Звичайний 6 3 2" xfId="2627"/>
    <cellStyle name="Звичайний 6 3 2 2" xfId="4753"/>
    <cellStyle name="Звичайний 6 3 3" xfId="3360"/>
    <cellStyle name="Звичайний 6 3 4" xfId="4554"/>
    <cellStyle name="Звичайний 6 4" xfId="2624"/>
    <cellStyle name="Звичайний 6 4 2" xfId="4750"/>
    <cellStyle name="Звичайний 6 5" xfId="3307"/>
    <cellStyle name="Звичайний 6 5 2" xfId="5433"/>
    <cellStyle name="Звичайний 6 6" xfId="3357"/>
    <cellStyle name="Звичайний 6 7" xfId="4043"/>
    <cellStyle name="Звичайний 7" xfId="222"/>
    <cellStyle name="Звичайний 7 2" xfId="2090"/>
    <cellStyle name="Звичайний 7 2 2" xfId="2574"/>
    <cellStyle name="Звичайний 7 2 2 2" xfId="2630"/>
    <cellStyle name="Звичайний 7 2 2 2 2" xfId="4756"/>
    <cellStyle name="Звичайний 7 2 2 3" xfId="3363"/>
    <cellStyle name="Звичайний 7 2 2 4" xfId="4701"/>
    <cellStyle name="Звичайний 7 2 3" xfId="2629"/>
    <cellStyle name="Звичайний 7 2 3 2" xfId="4755"/>
    <cellStyle name="Звичайний 7 2 4" xfId="3362"/>
    <cellStyle name="Звичайний 7 2 5" xfId="4292"/>
    <cellStyle name="Звичайний 7 3" xfId="2426"/>
    <cellStyle name="Звичайний 7 3 2" xfId="2631"/>
    <cellStyle name="Звичайний 7 3 2 2" xfId="4757"/>
    <cellStyle name="Звичайний 7 3 3" xfId="3364"/>
    <cellStyle name="Звичайний 7 3 4" xfId="4553"/>
    <cellStyle name="Звичайний 7 4" xfId="2628"/>
    <cellStyle name="Звичайний 7 4 2" xfId="4754"/>
    <cellStyle name="Звичайний 7 5" xfId="3308"/>
    <cellStyle name="Звичайний 7 5 2" xfId="5434"/>
    <cellStyle name="Звичайний 7 6" xfId="3361"/>
    <cellStyle name="Звичайний 7 7" xfId="4044"/>
    <cellStyle name="Звичайний 8" xfId="223"/>
    <cellStyle name="Зв'язана клітинка" xfId="1191"/>
    <cellStyle name="Зв'язана клітинка 1" xfId="1192"/>
    <cellStyle name="Зв'язана клітинка 2" xfId="1193"/>
    <cellStyle name="Зв'язана клітинка 3" xfId="1194"/>
    <cellStyle name="Зв'язана клітинка 4" xfId="1195"/>
    <cellStyle name="Зв'язана клітинка_ЗапасыЛена2" xfId="1196"/>
    <cellStyle name="Итог 2" xfId="104"/>
    <cellStyle name="Итог 2 2" xfId="1197"/>
    <cellStyle name="Итог 2 2 2" xfId="1880"/>
    <cellStyle name="Итог 2 3" xfId="1198"/>
    <cellStyle name="Итог 2 3 2" xfId="1879"/>
    <cellStyle name="Итог 2 4" xfId="1881"/>
    <cellStyle name="Итог 3" xfId="1199"/>
    <cellStyle name="Итог 3 2" xfId="1878"/>
    <cellStyle name="Итог 4" xfId="1200"/>
    <cellStyle name="Итог 4 2" xfId="1877"/>
    <cellStyle name="Итог 5" xfId="1201"/>
    <cellStyle name="Итог 5 2" xfId="1876"/>
    <cellStyle name="Итог 6" xfId="1202"/>
    <cellStyle name="Итог 6 2" xfId="1875"/>
    <cellStyle name="Контрольна клітинка" xfId="1203"/>
    <cellStyle name="Контрольна клітинка 1" xfId="1204"/>
    <cellStyle name="Контрольна клітинка 2" xfId="1205"/>
    <cellStyle name="Контрольна клітинка 3" xfId="1206"/>
    <cellStyle name="Контрольна клітинка 4" xfId="1207"/>
    <cellStyle name="Контрольна клітинка_ЗапасыЛена2" xfId="1208"/>
    <cellStyle name="Контрольная ячейка 2" xfId="105"/>
    <cellStyle name="Контрольная ячейка 2 2" xfId="1209"/>
    <cellStyle name="Контрольная ячейка 2 3" xfId="1210"/>
    <cellStyle name="Контрольная ячейка 2 4" xfId="1211"/>
    <cellStyle name="Контрольная ячейка 3" xfId="1212"/>
    <cellStyle name="Контрольная ячейка 4" xfId="1213"/>
    <cellStyle name="Назва" xfId="1214"/>
    <cellStyle name="Назва 1" xfId="1215"/>
    <cellStyle name="Назва 2" xfId="1216"/>
    <cellStyle name="Назва 3" xfId="1217"/>
    <cellStyle name="Назва 4" xfId="1218"/>
    <cellStyle name="Назва_ЗапасыЛена2" xfId="1219"/>
    <cellStyle name="Название 2" xfId="106"/>
    <cellStyle name="Название 2 2" xfId="1220"/>
    <cellStyle name="Название 3" xfId="1221"/>
    <cellStyle name="Название 4" xfId="1222"/>
    <cellStyle name="Нейтральный 2" xfId="107"/>
    <cellStyle name="Нейтральный 2 2" xfId="1223"/>
    <cellStyle name="Нейтральный 2 3" xfId="1224"/>
    <cellStyle name="Нейтральный 2 4" xfId="1225"/>
    <cellStyle name="Нейтральный 3" xfId="1226"/>
    <cellStyle name="Нейтральный 4" xfId="1227"/>
    <cellStyle name="Нейтральный 5" xfId="1228"/>
    <cellStyle name="Нейтральный 6" xfId="1229"/>
    <cellStyle name="Обчислення" xfId="1230"/>
    <cellStyle name="Обчислення 1" xfId="1231"/>
    <cellStyle name="Обчислення 1 2" xfId="1927"/>
    <cellStyle name="Обчислення 2" xfId="1232"/>
    <cellStyle name="Обчислення 2 2" xfId="1928"/>
    <cellStyle name="Обчислення 3" xfId="1233"/>
    <cellStyle name="Обчислення 3 2" xfId="1929"/>
    <cellStyle name="Обчислення 4" xfId="1234"/>
    <cellStyle name="Обчислення 4 2" xfId="1930"/>
    <cellStyle name="Обчислення 5" xfId="1926"/>
    <cellStyle name="Обчислення_ЗапасыЛена2" xfId="1235"/>
    <cellStyle name="Обычный" xfId="0" builtinId="0"/>
    <cellStyle name="Обычный 10" xfId="108"/>
    <cellStyle name="Обычный 10 2" xfId="109"/>
    <cellStyle name="Обычный 10 3" xfId="110"/>
    <cellStyle name="Обычный 10 4" xfId="111"/>
    <cellStyle name="Обычный 10 5" xfId="112"/>
    <cellStyle name="Обычный 10 5 2" xfId="1237"/>
    <cellStyle name="Обычный 10 5 3" xfId="2141"/>
    <cellStyle name="Обычный 10 6" xfId="1236"/>
    <cellStyle name="Обычный 10 7" xfId="2142"/>
    <cellStyle name="Обычный 11" xfId="113"/>
    <cellStyle name="Обычный 11 2" xfId="114"/>
    <cellStyle name="Обычный 11 3" xfId="115"/>
    <cellStyle name="Обычный 11 4" xfId="1238"/>
    <cellStyle name="Обычный 12" xfId="116"/>
    <cellStyle name="Обычный 12 2" xfId="1239"/>
    <cellStyle name="Обычный 12 2 2" xfId="1240"/>
    <cellStyle name="Обычный 12 2 2 2" xfId="1241"/>
    <cellStyle name="Обычный 12 2 2 2 2" xfId="1959"/>
    <cellStyle name="Обычный 12 2 2 2 2 2" xfId="2455"/>
    <cellStyle name="Обычный 12 2 2 2 2 2 2" xfId="2636"/>
    <cellStyle name="Обычный 12 2 2 2 2 2 2 2" xfId="4762"/>
    <cellStyle name="Обычный 12 2 2 2 2 2 3" xfId="3369"/>
    <cellStyle name="Обычный 12 2 2 2 2 2 4" xfId="4582"/>
    <cellStyle name="Обычный 12 2 2 2 2 3" xfId="2635"/>
    <cellStyle name="Обычный 12 2 2 2 2 3 2" xfId="4761"/>
    <cellStyle name="Обычный 12 2 2 2 2 4" xfId="3368"/>
    <cellStyle name="Обычный 12 2 2 2 2 5" xfId="4168"/>
    <cellStyle name="Обычный 12 2 2 2 3" xfId="2192"/>
    <cellStyle name="Обычный 12 2 2 2 3 2" xfId="2637"/>
    <cellStyle name="Обычный 12 2 2 2 3 2 2" xfId="4763"/>
    <cellStyle name="Обычный 12 2 2 2 3 3" xfId="3370"/>
    <cellStyle name="Обычный 12 2 2 2 3 4" xfId="4319"/>
    <cellStyle name="Обычный 12 2 2 2 4" xfId="2302"/>
    <cellStyle name="Обычный 12 2 2 2 4 2" xfId="2638"/>
    <cellStyle name="Обычный 12 2 2 2 4 2 2" xfId="4764"/>
    <cellStyle name="Обычный 12 2 2 2 4 3" xfId="3371"/>
    <cellStyle name="Обычный 12 2 2 2 4 4" xfId="4429"/>
    <cellStyle name="Обычный 12 2 2 2 5" xfId="2634"/>
    <cellStyle name="Обычный 12 2 2 2 5 2" xfId="4760"/>
    <cellStyle name="Обычный 12 2 2 2 6" xfId="3367"/>
    <cellStyle name="Обычный 12 2 2 2 7" xfId="4058"/>
    <cellStyle name="Обычный 12 2 2 3" xfId="1958"/>
    <cellStyle name="Обычный 12 2 2 3 2" xfId="2454"/>
    <cellStyle name="Обычный 12 2 2 3 2 2" xfId="2640"/>
    <cellStyle name="Обычный 12 2 2 3 2 2 2" xfId="4766"/>
    <cellStyle name="Обычный 12 2 2 3 2 3" xfId="3373"/>
    <cellStyle name="Обычный 12 2 2 3 2 4" xfId="4581"/>
    <cellStyle name="Обычный 12 2 2 3 3" xfId="2639"/>
    <cellStyle name="Обычный 12 2 2 3 3 2" xfId="4765"/>
    <cellStyle name="Обычный 12 2 2 3 4" xfId="3372"/>
    <cellStyle name="Обычный 12 2 2 3 5" xfId="4167"/>
    <cellStyle name="Обычный 12 2 2 4" xfId="2191"/>
    <cellStyle name="Обычный 12 2 2 4 2" xfId="2641"/>
    <cellStyle name="Обычный 12 2 2 4 2 2" xfId="4767"/>
    <cellStyle name="Обычный 12 2 2 4 3" xfId="3374"/>
    <cellStyle name="Обычный 12 2 2 4 4" xfId="4318"/>
    <cellStyle name="Обычный 12 2 2 5" xfId="2301"/>
    <cellStyle name="Обычный 12 2 2 5 2" xfId="2642"/>
    <cellStyle name="Обычный 12 2 2 5 2 2" xfId="4768"/>
    <cellStyle name="Обычный 12 2 2 5 3" xfId="3375"/>
    <cellStyle name="Обычный 12 2 2 5 4" xfId="4428"/>
    <cellStyle name="Обычный 12 2 2 6" xfId="2633"/>
    <cellStyle name="Обычный 12 2 2 6 2" xfId="4759"/>
    <cellStyle name="Обычный 12 2 2 7" xfId="3366"/>
    <cellStyle name="Обычный 12 2 2 8" xfId="4057"/>
    <cellStyle name="Обычный 12 2 3" xfId="1242"/>
    <cellStyle name="Обычный 12 2 3 2" xfId="1960"/>
    <cellStyle name="Обычный 12 2 3 2 2" xfId="2456"/>
    <cellStyle name="Обычный 12 2 3 2 2 2" xfId="2645"/>
    <cellStyle name="Обычный 12 2 3 2 2 2 2" xfId="4771"/>
    <cellStyle name="Обычный 12 2 3 2 2 3" xfId="3378"/>
    <cellStyle name="Обычный 12 2 3 2 2 4" xfId="4583"/>
    <cellStyle name="Обычный 12 2 3 2 3" xfId="2644"/>
    <cellStyle name="Обычный 12 2 3 2 3 2" xfId="4770"/>
    <cellStyle name="Обычный 12 2 3 2 4" xfId="3377"/>
    <cellStyle name="Обычный 12 2 3 2 5" xfId="4169"/>
    <cellStyle name="Обычный 12 2 3 3" xfId="2193"/>
    <cellStyle name="Обычный 12 2 3 3 2" xfId="2646"/>
    <cellStyle name="Обычный 12 2 3 3 2 2" xfId="4772"/>
    <cellStyle name="Обычный 12 2 3 3 3" xfId="3379"/>
    <cellStyle name="Обычный 12 2 3 3 4" xfId="4320"/>
    <cellStyle name="Обычный 12 2 3 4" xfId="2303"/>
    <cellStyle name="Обычный 12 2 3 4 2" xfId="2647"/>
    <cellStyle name="Обычный 12 2 3 4 2 2" xfId="4773"/>
    <cellStyle name="Обычный 12 2 3 4 3" xfId="3380"/>
    <cellStyle name="Обычный 12 2 3 4 4" xfId="4430"/>
    <cellStyle name="Обычный 12 2 3 5" xfId="2643"/>
    <cellStyle name="Обычный 12 2 3 5 2" xfId="4769"/>
    <cellStyle name="Обычный 12 2 3 6" xfId="3376"/>
    <cellStyle name="Обычный 12 2 3 7" xfId="4059"/>
    <cellStyle name="Обычный 12 2 4" xfId="1957"/>
    <cellStyle name="Обычный 12 2 4 2" xfId="2453"/>
    <cellStyle name="Обычный 12 2 4 2 2" xfId="2649"/>
    <cellStyle name="Обычный 12 2 4 2 2 2" xfId="4775"/>
    <cellStyle name="Обычный 12 2 4 2 3" xfId="3382"/>
    <cellStyle name="Обычный 12 2 4 2 4" xfId="4580"/>
    <cellStyle name="Обычный 12 2 4 3" xfId="2648"/>
    <cellStyle name="Обычный 12 2 4 3 2" xfId="4774"/>
    <cellStyle name="Обычный 12 2 4 4" xfId="3381"/>
    <cellStyle name="Обычный 12 2 4 5" xfId="4166"/>
    <cellStyle name="Обычный 12 2 5" xfId="2190"/>
    <cellStyle name="Обычный 12 2 5 2" xfId="2650"/>
    <cellStyle name="Обычный 12 2 5 2 2" xfId="4776"/>
    <cellStyle name="Обычный 12 2 5 3" xfId="3383"/>
    <cellStyle name="Обычный 12 2 5 4" xfId="4317"/>
    <cellStyle name="Обычный 12 2 6" xfId="2300"/>
    <cellStyle name="Обычный 12 2 6 2" xfId="2651"/>
    <cellStyle name="Обычный 12 2 6 2 2" xfId="4777"/>
    <cellStyle name="Обычный 12 2 6 3" xfId="3384"/>
    <cellStyle name="Обычный 12 2 6 4" xfId="4427"/>
    <cellStyle name="Обычный 12 2 7" xfId="2632"/>
    <cellStyle name="Обычный 12 2 7 2" xfId="4758"/>
    <cellStyle name="Обычный 12 2 8" xfId="3365"/>
    <cellStyle name="Обычный 12 2 9" xfId="4056"/>
    <cellStyle name="Обычный 12 3" xfId="1243"/>
    <cellStyle name="Обычный 12 3 2" xfId="1244"/>
    <cellStyle name="Обычный 12 3 2 2" xfId="1245"/>
    <cellStyle name="Обычный 12 3 2 2 2" xfId="1963"/>
    <cellStyle name="Обычный 12 3 2 2 2 2" xfId="2459"/>
    <cellStyle name="Обычный 12 3 2 2 2 2 2" xfId="2656"/>
    <cellStyle name="Обычный 12 3 2 2 2 2 2 2" xfId="4782"/>
    <cellStyle name="Обычный 12 3 2 2 2 2 3" xfId="3389"/>
    <cellStyle name="Обычный 12 3 2 2 2 2 4" xfId="4586"/>
    <cellStyle name="Обычный 12 3 2 2 2 3" xfId="2655"/>
    <cellStyle name="Обычный 12 3 2 2 2 3 2" xfId="4781"/>
    <cellStyle name="Обычный 12 3 2 2 2 4" xfId="3388"/>
    <cellStyle name="Обычный 12 3 2 2 2 5" xfId="4172"/>
    <cellStyle name="Обычный 12 3 2 2 3" xfId="2196"/>
    <cellStyle name="Обычный 12 3 2 2 3 2" xfId="2657"/>
    <cellStyle name="Обычный 12 3 2 2 3 2 2" xfId="4783"/>
    <cellStyle name="Обычный 12 3 2 2 3 3" xfId="3390"/>
    <cellStyle name="Обычный 12 3 2 2 3 4" xfId="4323"/>
    <cellStyle name="Обычный 12 3 2 2 4" xfId="2306"/>
    <cellStyle name="Обычный 12 3 2 2 4 2" xfId="2658"/>
    <cellStyle name="Обычный 12 3 2 2 4 2 2" xfId="4784"/>
    <cellStyle name="Обычный 12 3 2 2 4 3" xfId="3391"/>
    <cellStyle name="Обычный 12 3 2 2 4 4" xfId="4433"/>
    <cellStyle name="Обычный 12 3 2 2 5" xfId="2654"/>
    <cellStyle name="Обычный 12 3 2 2 5 2" xfId="4780"/>
    <cellStyle name="Обычный 12 3 2 2 6" xfId="3387"/>
    <cellStyle name="Обычный 12 3 2 2 7" xfId="4062"/>
    <cellStyle name="Обычный 12 3 2 3" xfId="1962"/>
    <cellStyle name="Обычный 12 3 2 3 2" xfId="2458"/>
    <cellStyle name="Обычный 12 3 2 3 2 2" xfId="2660"/>
    <cellStyle name="Обычный 12 3 2 3 2 2 2" xfId="4786"/>
    <cellStyle name="Обычный 12 3 2 3 2 3" xfId="3393"/>
    <cellStyle name="Обычный 12 3 2 3 2 4" xfId="4585"/>
    <cellStyle name="Обычный 12 3 2 3 3" xfId="2659"/>
    <cellStyle name="Обычный 12 3 2 3 3 2" xfId="4785"/>
    <cellStyle name="Обычный 12 3 2 3 4" xfId="3392"/>
    <cellStyle name="Обычный 12 3 2 3 5" xfId="4171"/>
    <cellStyle name="Обычный 12 3 2 4" xfId="2195"/>
    <cellStyle name="Обычный 12 3 2 4 2" xfId="2661"/>
    <cellStyle name="Обычный 12 3 2 4 2 2" xfId="4787"/>
    <cellStyle name="Обычный 12 3 2 4 3" xfId="3394"/>
    <cellStyle name="Обычный 12 3 2 4 4" xfId="4322"/>
    <cellStyle name="Обычный 12 3 2 5" xfId="2305"/>
    <cellStyle name="Обычный 12 3 2 5 2" xfId="2662"/>
    <cellStyle name="Обычный 12 3 2 5 2 2" xfId="4788"/>
    <cellStyle name="Обычный 12 3 2 5 3" xfId="3395"/>
    <cellStyle name="Обычный 12 3 2 5 4" xfId="4432"/>
    <cellStyle name="Обычный 12 3 2 6" xfId="2653"/>
    <cellStyle name="Обычный 12 3 2 6 2" xfId="4779"/>
    <cellStyle name="Обычный 12 3 2 7" xfId="3386"/>
    <cellStyle name="Обычный 12 3 2 8" xfId="4061"/>
    <cellStyle name="Обычный 12 3 3" xfId="1246"/>
    <cellStyle name="Обычный 12 3 3 2" xfId="1964"/>
    <cellStyle name="Обычный 12 3 3 2 2" xfId="2460"/>
    <cellStyle name="Обычный 12 3 3 2 2 2" xfId="2665"/>
    <cellStyle name="Обычный 12 3 3 2 2 2 2" xfId="4791"/>
    <cellStyle name="Обычный 12 3 3 2 2 3" xfId="3398"/>
    <cellStyle name="Обычный 12 3 3 2 2 4" xfId="4587"/>
    <cellStyle name="Обычный 12 3 3 2 3" xfId="2664"/>
    <cellStyle name="Обычный 12 3 3 2 3 2" xfId="4790"/>
    <cellStyle name="Обычный 12 3 3 2 4" xfId="3397"/>
    <cellStyle name="Обычный 12 3 3 2 5" xfId="4173"/>
    <cellStyle name="Обычный 12 3 3 3" xfId="2197"/>
    <cellStyle name="Обычный 12 3 3 3 2" xfId="2666"/>
    <cellStyle name="Обычный 12 3 3 3 2 2" xfId="4792"/>
    <cellStyle name="Обычный 12 3 3 3 3" xfId="3399"/>
    <cellStyle name="Обычный 12 3 3 3 4" xfId="4324"/>
    <cellStyle name="Обычный 12 3 3 4" xfId="2307"/>
    <cellStyle name="Обычный 12 3 3 4 2" xfId="2667"/>
    <cellStyle name="Обычный 12 3 3 4 2 2" xfId="4793"/>
    <cellStyle name="Обычный 12 3 3 4 3" xfId="3400"/>
    <cellStyle name="Обычный 12 3 3 4 4" xfId="4434"/>
    <cellStyle name="Обычный 12 3 3 5" xfId="2663"/>
    <cellStyle name="Обычный 12 3 3 5 2" xfId="4789"/>
    <cellStyle name="Обычный 12 3 3 6" xfId="3396"/>
    <cellStyle name="Обычный 12 3 3 7" xfId="4063"/>
    <cellStyle name="Обычный 12 3 4" xfId="1961"/>
    <cellStyle name="Обычный 12 3 4 2" xfId="2457"/>
    <cellStyle name="Обычный 12 3 4 2 2" xfId="2669"/>
    <cellStyle name="Обычный 12 3 4 2 2 2" xfId="4795"/>
    <cellStyle name="Обычный 12 3 4 2 3" xfId="3402"/>
    <cellStyle name="Обычный 12 3 4 2 4" xfId="4584"/>
    <cellStyle name="Обычный 12 3 4 3" xfId="2668"/>
    <cellStyle name="Обычный 12 3 4 3 2" xfId="4794"/>
    <cellStyle name="Обычный 12 3 4 4" xfId="3401"/>
    <cellStyle name="Обычный 12 3 4 5" xfId="4170"/>
    <cellStyle name="Обычный 12 3 5" xfId="2194"/>
    <cellStyle name="Обычный 12 3 5 2" xfId="2670"/>
    <cellStyle name="Обычный 12 3 5 2 2" xfId="4796"/>
    <cellStyle name="Обычный 12 3 5 3" xfId="3403"/>
    <cellStyle name="Обычный 12 3 5 4" xfId="4321"/>
    <cellStyle name="Обычный 12 3 6" xfId="2304"/>
    <cellStyle name="Обычный 12 3 6 2" xfId="2671"/>
    <cellStyle name="Обычный 12 3 6 2 2" xfId="4797"/>
    <cellStyle name="Обычный 12 3 6 3" xfId="3404"/>
    <cellStyle name="Обычный 12 3 6 4" xfId="4431"/>
    <cellStyle name="Обычный 12 3 7" xfId="2652"/>
    <cellStyle name="Обычный 12 3 7 2" xfId="4778"/>
    <cellStyle name="Обычный 12 3 8" xfId="3385"/>
    <cellStyle name="Обычный 12 3 9" xfId="4060"/>
    <cellStyle name="Обычный 13" xfId="117"/>
    <cellStyle name="Обычный 13 2" xfId="1247"/>
    <cellStyle name="Обычный 13 3" xfId="2140"/>
    <cellStyle name="Обычный 14" xfId="118"/>
    <cellStyle name="Обычный 14 2" xfId="1248"/>
    <cellStyle name="Обычный 14 3" xfId="2139"/>
    <cellStyle name="Обычный 14 3 2" xfId="2440"/>
    <cellStyle name="Обычный 14 3 2 2" xfId="2674"/>
    <cellStyle name="Обычный 14 3 2 2 2" xfId="4800"/>
    <cellStyle name="Обычный 14 3 2 3" xfId="3407"/>
    <cellStyle name="Обычный 14 3 2 4" xfId="4567"/>
    <cellStyle name="Обычный 14 3 3" xfId="2673"/>
    <cellStyle name="Обычный 14 3 3 2" xfId="4799"/>
    <cellStyle name="Обычный 14 3 4" xfId="3406"/>
    <cellStyle name="Обычный 14 3 5" xfId="4306"/>
    <cellStyle name="Обычный 14 4" xfId="2672"/>
    <cellStyle name="Обычный 14 4 2" xfId="4798"/>
    <cellStyle name="Обычный 14 5" xfId="3283"/>
    <cellStyle name="Обычный 14 5 2" xfId="5409"/>
    <cellStyle name="Обычный 14 6" xfId="3405"/>
    <cellStyle name="Обычный 14 7" xfId="4019"/>
    <cellStyle name="Обычный 15" xfId="264"/>
    <cellStyle name="Обычный 15 2" xfId="1249"/>
    <cellStyle name="Обычный 15 3" xfId="2083"/>
    <cellStyle name="Обычный 15 3 2" xfId="2423"/>
    <cellStyle name="Обычный 15 3 2 2" xfId="2677"/>
    <cellStyle name="Обычный 15 3 2 2 2" xfId="4803"/>
    <cellStyle name="Обычный 15 3 2 3" xfId="3410"/>
    <cellStyle name="Обычный 15 3 2 4" xfId="4550"/>
    <cellStyle name="Обычный 15 3 3" xfId="2676"/>
    <cellStyle name="Обычный 15 3 3 2" xfId="4802"/>
    <cellStyle name="Обычный 15 3 4" xfId="3409"/>
    <cellStyle name="Обычный 15 3 5" xfId="4289"/>
    <cellStyle name="Обычный 15 4" xfId="2675"/>
    <cellStyle name="Обычный 15 4 2" xfId="4801"/>
    <cellStyle name="Обычный 15 5" xfId="3408"/>
    <cellStyle name="Обычный 15 6" xfId="4048"/>
    <cellStyle name="Обычный 16" xfId="1250"/>
    <cellStyle name="Обычный 17" xfId="1251"/>
    <cellStyle name="Обычный 18" xfId="1252"/>
    <cellStyle name="Обычный 19" xfId="1253"/>
    <cellStyle name="Обычный 19 2" xfId="1254"/>
    <cellStyle name="Обычный 19_бюджет новая форма2" xfId="1255"/>
    <cellStyle name="Обычный 2" xfId="1"/>
    <cellStyle name="Обычный 2 10" xfId="119"/>
    <cellStyle name="Обычный 2 10 2" xfId="1257"/>
    <cellStyle name="Обычный 2 10 3" xfId="2138"/>
    <cellStyle name="Обычный 2 10 3 2" xfId="2439"/>
    <cellStyle name="Обычный 2 10 3 2 2" xfId="2680"/>
    <cellStyle name="Обычный 2 10 3 2 2 2" xfId="4806"/>
    <cellStyle name="Обычный 2 10 3 2 3" xfId="3413"/>
    <cellStyle name="Обычный 2 10 3 2 4" xfId="4566"/>
    <cellStyle name="Обычный 2 10 3 3" xfId="2679"/>
    <cellStyle name="Обычный 2 10 3 3 2" xfId="4805"/>
    <cellStyle name="Обычный 2 10 3 4" xfId="3412"/>
    <cellStyle name="Обычный 2 10 3 5" xfId="4305"/>
    <cellStyle name="Обычный 2 10 4" xfId="2678"/>
    <cellStyle name="Обычный 2 10 4 2" xfId="4804"/>
    <cellStyle name="Обычный 2 10 5" xfId="3284"/>
    <cellStyle name="Обычный 2 10 5 2" xfId="5410"/>
    <cellStyle name="Обычный 2 10 6" xfId="3411"/>
    <cellStyle name="Обычный 2 10 7" xfId="4020"/>
    <cellStyle name="Обычный 2 11" xfId="120"/>
    <cellStyle name="Обычный 2 11 2" xfId="1258"/>
    <cellStyle name="Обычный 2 11 3" xfId="2137"/>
    <cellStyle name="Обычный 2 11 3 2" xfId="2438"/>
    <cellStyle name="Обычный 2 11 3 2 2" xfId="2683"/>
    <cellStyle name="Обычный 2 11 3 2 2 2" xfId="4809"/>
    <cellStyle name="Обычный 2 11 3 2 3" xfId="3416"/>
    <cellStyle name="Обычный 2 11 3 2 4" xfId="4565"/>
    <cellStyle name="Обычный 2 11 3 3" xfId="2682"/>
    <cellStyle name="Обычный 2 11 3 3 2" xfId="4808"/>
    <cellStyle name="Обычный 2 11 3 4" xfId="3415"/>
    <cellStyle name="Обычный 2 11 3 5" xfId="4304"/>
    <cellStyle name="Обычный 2 11 4" xfId="2681"/>
    <cellStyle name="Обычный 2 11 4 2" xfId="4807"/>
    <cellStyle name="Обычный 2 11 5" xfId="3285"/>
    <cellStyle name="Обычный 2 11 5 2" xfId="5411"/>
    <cellStyle name="Обычный 2 11 6" xfId="3414"/>
    <cellStyle name="Обычный 2 11 7" xfId="4021"/>
    <cellStyle name="Обычный 2 12" xfId="121"/>
    <cellStyle name="Обычный 2 12 2" xfId="1259"/>
    <cellStyle name="Обычный 2 12 3" xfId="2136"/>
    <cellStyle name="Обычный 2 12 3 2" xfId="2437"/>
    <cellStyle name="Обычный 2 12 3 2 2" xfId="2686"/>
    <cellStyle name="Обычный 2 12 3 2 2 2" xfId="4812"/>
    <cellStyle name="Обычный 2 12 3 2 3" xfId="3419"/>
    <cellStyle name="Обычный 2 12 3 2 4" xfId="4564"/>
    <cellStyle name="Обычный 2 12 3 3" xfId="2685"/>
    <cellStyle name="Обычный 2 12 3 3 2" xfId="4811"/>
    <cellStyle name="Обычный 2 12 3 4" xfId="3418"/>
    <cellStyle name="Обычный 2 12 3 5" xfId="4303"/>
    <cellStyle name="Обычный 2 12 4" xfId="2684"/>
    <cellStyle name="Обычный 2 12 4 2" xfId="4810"/>
    <cellStyle name="Обычный 2 12 5" xfId="3286"/>
    <cellStyle name="Обычный 2 12 5 2" xfId="5412"/>
    <cellStyle name="Обычный 2 12 6" xfId="3417"/>
    <cellStyle name="Обычный 2 12 7" xfId="4022"/>
    <cellStyle name="Обычный 2 13" xfId="122"/>
    <cellStyle name="Обычный 2 13 2" xfId="1260"/>
    <cellStyle name="Обычный 2 13 3" xfId="2135"/>
    <cellStyle name="Обычный 2 13 3 2" xfId="2436"/>
    <cellStyle name="Обычный 2 13 3 2 2" xfId="2689"/>
    <cellStyle name="Обычный 2 13 3 2 2 2" xfId="4815"/>
    <cellStyle name="Обычный 2 13 3 2 3" xfId="3422"/>
    <cellStyle name="Обычный 2 13 3 2 4" xfId="4563"/>
    <cellStyle name="Обычный 2 13 3 3" xfId="2688"/>
    <cellStyle name="Обычный 2 13 3 3 2" xfId="4814"/>
    <cellStyle name="Обычный 2 13 3 4" xfId="3421"/>
    <cellStyle name="Обычный 2 13 3 5" xfId="4302"/>
    <cellStyle name="Обычный 2 13 4" xfId="2687"/>
    <cellStyle name="Обычный 2 13 4 2" xfId="4813"/>
    <cellStyle name="Обычный 2 13 5" xfId="3287"/>
    <cellStyle name="Обычный 2 13 5 2" xfId="5413"/>
    <cellStyle name="Обычный 2 13 6" xfId="3420"/>
    <cellStyle name="Обычный 2 13 7" xfId="4023"/>
    <cellStyle name="Обычный 2 14" xfId="123"/>
    <cellStyle name="Обычный 2 15" xfId="124"/>
    <cellStyle name="Обычный 2 16" xfId="125"/>
    <cellStyle name="Обычный 2 17" xfId="1261"/>
    <cellStyle name="Обычный 2 17 2" xfId="1262"/>
    <cellStyle name="Обычный 2 17 2 2" xfId="1263"/>
    <cellStyle name="Обычный 2 17 2 2 2" xfId="1967"/>
    <cellStyle name="Обычный 2 17 2 2 2 2" xfId="2463"/>
    <cellStyle name="Обычный 2 17 2 2 2 2 2" xfId="2694"/>
    <cellStyle name="Обычный 2 17 2 2 2 2 2 2" xfId="4820"/>
    <cellStyle name="Обычный 2 17 2 2 2 2 3" xfId="3427"/>
    <cellStyle name="Обычный 2 17 2 2 2 2 4" xfId="4590"/>
    <cellStyle name="Обычный 2 17 2 2 2 3" xfId="2693"/>
    <cellStyle name="Обычный 2 17 2 2 2 3 2" xfId="4819"/>
    <cellStyle name="Обычный 2 17 2 2 2 4" xfId="3426"/>
    <cellStyle name="Обычный 2 17 2 2 2 5" xfId="4176"/>
    <cellStyle name="Обычный 2 17 2 2 3" xfId="2200"/>
    <cellStyle name="Обычный 2 17 2 2 3 2" xfId="2695"/>
    <cellStyle name="Обычный 2 17 2 2 3 2 2" xfId="4821"/>
    <cellStyle name="Обычный 2 17 2 2 3 3" xfId="3428"/>
    <cellStyle name="Обычный 2 17 2 2 3 4" xfId="4327"/>
    <cellStyle name="Обычный 2 17 2 2 4" xfId="2310"/>
    <cellStyle name="Обычный 2 17 2 2 4 2" xfId="2696"/>
    <cellStyle name="Обычный 2 17 2 2 4 2 2" xfId="4822"/>
    <cellStyle name="Обычный 2 17 2 2 4 3" xfId="3429"/>
    <cellStyle name="Обычный 2 17 2 2 4 4" xfId="4437"/>
    <cellStyle name="Обычный 2 17 2 2 5" xfId="2692"/>
    <cellStyle name="Обычный 2 17 2 2 5 2" xfId="4818"/>
    <cellStyle name="Обычный 2 17 2 2 6" xfId="3425"/>
    <cellStyle name="Обычный 2 17 2 2 7" xfId="4066"/>
    <cellStyle name="Обычный 2 17 2 3" xfId="1966"/>
    <cellStyle name="Обычный 2 17 2 3 2" xfId="2462"/>
    <cellStyle name="Обычный 2 17 2 3 2 2" xfId="2698"/>
    <cellStyle name="Обычный 2 17 2 3 2 2 2" xfId="4824"/>
    <cellStyle name="Обычный 2 17 2 3 2 3" xfId="3431"/>
    <cellStyle name="Обычный 2 17 2 3 2 4" xfId="4589"/>
    <cellStyle name="Обычный 2 17 2 3 3" xfId="2697"/>
    <cellStyle name="Обычный 2 17 2 3 3 2" xfId="4823"/>
    <cellStyle name="Обычный 2 17 2 3 4" xfId="3430"/>
    <cellStyle name="Обычный 2 17 2 3 5" xfId="4175"/>
    <cellStyle name="Обычный 2 17 2 4" xfId="2199"/>
    <cellStyle name="Обычный 2 17 2 4 2" xfId="2699"/>
    <cellStyle name="Обычный 2 17 2 4 2 2" xfId="4825"/>
    <cellStyle name="Обычный 2 17 2 4 3" xfId="3432"/>
    <cellStyle name="Обычный 2 17 2 4 4" xfId="4326"/>
    <cellStyle name="Обычный 2 17 2 5" xfId="2309"/>
    <cellStyle name="Обычный 2 17 2 5 2" xfId="2700"/>
    <cellStyle name="Обычный 2 17 2 5 2 2" xfId="4826"/>
    <cellStyle name="Обычный 2 17 2 5 3" xfId="3433"/>
    <cellStyle name="Обычный 2 17 2 5 4" xfId="4436"/>
    <cellStyle name="Обычный 2 17 2 6" xfId="2691"/>
    <cellStyle name="Обычный 2 17 2 6 2" xfId="4817"/>
    <cellStyle name="Обычный 2 17 2 7" xfId="3424"/>
    <cellStyle name="Обычный 2 17 2 8" xfId="4065"/>
    <cellStyle name="Обычный 2 17 3" xfId="1264"/>
    <cellStyle name="Обычный 2 17 3 2" xfId="1968"/>
    <cellStyle name="Обычный 2 17 3 2 2" xfId="2464"/>
    <cellStyle name="Обычный 2 17 3 2 2 2" xfId="2703"/>
    <cellStyle name="Обычный 2 17 3 2 2 2 2" xfId="4829"/>
    <cellStyle name="Обычный 2 17 3 2 2 3" xfId="3436"/>
    <cellStyle name="Обычный 2 17 3 2 2 4" xfId="4591"/>
    <cellStyle name="Обычный 2 17 3 2 3" xfId="2702"/>
    <cellStyle name="Обычный 2 17 3 2 3 2" xfId="4828"/>
    <cellStyle name="Обычный 2 17 3 2 4" xfId="3435"/>
    <cellStyle name="Обычный 2 17 3 2 5" xfId="4177"/>
    <cellStyle name="Обычный 2 17 3 3" xfId="2201"/>
    <cellStyle name="Обычный 2 17 3 3 2" xfId="2704"/>
    <cellStyle name="Обычный 2 17 3 3 2 2" xfId="4830"/>
    <cellStyle name="Обычный 2 17 3 3 3" xfId="3437"/>
    <cellStyle name="Обычный 2 17 3 3 4" xfId="4328"/>
    <cellStyle name="Обычный 2 17 3 4" xfId="2311"/>
    <cellStyle name="Обычный 2 17 3 4 2" xfId="2705"/>
    <cellStyle name="Обычный 2 17 3 4 2 2" xfId="4831"/>
    <cellStyle name="Обычный 2 17 3 4 3" xfId="3438"/>
    <cellStyle name="Обычный 2 17 3 4 4" xfId="4438"/>
    <cellStyle name="Обычный 2 17 3 5" xfId="2701"/>
    <cellStyle name="Обычный 2 17 3 5 2" xfId="4827"/>
    <cellStyle name="Обычный 2 17 3 6" xfId="3434"/>
    <cellStyle name="Обычный 2 17 3 7" xfId="4067"/>
    <cellStyle name="Обычный 2 17 4" xfId="1965"/>
    <cellStyle name="Обычный 2 17 4 2" xfId="2461"/>
    <cellStyle name="Обычный 2 17 4 2 2" xfId="2707"/>
    <cellStyle name="Обычный 2 17 4 2 2 2" xfId="4833"/>
    <cellStyle name="Обычный 2 17 4 2 3" xfId="3440"/>
    <cellStyle name="Обычный 2 17 4 2 4" xfId="4588"/>
    <cellStyle name="Обычный 2 17 4 3" xfId="2706"/>
    <cellStyle name="Обычный 2 17 4 3 2" xfId="4832"/>
    <cellStyle name="Обычный 2 17 4 4" xfId="3439"/>
    <cellStyle name="Обычный 2 17 4 5" xfId="4174"/>
    <cellStyle name="Обычный 2 17 5" xfId="2198"/>
    <cellStyle name="Обычный 2 17 5 2" xfId="2708"/>
    <cellStyle name="Обычный 2 17 5 2 2" xfId="4834"/>
    <cellStyle name="Обычный 2 17 5 3" xfId="3441"/>
    <cellStyle name="Обычный 2 17 5 4" xfId="4325"/>
    <cellStyle name="Обычный 2 17 6" xfId="2308"/>
    <cellStyle name="Обычный 2 17 6 2" xfId="2709"/>
    <cellStyle name="Обычный 2 17 6 2 2" xfId="4835"/>
    <cellStyle name="Обычный 2 17 6 3" xfId="3442"/>
    <cellStyle name="Обычный 2 17 6 4" xfId="4435"/>
    <cellStyle name="Обычный 2 17 7" xfId="2690"/>
    <cellStyle name="Обычный 2 17 7 2" xfId="4816"/>
    <cellStyle name="Обычный 2 17 8" xfId="3423"/>
    <cellStyle name="Обычный 2 17 9" xfId="4064"/>
    <cellStyle name="Обычный 2 18" xfId="1265"/>
    <cellStyle name="Обычный 2 19" xfId="1266"/>
    <cellStyle name="Обычный 2 2" xfId="126"/>
    <cellStyle name="Обычный 2 2 10" xfId="2134"/>
    <cellStyle name="Обычный 2 2 2" xfId="127"/>
    <cellStyle name="Обычный 2 2 2 2" xfId="128"/>
    <cellStyle name="Обычный 2 2 2 2 10" xfId="3443"/>
    <cellStyle name="Обычный 2 2 2 2 11" xfId="4024"/>
    <cellStyle name="Обычный 2 2 2 2 2" xfId="1268"/>
    <cellStyle name="Обычный 2 2 2 2 2 2" xfId="1269"/>
    <cellStyle name="Обычный 2 2 2 2 2 2 2" xfId="1971"/>
    <cellStyle name="Обычный 2 2 2 2 2 2 2 2" xfId="2467"/>
    <cellStyle name="Обычный 2 2 2 2 2 2 2 2 2" xfId="2714"/>
    <cellStyle name="Обычный 2 2 2 2 2 2 2 2 2 2" xfId="4840"/>
    <cellStyle name="Обычный 2 2 2 2 2 2 2 2 3" xfId="3447"/>
    <cellStyle name="Обычный 2 2 2 2 2 2 2 2 4" xfId="4594"/>
    <cellStyle name="Обычный 2 2 2 2 2 2 2 3" xfId="2713"/>
    <cellStyle name="Обычный 2 2 2 2 2 2 2 3 2" xfId="4839"/>
    <cellStyle name="Обычный 2 2 2 2 2 2 2 4" xfId="3446"/>
    <cellStyle name="Обычный 2 2 2 2 2 2 2 5" xfId="4180"/>
    <cellStyle name="Обычный 2 2 2 2 2 2 3" xfId="2204"/>
    <cellStyle name="Обычный 2 2 2 2 2 2 3 2" xfId="2715"/>
    <cellStyle name="Обычный 2 2 2 2 2 2 3 2 2" xfId="4841"/>
    <cellStyle name="Обычный 2 2 2 2 2 2 3 3" xfId="3448"/>
    <cellStyle name="Обычный 2 2 2 2 2 2 3 4" xfId="4331"/>
    <cellStyle name="Обычный 2 2 2 2 2 2 4" xfId="2314"/>
    <cellStyle name="Обычный 2 2 2 2 2 2 4 2" xfId="2716"/>
    <cellStyle name="Обычный 2 2 2 2 2 2 4 2 2" xfId="4842"/>
    <cellStyle name="Обычный 2 2 2 2 2 2 4 3" xfId="3449"/>
    <cellStyle name="Обычный 2 2 2 2 2 2 4 4" xfId="4441"/>
    <cellStyle name="Обычный 2 2 2 2 2 2 5" xfId="2712"/>
    <cellStyle name="Обычный 2 2 2 2 2 2 5 2" xfId="4838"/>
    <cellStyle name="Обычный 2 2 2 2 2 2 6" xfId="3445"/>
    <cellStyle name="Обычный 2 2 2 2 2 2 7" xfId="4070"/>
    <cellStyle name="Обычный 2 2 2 2 2 3" xfId="1970"/>
    <cellStyle name="Обычный 2 2 2 2 2 3 2" xfId="2466"/>
    <cellStyle name="Обычный 2 2 2 2 2 3 2 2" xfId="2718"/>
    <cellStyle name="Обычный 2 2 2 2 2 3 2 2 2" xfId="4844"/>
    <cellStyle name="Обычный 2 2 2 2 2 3 2 3" xfId="3451"/>
    <cellStyle name="Обычный 2 2 2 2 2 3 2 4" xfId="4593"/>
    <cellStyle name="Обычный 2 2 2 2 2 3 3" xfId="2717"/>
    <cellStyle name="Обычный 2 2 2 2 2 3 3 2" xfId="4843"/>
    <cellStyle name="Обычный 2 2 2 2 2 3 4" xfId="3450"/>
    <cellStyle name="Обычный 2 2 2 2 2 3 5" xfId="4179"/>
    <cellStyle name="Обычный 2 2 2 2 2 4" xfId="2203"/>
    <cellStyle name="Обычный 2 2 2 2 2 4 2" xfId="2719"/>
    <cellStyle name="Обычный 2 2 2 2 2 4 2 2" xfId="4845"/>
    <cellStyle name="Обычный 2 2 2 2 2 4 3" xfId="3452"/>
    <cellStyle name="Обычный 2 2 2 2 2 4 4" xfId="4330"/>
    <cellStyle name="Обычный 2 2 2 2 2 5" xfId="2313"/>
    <cellStyle name="Обычный 2 2 2 2 2 5 2" xfId="2720"/>
    <cellStyle name="Обычный 2 2 2 2 2 5 2 2" xfId="4846"/>
    <cellStyle name="Обычный 2 2 2 2 2 5 3" xfId="3453"/>
    <cellStyle name="Обычный 2 2 2 2 2 5 4" xfId="4440"/>
    <cellStyle name="Обычный 2 2 2 2 2 6" xfId="2711"/>
    <cellStyle name="Обычный 2 2 2 2 2 6 2" xfId="4837"/>
    <cellStyle name="Обычный 2 2 2 2 2 7" xfId="3444"/>
    <cellStyle name="Обычный 2 2 2 2 2 8" xfId="4069"/>
    <cellStyle name="Обычный 2 2 2 2 3" xfId="1270"/>
    <cellStyle name="Обычный 2 2 2 2 3 2" xfId="1972"/>
    <cellStyle name="Обычный 2 2 2 2 3 2 2" xfId="2468"/>
    <cellStyle name="Обычный 2 2 2 2 3 2 2 2" xfId="2723"/>
    <cellStyle name="Обычный 2 2 2 2 3 2 2 2 2" xfId="4849"/>
    <cellStyle name="Обычный 2 2 2 2 3 2 2 3" xfId="3456"/>
    <cellStyle name="Обычный 2 2 2 2 3 2 2 4" xfId="4595"/>
    <cellStyle name="Обычный 2 2 2 2 3 2 3" xfId="2722"/>
    <cellStyle name="Обычный 2 2 2 2 3 2 3 2" xfId="4848"/>
    <cellStyle name="Обычный 2 2 2 2 3 2 4" xfId="3455"/>
    <cellStyle name="Обычный 2 2 2 2 3 2 5" xfId="4181"/>
    <cellStyle name="Обычный 2 2 2 2 3 3" xfId="2205"/>
    <cellStyle name="Обычный 2 2 2 2 3 3 2" xfId="2724"/>
    <cellStyle name="Обычный 2 2 2 2 3 3 2 2" xfId="4850"/>
    <cellStyle name="Обычный 2 2 2 2 3 3 3" xfId="3457"/>
    <cellStyle name="Обычный 2 2 2 2 3 3 4" xfId="4332"/>
    <cellStyle name="Обычный 2 2 2 2 3 4" xfId="2315"/>
    <cellStyle name="Обычный 2 2 2 2 3 4 2" xfId="2725"/>
    <cellStyle name="Обычный 2 2 2 2 3 4 2 2" xfId="4851"/>
    <cellStyle name="Обычный 2 2 2 2 3 4 3" xfId="3458"/>
    <cellStyle name="Обычный 2 2 2 2 3 4 4" xfId="4442"/>
    <cellStyle name="Обычный 2 2 2 2 3 5" xfId="2721"/>
    <cellStyle name="Обычный 2 2 2 2 3 5 2" xfId="4847"/>
    <cellStyle name="Обычный 2 2 2 2 3 6" xfId="3454"/>
    <cellStyle name="Обычный 2 2 2 2 3 7" xfId="4071"/>
    <cellStyle name="Обычный 2 2 2 2 4" xfId="1267"/>
    <cellStyle name="Обычный 2 2 2 2 4 2" xfId="2078"/>
    <cellStyle name="Обычный 2 2 2 2 4 2 2" xfId="2571"/>
    <cellStyle name="Обычный 2 2 2 2 4 2 2 2" xfId="2728"/>
    <cellStyle name="Обычный 2 2 2 2 4 2 2 2 2" xfId="4854"/>
    <cellStyle name="Обычный 2 2 2 2 4 2 2 3" xfId="3461"/>
    <cellStyle name="Обычный 2 2 2 2 4 2 2 4" xfId="4698"/>
    <cellStyle name="Обычный 2 2 2 2 4 2 3" xfId="2727"/>
    <cellStyle name="Обычный 2 2 2 2 4 2 3 2" xfId="4853"/>
    <cellStyle name="Обычный 2 2 2 2 4 2 4" xfId="3460"/>
    <cellStyle name="Обычный 2 2 2 2 4 2 5" xfId="4284"/>
    <cellStyle name="Обычный 2 2 2 2 4 3" xfId="2418"/>
    <cellStyle name="Обычный 2 2 2 2 4 3 2" xfId="2729"/>
    <cellStyle name="Обычный 2 2 2 2 4 3 2 2" xfId="4855"/>
    <cellStyle name="Обычный 2 2 2 2 4 3 3" xfId="3462"/>
    <cellStyle name="Обычный 2 2 2 2 4 3 4" xfId="4545"/>
    <cellStyle name="Обычный 2 2 2 2 4 4" xfId="2726"/>
    <cellStyle name="Обычный 2 2 2 2 4 4 2" xfId="4852"/>
    <cellStyle name="Обычный 2 2 2 2 4 5" xfId="3459"/>
    <cellStyle name="Обычный 2 2 2 2 4 6" xfId="4068"/>
    <cellStyle name="Обычный 2 2 2 2 5" xfId="1969"/>
    <cellStyle name="Обычный 2 2 2 2 5 2" xfId="2465"/>
    <cellStyle name="Обычный 2 2 2 2 5 2 2" xfId="2731"/>
    <cellStyle name="Обычный 2 2 2 2 5 2 2 2" xfId="4857"/>
    <cellStyle name="Обычный 2 2 2 2 5 2 3" xfId="3464"/>
    <cellStyle name="Обычный 2 2 2 2 5 2 4" xfId="4592"/>
    <cellStyle name="Обычный 2 2 2 2 5 3" xfId="2730"/>
    <cellStyle name="Обычный 2 2 2 2 5 3 2" xfId="4856"/>
    <cellStyle name="Обычный 2 2 2 2 5 4" xfId="3463"/>
    <cellStyle name="Обычный 2 2 2 2 5 5" xfId="4178"/>
    <cellStyle name="Обычный 2 2 2 2 6" xfId="2202"/>
    <cellStyle name="Обычный 2 2 2 2 6 2" xfId="2732"/>
    <cellStyle name="Обычный 2 2 2 2 6 2 2" xfId="4858"/>
    <cellStyle name="Обычный 2 2 2 2 6 3" xfId="3465"/>
    <cellStyle name="Обычный 2 2 2 2 6 4" xfId="4329"/>
    <cellStyle name="Обычный 2 2 2 2 7" xfId="2312"/>
    <cellStyle name="Обычный 2 2 2 2 7 2" xfId="2733"/>
    <cellStyle name="Обычный 2 2 2 2 7 2 2" xfId="4859"/>
    <cellStyle name="Обычный 2 2 2 2 7 3" xfId="3466"/>
    <cellStyle name="Обычный 2 2 2 2 7 4" xfId="4439"/>
    <cellStyle name="Обычный 2 2 2 2 8" xfId="2710"/>
    <cellStyle name="Обычный 2 2 2 2 8 2" xfId="4836"/>
    <cellStyle name="Обычный 2 2 2 2 9" xfId="3288"/>
    <cellStyle name="Обычный 2 2 2 2 9 2" xfId="5414"/>
    <cellStyle name="Обычный 2 2 2 3" xfId="129"/>
    <cellStyle name="Обычный 2 2 2 3 10" xfId="3467"/>
    <cellStyle name="Обычный 2 2 2 3 11" xfId="4025"/>
    <cellStyle name="Обычный 2 2 2 3 2" xfId="1272"/>
    <cellStyle name="Обычный 2 2 2 3 2 2" xfId="1273"/>
    <cellStyle name="Обычный 2 2 2 3 2 2 2" xfId="1975"/>
    <cellStyle name="Обычный 2 2 2 3 2 2 2 2" xfId="2471"/>
    <cellStyle name="Обычный 2 2 2 3 2 2 2 2 2" xfId="2738"/>
    <cellStyle name="Обычный 2 2 2 3 2 2 2 2 2 2" xfId="4864"/>
    <cellStyle name="Обычный 2 2 2 3 2 2 2 2 3" xfId="3471"/>
    <cellStyle name="Обычный 2 2 2 3 2 2 2 2 4" xfId="4598"/>
    <cellStyle name="Обычный 2 2 2 3 2 2 2 3" xfId="2737"/>
    <cellStyle name="Обычный 2 2 2 3 2 2 2 3 2" xfId="4863"/>
    <cellStyle name="Обычный 2 2 2 3 2 2 2 4" xfId="3470"/>
    <cellStyle name="Обычный 2 2 2 3 2 2 2 5" xfId="4184"/>
    <cellStyle name="Обычный 2 2 2 3 2 2 3" xfId="2208"/>
    <cellStyle name="Обычный 2 2 2 3 2 2 3 2" xfId="2739"/>
    <cellStyle name="Обычный 2 2 2 3 2 2 3 2 2" xfId="4865"/>
    <cellStyle name="Обычный 2 2 2 3 2 2 3 3" xfId="3472"/>
    <cellStyle name="Обычный 2 2 2 3 2 2 3 4" xfId="4335"/>
    <cellStyle name="Обычный 2 2 2 3 2 2 4" xfId="2318"/>
    <cellStyle name="Обычный 2 2 2 3 2 2 4 2" xfId="2740"/>
    <cellStyle name="Обычный 2 2 2 3 2 2 4 2 2" xfId="4866"/>
    <cellStyle name="Обычный 2 2 2 3 2 2 4 3" xfId="3473"/>
    <cellStyle name="Обычный 2 2 2 3 2 2 4 4" xfId="4445"/>
    <cellStyle name="Обычный 2 2 2 3 2 2 5" xfId="2736"/>
    <cellStyle name="Обычный 2 2 2 3 2 2 5 2" xfId="4862"/>
    <cellStyle name="Обычный 2 2 2 3 2 2 6" xfId="3469"/>
    <cellStyle name="Обычный 2 2 2 3 2 2 7" xfId="4074"/>
    <cellStyle name="Обычный 2 2 2 3 2 3" xfId="1974"/>
    <cellStyle name="Обычный 2 2 2 3 2 3 2" xfId="2470"/>
    <cellStyle name="Обычный 2 2 2 3 2 3 2 2" xfId="2742"/>
    <cellStyle name="Обычный 2 2 2 3 2 3 2 2 2" xfId="4868"/>
    <cellStyle name="Обычный 2 2 2 3 2 3 2 3" xfId="3475"/>
    <cellStyle name="Обычный 2 2 2 3 2 3 2 4" xfId="4597"/>
    <cellStyle name="Обычный 2 2 2 3 2 3 3" xfId="2741"/>
    <cellStyle name="Обычный 2 2 2 3 2 3 3 2" xfId="4867"/>
    <cellStyle name="Обычный 2 2 2 3 2 3 4" xfId="3474"/>
    <cellStyle name="Обычный 2 2 2 3 2 3 5" xfId="4183"/>
    <cellStyle name="Обычный 2 2 2 3 2 4" xfId="2207"/>
    <cellStyle name="Обычный 2 2 2 3 2 4 2" xfId="2743"/>
    <cellStyle name="Обычный 2 2 2 3 2 4 2 2" xfId="4869"/>
    <cellStyle name="Обычный 2 2 2 3 2 4 3" xfId="3476"/>
    <cellStyle name="Обычный 2 2 2 3 2 4 4" xfId="4334"/>
    <cellStyle name="Обычный 2 2 2 3 2 5" xfId="2317"/>
    <cellStyle name="Обычный 2 2 2 3 2 5 2" xfId="2744"/>
    <cellStyle name="Обычный 2 2 2 3 2 5 2 2" xfId="4870"/>
    <cellStyle name="Обычный 2 2 2 3 2 5 3" xfId="3477"/>
    <cellStyle name="Обычный 2 2 2 3 2 5 4" xfId="4444"/>
    <cellStyle name="Обычный 2 2 2 3 2 6" xfId="2735"/>
    <cellStyle name="Обычный 2 2 2 3 2 6 2" xfId="4861"/>
    <cellStyle name="Обычный 2 2 2 3 2 7" xfId="3468"/>
    <cellStyle name="Обычный 2 2 2 3 2 8" xfId="4073"/>
    <cellStyle name="Обычный 2 2 2 3 3" xfId="1274"/>
    <cellStyle name="Обычный 2 2 2 3 3 2" xfId="1976"/>
    <cellStyle name="Обычный 2 2 2 3 3 2 2" xfId="2472"/>
    <cellStyle name="Обычный 2 2 2 3 3 2 2 2" xfId="2747"/>
    <cellStyle name="Обычный 2 2 2 3 3 2 2 2 2" xfId="4873"/>
    <cellStyle name="Обычный 2 2 2 3 3 2 2 3" xfId="3480"/>
    <cellStyle name="Обычный 2 2 2 3 3 2 2 4" xfId="4599"/>
    <cellStyle name="Обычный 2 2 2 3 3 2 3" xfId="2746"/>
    <cellStyle name="Обычный 2 2 2 3 3 2 3 2" xfId="4872"/>
    <cellStyle name="Обычный 2 2 2 3 3 2 4" xfId="3479"/>
    <cellStyle name="Обычный 2 2 2 3 3 2 5" xfId="4185"/>
    <cellStyle name="Обычный 2 2 2 3 3 3" xfId="2209"/>
    <cellStyle name="Обычный 2 2 2 3 3 3 2" xfId="2748"/>
    <cellStyle name="Обычный 2 2 2 3 3 3 2 2" xfId="4874"/>
    <cellStyle name="Обычный 2 2 2 3 3 3 3" xfId="3481"/>
    <cellStyle name="Обычный 2 2 2 3 3 3 4" xfId="4336"/>
    <cellStyle name="Обычный 2 2 2 3 3 4" xfId="2319"/>
    <cellStyle name="Обычный 2 2 2 3 3 4 2" xfId="2749"/>
    <cellStyle name="Обычный 2 2 2 3 3 4 2 2" xfId="4875"/>
    <cellStyle name="Обычный 2 2 2 3 3 4 3" xfId="3482"/>
    <cellStyle name="Обычный 2 2 2 3 3 4 4" xfId="4446"/>
    <cellStyle name="Обычный 2 2 2 3 3 5" xfId="2745"/>
    <cellStyle name="Обычный 2 2 2 3 3 5 2" xfId="4871"/>
    <cellStyle name="Обычный 2 2 2 3 3 6" xfId="3478"/>
    <cellStyle name="Обычный 2 2 2 3 3 7" xfId="4075"/>
    <cellStyle name="Обычный 2 2 2 3 4" xfId="1271"/>
    <cellStyle name="Обычный 2 2 2 3 4 2" xfId="2077"/>
    <cellStyle name="Обычный 2 2 2 3 4 2 2" xfId="2570"/>
    <cellStyle name="Обычный 2 2 2 3 4 2 2 2" xfId="2752"/>
    <cellStyle name="Обычный 2 2 2 3 4 2 2 2 2" xfId="4878"/>
    <cellStyle name="Обычный 2 2 2 3 4 2 2 3" xfId="3485"/>
    <cellStyle name="Обычный 2 2 2 3 4 2 2 4" xfId="4697"/>
    <cellStyle name="Обычный 2 2 2 3 4 2 3" xfId="2751"/>
    <cellStyle name="Обычный 2 2 2 3 4 2 3 2" xfId="4877"/>
    <cellStyle name="Обычный 2 2 2 3 4 2 4" xfId="3484"/>
    <cellStyle name="Обычный 2 2 2 3 4 2 5" xfId="4283"/>
    <cellStyle name="Обычный 2 2 2 3 4 3" xfId="2417"/>
    <cellStyle name="Обычный 2 2 2 3 4 3 2" xfId="2753"/>
    <cellStyle name="Обычный 2 2 2 3 4 3 2 2" xfId="4879"/>
    <cellStyle name="Обычный 2 2 2 3 4 3 3" xfId="3486"/>
    <cellStyle name="Обычный 2 2 2 3 4 3 4" xfId="4544"/>
    <cellStyle name="Обычный 2 2 2 3 4 4" xfId="2750"/>
    <cellStyle name="Обычный 2 2 2 3 4 4 2" xfId="4876"/>
    <cellStyle name="Обычный 2 2 2 3 4 5" xfId="3483"/>
    <cellStyle name="Обычный 2 2 2 3 4 6" xfId="4072"/>
    <cellStyle name="Обычный 2 2 2 3 5" xfId="1973"/>
    <cellStyle name="Обычный 2 2 2 3 5 2" xfId="2469"/>
    <cellStyle name="Обычный 2 2 2 3 5 2 2" xfId="2755"/>
    <cellStyle name="Обычный 2 2 2 3 5 2 2 2" xfId="4881"/>
    <cellStyle name="Обычный 2 2 2 3 5 2 3" xfId="3488"/>
    <cellStyle name="Обычный 2 2 2 3 5 2 4" xfId="4596"/>
    <cellStyle name="Обычный 2 2 2 3 5 3" xfId="2754"/>
    <cellStyle name="Обычный 2 2 2 3 5 3 2" xfId="4880"/>
    <cellStyle name="Обычный 2 2 2 3 5 4" xfId="3487"/>
    <cellStyle name="Обычный 2 2 2 3 5 5" xfId="4182"/>
    <cellStyle name="Обычный 2 2 2 3 6" xfId="2206"/>
    <cellStyle name="Обычный 2 2 2 3 6 2" xfId="2756"/>
    <cellStyle name="Обычный 2 2 2 3 6 2 2" xfId="4882"/>
    <cellStyle name="Обычный 2 2 2 3 6 3" xfId="3489"/>
    <cellStyle name="Обычный 2 2 2 3 6 4" xfId="4333"/>
    <cellStyle name="Обычный 2 2 2 3 7" xfId="2316"/>
    <cellStyle name="Обычный 2 2 2 3 7 2" xfId="2757"/>
    <cellStyle name="Обычный 2 2 2 3 7 2 2" xfId="4883"/>
    <cellStyle name="Обычный 2 2 2 3 7 3" xfId="3490"/>
    <cellStyle name="Обычный 2 2 2 3 7 4" xfId="4443"/>
    <cellStyle name="Обычный 2 2 2 3 8" xfId="2734"/>
    <cellStyle name="Обычный 2 2 2 3 8 2" xfId="4860"/>
    <cellStyle name="Обычный 2 2 2 3 9" xfId="3289"/>
    <cellStyle name="Обычный 2 2 2 3 9 2" xfId="5415"/>
    <cellStyle name="Обычный 2 2 2 4" xfId="130"/>
    <cellStyle name="Обычный 2 2 2 4 10" xfId="3491"/>
    <cellStyle name="Обычный 2 2 2 4 11" xfId="4026"/>
    <cellStyle name="Обычный 2 2 2 4 2" xfId="1276"/>
    <cellStyle name="Обычный 2 2 2 4 2 2" xfId="1277"/>
    <cellStyle name="Обычный 2 2 2 4 2 2 2" xfId="1979"/>
    <cellStyle name="Обычный 2 2 2 4 2 2 2 2" xfId="2475"/>
    <cellStyle name="Обычный 2 2 2 4 2 2 2 2 2" xfId="2762"/>
    <cellStyle name="Обычный 2 2 2 4 2 2 2 2 2 2" xfId="4888"/>
    <cellStyle name="Обычный 2 2 2 4 2 2 2 2 3" xfId="3495"/>
    <cellStyle name="Обычный 2 2 2 4 2 2 2 2 4" xfId="4602"/>
    <cellStyle name="Обычный 2 2 2 4 2 2 2 3" xfId="2761"/>
    <cellStyle name="Обычный 2 2 2 4 2 2 2 3 2" xfId="4887"/>
    <cellStyle name="Обычный 2 2 2 4 2 2 2 4" xfId="3494"/>
    <cellStyle name="Обычный 2 2 2 4 2 2 2 5" xfId="4188"/>
    <cellStyle name="Обычный 2 2 2 4 2 2 3" xfId="2212"/>
    <cellStyle name="Обычный 2 2 2 4 2 2 3 2" xfId="2763"/>
    <cellStyle name="Обычный 2 2 2 4 2 2 3 2 2" xfId="4889"/>
    <cellStyle name="Обычный 2 2 2 4 2 2 3 3" xfId="3496"/>
    <cellStyle name="Обычный 2 2 2 4 2 2 3 4" xfId="4339"/>
    <cellStyle name="Обычный 2 2 2 4 2 2 4" xfId="2322"/>
    <cellStyle name="Обычный 2 2 2 4 2 2 4 2" xfId="2764"/>
    <cellStyle name="Обычный 2 2 2 4 2 2 4 2 2" xfId="4890"/>
    <cellStyle name="Обычный 2 2 2 4 2 2 4 3" xfId="3497"/>
    <cellStyle name="Обычный 2 2 2 4 2 2 4 4" xfId="4449"/>
    <cellStyle name="Обычный 2 2 2 4 2 2 5" xfId="2760"/>
    <cellStyle name="Обычный 2 2 2 4 2 2 5 2" xfId="4886"/>
    <cellStyle name="Обычный 2 2 2 4 2 2 6" xfId="3493"/>
    <cellStyle name="Обычный 2 2 2 4 2 2 7" xfId="4078"/>
    <cellStyle name="Обычный 2 2 2 4 2 3" xfId="1978"/>
    <cellStyle name="Обычный 2 2 2 4 2 3 2" xfId="2474"/>
    <cellStyle name="Обычный 2 2 2 4 2 3 2 2" xfId="2766"/>
    <cellStyle name="Обычный 2 2 2 4 2 3 2 2 2" xfId="4892"/>
    <cellStyle name="Обычный 2 2 2 4 2 3 2 3" xfId="3499"/>
    <cellStyle name="Обычный 2 2 2 4 2 3 2 4" xfId="4601"/>
    <cellStyle name="Обычный 2 2 2 4 2 3 3" xfId="2765"/>
    <cellStyle name="Обычный 2 2 2 4 2 3 3 2" xfId="4891"/>
    <cellStyle name="Обычный 2 2 2 4 2 3 4" xfId="3498"/>
    <cellStyle name="Обычный 2 2 2 4 2 3 5" xfId="4187"/>
    <cellStyle name="Обычный 2 2 2 4 2 4" xfId="2211"/>
    <cellStyle name="Обычный 2 2 2 4 2 4 2" xfId="2767"/>
    <cellStyle name="Обычный 2 2 2 4 2 4 2 2" xfId="4893"/>
    <cellStyle name="Обычный 2 2 2 4 2 4 3" xfId="3500"/>
    <cellStyle name="Обычный 2 2 2 4 2 4 4" xfId="4338"/>
    <cellStyle name="Обычный 2 2 2 4 2 5" xfId="2321"/>
    <cellStyle name="Обычный 2 2 2 4 2 5 2" xfId="2768"/>
    <cellStyle name="Обычный 2 2 2 4 2 5 2 2" xfId="4894"/>
    <cellStyle name="Обычный 2 2 2 4 2 5 3" xfId="3501"/>
    <cellStyle name="Обычный 2 2 2 4 2 5 4" xfId="4448"/>
    <cellStyle name="Обычный 2 2 2 4 2 6" xfId="2759"/>
    <cellStyle name="Обычный 2 2 2 4 2 6 2" xfId="4885"/>
    <cellStyle name="Обычный 2 2 2 4 2 7" xfId="3492"/>
    <cellStyle name="Обычный 2 2 2 4 2 8" xfId="4077"/>
    <cellStyle name="Обычный 2 2 2 4 3" xfId="1278"/>
    <cellStyle name="Обычный 2 2 2 4 3 2" xfId="1980"/>
    <cellStyle name="Обычный 2 2 2 4 3 2 2" xfId="2476"/>
    <cellStyle name="Обычный 2 2 2 4 3 2 2 2" xfId="2771"/>
    <cellStyle name="Обычный 2 2 2 4 3 2 2 2 2" xfId="4897"/>
    <cellStyle name="Обычный 2 2 2 4 3 2 2 3" xfId="3504"/>
    <cellStyle name="Обычный 2 2 2 4 3 2 2 4" xfId="4603"/>
    <cellStyle name="Обычный 2 2 2 4 3 2 3" xfId="2770"/>
    <cellStyle name="Обычный 2 2 2 4 3 2 3 2" xfId="4896"/>
    <cellStyle name="Обычный 2 2 2 4 3 2 4" xfId="3503"/>
    <cellStyle name="Обычный 2 2 2 4 3 2 5" xfId="4189"/>
    <cellStyle name="Обычный 2 2 2 4 3 3" xfId="2213"/>
    <cellStyle name="Обычный 2 2 2 4 3 3 2" xfId="2772"/>
    <cellStyle name="Обычный 2 2 2 4 3 3 2 2" xfId="4898"/>
    <cellStyle name="Обычный 2 2 2 4 3 3 3" xfId="3505"/>
    <cellStyle name="Обычный 2 2 2 4 3 3 4" xfId="4340"/>
    <cellStyle name="Обычный 2 2 2 4 3 4" xfId="2323"/>
    <cellStyle name="Обычный 2 2 2 4 3 4 2" xfId="2773"/>
    <cellStyle name="Обычный 2 2 2 4 3 4 2 2" xfId="4899"/>
    <cellStyle name="Обычный 2 2 2 4 3 4 3" xfId="3506"/>
    <cellStyle name="Обычный 2 2 2 4 3 4 4" xfId="4450"/>
    <cellStyle name="Обычный 2 2 2 4 3 5" xfId="2769"/>
    <cellStyle name="Обычный 2 2 2 4 3 5 2" xfId="4895"/>
    <cellStyle name="Обычный 2 2 2 4 3 6" xfId="3502"/>
    <cellStyle name="Обычный 2 2 2 4 3 7" xfId="4079"/>
    <cellStyle name="Обычный 2 2 2 4 4" xfId="1275"/>
    <cellStyle name="Обычный 2 2 2 4 4 2" xfId="2076"/>
    <cellStyle name="Обычный 2 2 2 4 4 2 2" xfId="2569"/>
    <cellStyle name="Обычный 2 2 2 4 4 2 2 2" xfId="2776"/>
    <cellStyle name="Обычный 2 2 2 4 4 2 2 2 2" xfId="4902"/>
    <cellStyle name="Обычный 2 2 2 4 4 2 2 3" xfId="3509"/>
    <cellStyle name="Обычный 2 2 2 4 4 2 2 4" xfId="4696"/>
    <cellStyle name="Обычный 2 2 2 4 4 2 3" xfId="2775"/>
    <cellStyle name="Обычный 2 2 2 4 4 2 3 2" xfId="4901"/>
    <cellStyle name="Обычный 2 2 2 4 4 2 4" xfId="3508"/>
    <cellStyle name="Обычный 2 2 2 4 4 2 5" xfId="4282"/>
    <cellStyle name="Обычный 2 2 2 4 4 3" xfId="2416"/>
    <cellStyle name="Обычный 2 2 2 4 4 3 2" xfId="2777"/>
    <cellStyle name="Обычный 2 2 2 4 4 3 2 2" xfId="4903"/>
    <cellStyle name="Обычный 2 2 2 4 4 3 3" xfId="3510"/>
    <cellStyle name="Обычный 2 2 2 4 4 3 4" xfId="4543"/>
    <cellStyle name="Обычный 2 2 2 4 4 4" xfId="2774"/>
    <cellStyle name="Обычный 2 2 2 4 4 4 2" xfId="4900"/>
    <cellStyle name="Обычный 2 2 2 4 4 5" xfId="3507"/>
    <cellStyle name="Обычный 2 2 2 4 4 6" xfId="4076"/>
    <cellStyle name="Обычный 2 2 2 4 5" xfId="1977"/>
    <cellStyle name="Обычный 2 2 2 4 5 2" xfId="2473"/>
    <cellStyle name="Обычный 2 2 2 4 5 2 2" xfId="2779"/>
    <cellStyle name="Обычный 2 2 2 4 5 2 2 2" xfId="4905"/>
    <cellStyle name="Обычный 2 2 2 4 5 2 3" xfId="3512"/>
    <cellStyle name="Обычный 2 2 2 4 5 2 4" xfId="4600"/>
    <cellStyle name="Обычный 2 2 2 4 5 3" xfId="2778"/>
    <cellStyle name="Обычный 2 2 2 4 5 3 2" xfId="4904"/>
    <cellStyle name="Обычный 2 2 2 4 5 4" xfId="3511"/>
    <cellStyle name="Обычный 2 2 2 4 5 5" xfId="4186"/>
    <cellStyle name="Обычный 2 2 2 4 6" xfId="2210"/>
    <cellStyle name="Обычный 2 2 2 4 6 2" xfId="2780"/>
    <cellStyle name="Обычный 2 2 2 4 6 2 2" xfId="4906"/>
    <cellStyle name="Обычный 2 2 2 4 6 3" xfId="3513"/>
    <cellStyle name="Обычный 2 2 2 4 6 4" xfId="4337"/>
    <cellStyle name="Обычный 2 2 2 4 7" xfId="2320"/>
    <cellStyle name="Обычный 2 2 2 4 7 2" xfId="2781"/>
    <cellStyle name="Обычный 2 2 2 4 7 2 2" xfId="4907"/>
    <cellStyle name="Обычный 2 2 2 4 7 3" xfId="3514"/>
    <cellStyle name="Обычный 2 2 2 4 7 4" xfId="4447"/>
    <cellStyle name="Обычный 2 2 2 4 8" xfId="2758"/>
    <cellStyle name="Обычный 2 2 2 4 8 2" xfId="4884"/>
    <cellStyle name="Обычный 2 2 2 4 9" xfId="3290"/>
    <cellStyle name="Обычный 2 2 2 4 9 2" xfId="5416"/>
    <cellStyle name="Обычный 2 2 2 5" xfId="131"/>
    <cellStyle name="Обычный 2 2 2 5 10" xfId="3515"/>
    <cellStyle name="Обычный 2 2 2 5 11" xfId="4027"/>
    <cellStyle name="Обычный 2 2 2 5 2" xfId="1280"/>
    <cellStyle name="Обычный 2 2 2 5 2 2" xfId="1281"/>
    <cellStyle name="Обычный 2 2 2 5 2 2 2" xfId="1983"/>
    <cellStyle name="Обычный 2 2 2 5 2 2 2 2" xfId="2479"/>
    <cellStyle name="Обычный 2 2 2 5 2 2 2 2 2" xfId="2786"/>
    <cellStyle name="Обычный 2 2 2 5 2 2 2 2 2 2" xfId="4912"/>
    <cellStyle name="Обычный 2 2 2 5 2 2 2 2 3" xfId="3519"/>
    <cellStyle name="Обычный 2 2 2 5 2 2 2 2 4" xfId="4606"/>
    <cellStyle name="Обычный 2 2 2 5 2 2 2 3" xfId="2785"/>
    <cellStyle name="Обычный 2 2 2 5 2 2 2 3 2" xfId="4911"/>
    <cellStyle name="Обычный 2 2 2 5 2 2 2 4" xfId="3518"/>
    <cellStyle name="Обычный 2 2 2 5 2 2 2 5" xfId="4192"/>
    <cellStyle name="Обычный 2 2 2 5 2 2 3" xfId="2216"/>
    <cellStyle name="Обычный 2 2 2 5 2 2 3 2" xfId="2787"/>
    <cellStyle name="Обычный 2 2 2 5 2 2 3 2 2" xfId="4913"/>
    <cellStyle name="Обычный 2 2 2 5 2 2 3 3" xfId="3520"/>
    <cellStyle name="Обычный 2 2 2 5 2 2 3 4" xfId="4343"/>
    <cellStyle name="Обычный 2 2 2 5 2 2 4" xfId="2326"/>
    <cellStyle name="Обычный 2 2 2 5 2 2 4 2" xfId="2788"/>
    <cellStyle name="Обычный 2 2 2 5 2 2 4 2 2" xfId="4914"/>
    <cellStyle name="Обычный 2 2 2 5 2 2 4 3" xfId="3521"/>
    <cellStyle name="Обычный 2 2 2 5 2 2 4 4" xfId="4453"/>
    <cellStyle name="Обычный 2 2 2 5 2 2 5" xfId="2784"/>
    <cellStyle name="Обычный 2 2 2 5 2 2 5 2" xfId="4910"/>
    <cellStyle name="Обычный 2 2 2 5 2 2 6" xfId="3517"/>
    <cellStyle name="Обычный 2 2 2 5 2 2 7" xfId="4082"/>
    <cellStyle name="Обычный 2 2 2 5 2 3" xfId="1982"/>
    <cellStyle name="Обычный 2 2 2 5 2 3 2" xfId="2478"/>
    <cellStyle name="Обычный 2 2 2 5 2 3 2 2" xfId="2790"/>
    <cellStyle name="Обычный 2 2 2 5 2 3 2 2 2" xfId="4916"/>
    <cellStyle name="Обычный 2 2 2 5 2 3 2 3" xfId="3523"/>
    <cellStyle name="Обычный 2 2 2 5 2 3 2 4" xfId="4605"/>
    <cellStyle name="Обычный 2 2 2 5 2 3 3" xfId="2789"/>
    <cellStyle name="Обычный 2 2 2 5 2 3 3 2" xfId="4915"/>
    <cellStyle name="Обычный 2 2 2 5 2 3 4" xfId="3522"/>
    <cellStyle name="Обычный 2 2 2 5 2 3 5" xfId="4191"/>
    <cellStyle name="Обычный 2 2 2 5 2 4" xfId="2215"/>
    <cellStyle name="Обычный 2 2 2 5 2 4 2" xfId="2791"/>
    <cellStyle name="Обычный 2 2 2 5 2 4 2 2" xfId="4917"/>
    <cellStyle name="Обычный 2 2 2 5 2 4 3" xfId="3524"/>
    <cellStyle name="Обычный 2 2 2 5 2 4 4" xfId="4342"/>
    <cellStyle name="Обычный 2 2 2 5 2 5" xfId="2325"/>
    <cellStyle name="Обычный 2 2 2 5 2 5 2" xfId="2792"/>
    <cellStyle name="Обычный 2 2 2 5 2 5 2 2" xfId="4918"/>
    <cellStyle name="Обычный 2 2 2 5 2 5 3" xfId="3525"/>
    <cellStyle name="Обычный 2 2 2 5 2 5 4" xfId="4452"/>
    <cellStyle name="Обычный 2 2 2 5 2 6" xfId="2783"/>
    <cellStyle name="Обычный 2 2 2 5 2 6 2" xfId="4909"/>
    <cellStyle name="Обычный 2 2 2 5 2 7" xfId="3516"/>
    <cellStyle name="Обычный 2 2 2 5 2 8" xfId="4081"/>
    <cellStyle name="Обычный 2 2 2 5 3" xfId="1282"/>
    <cellStyle name="Обычный 2 2 2 5 3 2" xfId="1984"/>
    <cellStyle name="Обычный 2 2 2 5 3 2 2" xfId="2480"/>
    <cellStyle name="Обычный 2 2 2 5 3 2 2 2" xfId="2795"/>
    <cellStyle name="Обычный 2 2 2 5 3 2 2 2 2" xfId="4921"/>
    <cellStyle name="Обычный 2 2 2 5 3 2 2 3" xfId="3528"/>
    <cellStyle name="Обычный 2 2 2 5 3 2 2 4" xfId="4607"/>
    <cellStyle name="Обычный 2 2 2 5 3 2 3" xfId="2794"/>
    <cellStyle name="Обычный 2 2 2 5 3 2 3 2" xfId="4920"/>
    <cellStyle name="Обычный 2 2 2 5 3 2 4" xfId="3527"/>
    <cellStyle name="Обычный 2 2 2 5 3 2 5" xfId="4193"/>
    <cellStyle name="Обычный 2 2 2 5 3 3" xfId="2217"/>
    <cellStyle name="Обычный 2 2 2 5 3 3 2" xfId="2796"/>
    <cellStyle name="Обычный 2 2 2 5 3 3 2 2" xfId="4922"/>
    <cellStyle name="Обычный 2 2 2 5 3 3 3" xfId="3529"/>
    <cellStyle name="Обычный 2 2 2 5 3 3 4" xfId="4344"/>
    <cellStyle name="Обычный 2 2 2 5 3 4" xfId="2327"/>
    <cellStyle name="Обычный 2 2 2 5 3 4 2" xfId="2797"/>
    <cellStyle name="Обычный 2 2 2 5 3 4 2 2" xfId="4923"/>
    <cellStyle name="Обычный 2 2 2 5 3 4 3" xfId="3530"/>
    <cellStyle name="Обычный 2 2 2 5 3 4 4" xfId="4454"/>
    <cellStyle name="Обычный 2 2 2 5 3 5" xfId="2793"/>
    <cellStyle name="Обычный 2 2 2 5 3 5 2" xfId="4919"/>
    <cellStyle name="Обычный 2 2 2 5 3 6" xfId="3526"/>
    <cellStyle name="Обычный 2 2 2 5 3 7" xfId="4083"/>
    <cellStyle name="Обычный 2 2 2 5 4" xfId="1279"/>
    <cellStyle name="Обычный 2 2 2 5 4 2" xfId="2075"/>
    <cellStyle name="Обычный 2 2 2 5 4 2 2" xfId="2568"/>
    <cellStyle name="Обычный 2 2 2 5 4 2 2 2" xfId="2800"/>
    <cellStyle name="Обычный 2 2 2 5 4 2 2 2 2" xfId="4926"/>
    <cellStyle name="Обычный 2 2 2 5 4 2 2 3" xfId="3533"/>
    <cellStyle name="Обычный 2 2 2 5 4 2 2 4" xfId="4695"/>
    <cellStyle name="Обычный 2 2 2 5 4 2 3" xfId="2799"/>
    <cellStyle name="Обычный 2 2 2 5 4 2 3 2" xfId="4925"/>
    <cellStyle name="Обычный 2 2 2 5 4 2 4" xfId="3532"/>
    <cellStyle name="Обычный 2 2 2 5 4 2 5" xfId="4281"/>
    <cellStyle name="Обычный 2 2 2 5 4 3" xfId="2415"/>
    <cellStyle name="Обычный 2 2 2 5 4 3 2" xfId="2801"/>
    <cellStyle name="Обычный 2 2 2 5 4 3 2 2" xfId="4927"/>
    <cellStyle name="Обычный 2 2 2 5 4 3 3" xfId="3534"/>
    <cellStyle name="Обычный 2 2 2 5 4 3 4" xfId="4542"/>
    <cellStyle name="Обычный 2 2 2 5 4 4" xfId="2798"/>
    <cellStyle name="Обычный 2 2 2 5 4 4 2" xfId="4924"/>
    <cellStyle name="Обычный 2 2 2 5 4 5" xfId="3531"/>
    <cellStyle name="Обычный 2 2 2 5 4 6" xfId="4080"/>
    <cellStyle name="Обычный 2 2 2 5 5" xfId="1981"/>
    <cellStyle name="Обычный 2 2 2 5 5 2" xfId="2477"/>
    <cellStyle name="Обычный 2 2 2 5 5 2 2" xfId="2803"/>
    <cellStyle name="Обычный 2 2 2 5 5 2 2 2" xfId="4929"/>
    <cellStyle name="Обычный 2 2 2 5 5 2 3" xfId="3536"/>
    <cellStyle name="Обычный 2 2 2 5 5 2 4" xfId="4604"/>
    <cellStyle name="Обычный 2 2 2 5 5 3" xfId="2802"/>
    <cellStyle name="Обычный 2 2 2 5 5 3 2" xfId="4928"/>
    <cellStyle name="Обычный 2 2 2 5 5 4" xfId="3535"/>
    <cellStyle name="Обычный 2 2 2 5 5 5" xfId="4190"/>
    <cellStyle name="Обычный 2 2 2 5 6" xfId="2214"/>
    <cellStyle name="Обычный 2 2 2 5 6 2" xfId="2804"/>
    <cellStyle name="Обычный 2 2 2 5 6 2 2" xfId="4930"/>
    <cellStyle name="Обычный 2 2 2 5 6 3" xfId="3537"/>
    <cellStyle name="Обычный 2 2 2 5 6 4" xfId="4341"/>
    <cellStyle name="Обычный 2 2 2 5 7" xfId="2324"/>
    <cellStyle name="Обычный 2 2 2 5 7 2" xfId="2805"/>
    <cellStyle name="Обычный 2 2 2 5 7 2 2" xfId="4931"/>
    <cellStyle name="Обычный 2 2 2 5 7 3" xfId="3538"/>
    <cellStyle name="Обычный 2 2 2 5 7 4" xfId="4451"/>
    <cellStyle name="Обычный 2 2 2 5 8" xfId="2782"/>
    <cellStyle name="Обычный 2 2 2 5 8 2" xfId="4908"/>
    <cellStyle name="Обычный 2 2 2 5 9" xfId="3291"/>
    <cellStyle name="Обычный 2 2 2 5 9 2" xfId="5417"/>
    <cellStyle name="Обычный 2 2 2 6" xfId="132"/>
    <cellStyle name="Обычный 2 2 2 6 10" xfId="3539"/>
    <cellStyle name="Обычный 2 2 2 6 11" xfId="4028"/>
    <cellStyle name="Обычный 2 2 2 6 2" xfId="1284"/>
    <cellStyle name="Обычный 2 2 2 6 2 2" xfId="1285"/>
    <cellStyle name="Обычный 2 2 2 6 2 2 2" xfId="1987"/>
    <cellStyle name="Обычный 2 2 2 6 2 2 2 2" xfId="2483"/>
    <cellStyle name="Обычный 2 2 2 6 2 2 2 2 2" xfId="2810"/>
    <cellStyle name="Обычный 2 2 2 6 2 2 2 2 2 2" xfId="4936"/>
    <cellStyle name="Обычный 2 2 2 6 2 2 2 2 3" xfId="3543"/>
    <cellStyle name="Обычный 2 2 2 6 2 2 2 2 4" xfId="4610"/>
    <cellStyle name="Обычный 2 2 2 6 2 2 2 3" xfId="2809"/>
    <cellStyle name="Обычный 2 2 2 6 2 2 2 3 2" xfId="4935"/>
    <cellStyle name="Обычный 2 2 2 6 2 2 2 4" xfId="3542"/>
    <cellStyle name="Обычный 2 2 2 6 2 2 2 5" xfId="4196"/>
    <cellStyle name="Обычный 2 2 2 6 2 2 3" xfId="2220"/>
    <cellStyle name="Обычный 2 2 2 6 2 2 3 2" xfId="2811"/>
    <cellStyle name="Обычный 2 2 2 6 2 2 3 2 2" xfId="4937"/>
    <cellStyle name="Обычный 2 2 2 6 2 2 3 3" xfId="3544"/>
    <cellStyle name="Обычный 2 2 2 6 2 2 3 4" xfId="4347"/>
    <cellStyle name="Обычный 2 2 2 6 2 2 4" xfId="2330"/>
    <cellStyle name="Обычный 2 2 2 6 2 2 4 2" xfId="2812"/>
    <cellStyle name="Обычный 2 2 2 6 2 2 4 2 2" xfId="4938"/>
    <cellStyle name="Обычный 2 2 2 6 2 2 4 3" xfId="3545"/>
    <cellStyle name="Обычный 2 2 2 6 2 2 4 4" xfId="4457"/>
    <cellStyle name="Обычный 2 2 2 6 2 2 5" xfId="2808"/>
    <cellStyle name="Обычный 2 2 2 6 2 2 5 2" xfId="4934"/>
    <cellStyle name="Обычный 2 2 2 6 2 2 6" xfId="3541"/>
    <cellStyle name="Обычный 2 2 2 6 2 2 7" xfId="4086"/>
    <cellStyle name="Обычный 2 2 2 6 2 3" xfId="1986"/>
    <cellStyle name="Обычный 2 2 2 6 2 3 2" xfId="2482"/>
    <cellStyle name="Обычный 2 2 2 6 2 3 2 2" xfId="2814"/>
    <cellStyle name="Обычный 2 2 2 6 2 3 2 2 2" xfId="4940"/>
    <cellStyle name="Обычный 2 2 2 6 2 3 2 3" xfId="3547"/>
    <cellStyle name="Обычный 2 2 2 6 2 3 2 4" xfId="4609"/>
    <cellStyle name="Обычный 2 2 2 6 2 3 3" xfId="2813"/>
    <cellStyle name="Обычный 2 2 2 6 2 3 3 2" xfId="4939"/>
    <cellStyle name="Обычный 2 2 2 6 2 3 4" xfId="3546"/>
    <cellStyle name="Обычный 2 2 2 6 2 3 5" xfId="4195"/>
    <cellStyle name="Обычный 2 2 2 6 2 4" xfId="2219"/>
    <cellStyle name="Обычный 2 2 2 6 2 4 2" xfId="2815"/>
    <cellStyle name="Обычный 2 2 2 6 2 4 2 2" xfId="4941"/>
    <cellStyle name="Обычный 2 2 2 6 2 4 3" xfId="3548"/>
    <cellStyle name="Обычный 2 2 2 6 2 4 4" xfId="4346"/>
    <cellStyle name="Обычный 2 2 2 6 2 5" xfId="2329"/>
    <cellStyle name="Обычный 2 2 2 6 2 5 2" xfId="2816"/>
    <cellStyle name="Обычный 2 2 2 6 2 5 2 2" xfId="4942"/>
    <cellStyle name="Обычный 2 2 2 6 2 5 3" xfId="3549"/>
    <cellStyle name="Обычный 2 2 2 6 2 5 4" xfId="4456"/>
    <cellStyle name="Обычный 2 2 2 6 2 6" xfId="2807"/>
    <cellStyle name="Обычный 2 2 2 6 2 6 2" xfId="4933"/>
    <cellStyle name="Обычный 2 2 2 6 2 7" xfId="3540"/>
    <cellStyle name="Обычный 2 2 2 6 2 8" xfId="4085"/>
    <cellStyle name="Обычный 2 2 2 6 3" xfId="1286"/>
    <cellStyle name="Обычный 2 2 2 6 3 2" xfId="1988"/>
    <cellStyle name="Обычный 2 2 2 6 3 2 2" xfId="2484"/>
    <cellStyle name="Обычный 2 2 2 6 3 2 2 2" xfId="2819"/>
    <cellStyle name="Обычный 2 2 2 6 3 2 2 2 2" xfId="4945"/>
    <cellStyle name="Обычный 2 2 2 6 3 2 2 3" xfId="3552"/>
    <cellStyle name="Обычный 2 2 2 6 3 2 2 4" xfId="4611"/>
    <cellStyle name="Обычный 2 2 2 6 3 2 3" xfId="2818"/>
    <cellStyle name="Обычный 2 2 2 6 3 2 3 2" xfId="4944"/>
    <cellStyle name="Обычный 2 2 2 6 3 2 4" xfId="3551"/>
    <cellStyle name="Обычный 2 2 2 6 3 2 5" xfId="4197"/>
    <cellStyle name="Обычный 2 2 2 6 3 3" xfId="2221"/>
    <cellStyle name="Обычный 2 2 2 6 3 3 2" xfId="2820"/>
    <cellStyle name="Обычный 2 2 2 6 3 3 2 2" xfId="4946"/>
    <cellStyle name="Обычный 2 2 2 6 3 3 3" xfId="3553"/>
    <cellStyle name="Обычный 2 2 2 6 3 3 4" xfId="4348"/>
    <cellStyle name="Обычный 2 2 2 6 3 4" xfId="2331"/>
    <cellStyle name="Обычный 2 2 2 6 3 4 2" xfId="2821"/>
    <cellStyle name="Обычный 2 2 2 6 3 4 2 2" xfId="4947"/>
    <cellStyle name="Обычный 2 2 2 6 3 4 3" xfId="3554"/>
    <cellStyle name="Обычный 2 2 2 6 3 4 4" xfId="4458"/>
    <cellStyle name="Обычный 2 2 2 6 3 5" xfId="2817"/>
    <cellStyle name="Обычный 2 2 2 6 3 5 2" xfId="4943"/>
    <cellStyle name="Обычный 2 2 2 6 3 6" xfId="3550"/>
    <cellStyle name="Обычный 2 2 2 6 3 7" xfId="4087"/>
    <cellStyle name="Обычный 2 2 2 6 4" xfId="1283"/>
    <cellStyle name="Обычный 2 2 2 6 4 2" xfId="2074"/>
    <cellStyle name="Обычный 2 2 2 6 4 2 2" xfId="2567"/>
    <cellStyle name="Обычный 2 2 2 6 4 2 2 2" xfId="2824"/>
    <cellStyle name="Обычный 2 2 2 6 4 2 2 2 2" xfId="4950"/>
    <cellStyle name="Обычный 2 2 2 6 4 2 2 3" xfId="3557"/>
    <cellStyle name="Обычный 2 2 2 6 4 2 2 4" xfId="4694"/>
    <cellStyle name="Обычный 2 2 2 6 4 2 3" xfId="2823"/>
    <cellStyle name="Обычный 2 2 2 6 4 2 3 2" xfId="4949"/>
    <cellStyle name="Обычный 2 2 2 6 4 2 4" xfId="3556"/>
    <cellStyle name="Обычный 2 2 2 6 4 2 5" xfId="4280"/>
    <cellStyle name="Обычный 2 2 2 6 4 3" xfId="2414"/>
    <cellStyle name="Обычный 2 2 2 6 4 3 2" xfId="2825"/>
    <cellStyle name="Обычный 2 2 2 6 4 3 2 2" xfId="4951"/>
    <cellStyle name="Обычный 2 2 2 6 4 3 3" xfId="3558"/>
    <cellStyle name="Обычный 2 2 2 6 4 3 4" xfId="4541"/>
    <cellStyle name="Обычный 2 2 2 6 4 4" xfId="2822"/>
    <cellStyle name="Обычный 2 2 2 6 4 4 2" xfId="4948"/>
    <cellStyle name="Обычный 2 2 2 6 4 5" xfId="3555"/>
    <cellStyle name="Обычный 2 2 2 6 4 6" xfId="4084"/>
    <cellStyle name="Обычный 2 2 2 6 5" xfId="1985"/>
    <cellStyle name="Обычный 2 2 2 6 5 2" xfId="2481"/>
    <cellStyle name="Обычный 2 2 2 6 5 2 2" xfId="2827"/>
    <cellStyle name="Обычный 2 2 2 6 5 2 2 2" xfId="4953"/>
    <cellStyle name="Обычный 2 2 2 6 5 2 3" xfId="3560"/>
    <cellStyle name="Обычный 2 2 2 6 5 2 4" xfId="4608"/>
    <cellStyle name="Обычный 2 2 2 6 5 3" xfId="2826"/>
    <cellStyle name="Обычный 2 2 2 6 5 3 2" xfId="4952"/>
    <cellStyle name="Обычный 2 2 2 6 5 4" xfId="3559"/>
    <cellStyle name="Обычный 2 2 2 6 5 5" xfId="4194"/>
    <cellStyle name="Обычный 2 2 2 6 6" xfId="2218"/>
    <cellStyle name="Обычный 2 2 2 6 6 2" xfId="2828"/>
    <cellStyle name="Обычный 2 2 2 6 6 2 2" xfId="4954"/>
    <cellStyle name="Обычный 2 2 2 6 6 3" xfId="3561"/>
    <cellStyle name="Обычный 2 2 2 6 6 4" xfId="4345"/>
    <cellStyle name="Обычный 2 2 2 6 7" xfId="2328"/>
    <cellStyle name="Обычный 2 2 2 6 7 2" xfId="2829"/>
    <cellStyle name="Обычный 2 2 2 6 7 2 2" xfId="4955"/>
    <cellStyle name="Обычный 2 2 2 6 7 3" xfId="3562"/>
    <cellStyle name="Обычный 2 2 2 6 7 4" xfId="4455"/>
    <cellStyle name="Обычный 2 2 2 6 8" xfId="2806"/>
    <cellStyle name="Обычный 2 2 2 6 8 2" xfId="4932"/>
    <cellStyle name="Обычный 2 2 2 6 9" xfId="3292"/>
    <cellStyle name="Обычный 2 2 2 6 9 2" xfId="5418"/>
    <cellStyle name="Обычный 2 2 2 7" xfId="133"/>
    <cellStyle name="Обычный 2 2 2 7 10" xfId="3563"/>
    <cellStyle name="Обычный 2 2 2 7 11" xfId="4029"/>
    <cellStyle name="Обычный 2 2 2 7 2" xfId="1288"/>
    <cellStyle name="Обычный 2 2 2 7 2 2" xfId="1289"/>
    <cellStyle name="Обычный 2 2 2 7 2 2 2" xfId="1991"/>
    <cellStyle name="Обычный 2 2 2 7 2 2 2 2" xfId="2487"/>
    <cellStyle name="Обычный 2 2 2 7 2 2 2 2 2" xfId="2834"/>
    <cellStyle name="Обычный 2 2 2 7 2 2 2 2 2 2" xfId="4960"/>
    <cellStyle name="Обычный 2 2 2 7 2 2 2 2 3" xfId="3567"/>
    <cellStyle name="Обычный 2 2 2 7 2 2 2 2 4" xfId="4614"/>
    <cellStyle name="Обычный 2 2 2 7 2 2 2 3" xfId="2833"/>
    <cellStyle name="Обычный 2 2 2 7 2 2 2 3 2" xfId="4959"/>
    <cellStyle name="Обычный 2 2 2 7 2 2 2 4" xfId="3566"/>
    <cellStyle name="Обычный 2 2 2 7 2 2 2 5" xfId="4200"/>
    <cellStyle name="Обычный 2 2 2 7 2 2 3" xfId="2224"/>
    <cellStyle name="Обычный 2 2 2 7 2 2 3 2" xfId="2835"/>
    <cellStyle name="Обычный 2 2 2 7 2 2 3 2 2" xfId="4961"/>
    <cellStyle name="Обычный 2 2 2 7 2 2 3 3" xfId="3568"/>
    <cellStyle name="Обычный 2 2 2 7 2 2 3 4" xfId="4351"/>
    <cellStyle name="Обычный 2 2 2 7 2 2 4" xfId="2334"/>
    <cellStyle name="Обычный 2 2 2 7 2 2 4 2" xfId="2836"/>
    <cellStyle name="Обычный 2 2 2 7 2 2 4 2 2" xfId="4962"/>
    <cellStyle name="Обычный 2 2 2 7 2 2 4 3" xfId="3569"/>
    <cellStyle name="Обычный 2 2 2 7 2 2 4 4" xfId="4461"/>
    <cellStyle name="Обычный 2 2 2 7 2 2 5" xfId="2832"/>
    <cellStyle name="Обычный 2 2 2 7 2 2 5 2" xfId="4958"/>
    <cellStyle name="Обычный 2 2 2 7 2 2 6" xfId="3565"/>
    <cellStyle name="Обычный 2 2 2 7 2 2 7" xfId="4090"/>
    <cellStyle name="Обычный 2 2 2 7 2 3" xfId="1990"/>
    <cellStyle name="Обычный 2 2 2 7 2 3 2" xfId="2486"/>
    <cellStyle name="Обычный 2 2 2 7 2 3 2 2" xfId="2838"/>
    <cellStyle name="Обычный 2 2 2 7 2 3 2 2 2" xfId="4964"/>
    <cellStyle name="Обычный 2 2 2 7 2 3 2 3" xfId="3571"/>
    <cellStyle name="Обычный 2 2 2 7 2 3 2 4" xfId="4613"/>
    <cellStyle name="Обычный 2 2 2 7 2 3 3" xfId="2837"/>
    <cellStyle name="Обычный 2 2 2 7 2 3 3 2" xfId="4963"/>
    <cellStyle name="Обычный 2 2 2 7 2 3 4" xfId="3570"/>
    <cellStyle name="Обычный 2 2 2 7 2 3 5" xfId="4199"/>
    <cellStyle name="Обычный 2 2 2 7 2 4" xfId="2223"/>
    <cellStyle name="Обычный 2 2 2 7 2 4 2" xfId="2839"/>
    <cellStyle name="Обычный 2 2 2 7 2 4 2 2" xfId="4965"/>
    <cellStyle name="Обычный 2 2 2 7 2 4 3" xfId="3572"/>
    <cellStyle name="Обычный 2 2 2 7 2 4 4" xfId="4350"/>
    <cellStyle name="Обычный 2 2 2 7 2 5" xfId="2333"/>
    <cellStyle name="Обычный 2 2 2 7 2 5 2" xfId="2840"/>
    <cellStyle name="Обычный 2 2 2 7 2 5 2 2" xfId="4966"/>
    <cellStyle name="Обычный 2 2 2 7 2 5 3" xfId="3573"/>
    <cellStyle name="Обычный 2 2 2 7 2 5 4" xfId="4460"/>
    <cellStyle name="Обычный 2 2 2 7 2 6" xfId="2831"/>
    <cellStyle name="Обычный 2 2 2 7 2 6 2" xfId="4957"/>
    <cellStyle name="Обычный 2 2 2 7 2 7" xfId="3564"/>
    <cellStyle name="Обычный 2 2 2 7 2 8" xfId="4089"/>
    <cellStyle name="Обычный 2 2 2 7 3" xfId="1290"/>
    <cellStyle name="Обычный 2 2 2 7 3 2" xfId="1992"/>
    <cellStyle name="Обычный 2 2 2 7 3 2 2" xfId="2488"/>
    <cellStyle name="Обычный 2 2 2 7 3 2 2 2" xfId="2843"/>
    <cellStyle name="Обычный 2 2 2 7 3 2 2 2 2" xfId="4969"/>
    <cellStyle name="Обычный 2 2 2 7 3 2 2 3" xfId="3576"/>
    <cellStyle name="Обычный 2 2 2 7 3 2 2 4" xfId="4615"/>
    <cellStyle name="Обычный 2 2 2 7 3 2 3" xfId="2842"/>
    <cellStyle name="Обычный 2 2 2 7 3 2 3 2" xfId="4968"/>
    <cellStyle name="Обычный 2 2 2 7 3 2 4" xfId="3575"/>
    <cellStyle name="Обычный 2 2 2 7 3 2 5" xfId="4201"/>
    <cellStyle name="Обычный 2 2 2 7 3 3" xfId="2225"/>
    <cellStyle name="Обычный 2 2 2 7 3 3 2" xfId="2844"/>
    <cellStyle name="Обычный 2 2 2 7 3 3 2 2" xfId="4970"/>
    <cellStyle name="Обычный 2 2 2 7 3 3 3" xfId="3577"/>
    <cellStyle name="Обычный 2 2 2 7 3 3 4" xfId="4352"/>
    <cellStyle name="Обычный 2 2 2 7 3 4" xfId="2335"/>
    <cellStyle name="Обычный 2 2 2 7 3 4 2" xfId="2845"/>
    <cellStyle name="Обычный 2 2 2 7 3 4 2 2" xfId="4971"/>
    <cellStyle name="Обычный 2 2 2 7 3 4 3" xfId="3578"/>
    <cellStyle name="Обычный 2 2 2 7 3 4 4" xfId="4462"/>
    <cellStyle name="Обычный 2 2 2 7 3 5" xfId="2841"/>
    <cellStyle name="Обычный 2 2 2 7 3 5 2" xfId="4967"/>
    <cellStyle name="Обычный 2 2 2 7 3 6" xfId="3574"/>
    <cellStyle name="Обычный 2 2 2 7 3 7" xfId="4091"/>
    <cellStyle name="Обычный 2 2 2 7 4" xfId="1287"/>
    <cellStyle name="Обычный 2 2 2 7 4 2" xfId="2073"/>
    <cellStyle name="Обычный 2 2 2 7 4 2 2" xfId="2566"/>
    <cellStyle name="Обычный 2 2 2 7 4 2 2 2" xfId="2848"/>
    <cellStyle name="Обычный 2 2 2 7 4 2 2 2 2" xfId="4974"/>
    <cellStyle name="Обычный 2 2 2 7 4 2 2 3" xfId="3581"/>
    <cellStyle name="Обычный 2 2 2 7 4 2 2 4" xfId="4693"/>
    <cellStyle name="Обычный 2 2 2 7 4 2 3" xfId="2847"/>
    <cellStyle name="Обычный 2 2 2 7 4 2 3 2" xfId="4973"/>
    <cellStyle name="Обычный 2 2 2 7 4 2 4" xfId="3580"/>
    <cellStyle name="Обычный 2 2 2 7 4 2 5" xfId="4279"/>
    <cellStyle name="Обычный 2 2 2 7 4 3" xfId="2413"/>
    <cellStyle name="Обычный 2 2 2 7 4 3 2" xfId="2849"/>
    <cellStyle name="Обычный 2 2 2 7 4 3 2 2" xfId="4975"/>
    <cellStyle name="Обычный 2 2 2 7 4 3 3" xfId="3582"/>
    <cellStyle name="Обычный 2 2 2 7 4 3 4" xfId="4540"/>
    <cellStyle name="Обычный 2 2 2 7 4 4" xfId="2846"/>
    <cellStyle name="Обычный 2 2 2 7 4 4 2" xfId="4972"/>
    <cellStyle name="Обычный 2 2 2 7 4 5" xfId="3579"/>
    <cellStyle name="Обычный 2 2 2 7 4 6" xfId="4088"/>
    <cellStyle name="Обычный 2 2 2 7 5" xfId="1989"/>
    <cellStyle name="Обычный 2 2 2 7 5 2" xfId="2485"/>
    <cellStyle name="Обычный 2 2 2 7 5 2 2" xfId="2851"/>
    <cellStyle name="Обычный 2 2 2 7 5 2 2 2" xfId="4977"/>
    <cellStyle name="Обычный 2 2 2 7 5 2 3" xfId="3584"/>
    <cellStyle name="Обычный 2 2 2 7 5 2 4" xfId="4612"/>
    <cellStyle name="Обычный 2 2 2 7 5 3" xfId="2850"/>
    <cellStyle name="Обычный 2 2 2 7 5 3 2" xfId="4976"/>
    <cellStyle name="Обычный 2 2 2 7 5 4" xfId="3583"/>
    <cellStyle name="Обычный 2 2 2 7 5 5" xfId="4198"/>
    <cellStyle name="Обычный 2 2 2 7 6" xfId="2222"/>
    <cellStyle name="Обычный 2 2 2 7 6 2" xfId="2852"/>
    <cellStyle name="Обычный 2 2 2 7 6 2 2" xfId="4978"/>
    <cellStyle name="Обычный 2 2 2 7 6 3" xfId="3585"/>
    <cellStyle name="Обычный 2 2 2 7 6 4" xfId="4349"/>
    <cellStyle name="Обычный 2 2 2 7 7" xfId="2332"/>
    <cellStyle name="Обычный 2 2 2 7 7 2" xfId="2853"/>
    <cellStyle name="Обычный 2 2 2 7 7 2 2" xfId="4979"/>
    <cellStyle name="Обычный 2 2 2 7 7 3" xfId="3586"/>
    <cellStyle name="Обычный 2 2 2 7 7 4" xfId="4459"/>
    <cellStyle name="Обычный 2 2 2 7 8" xfId="2830"/>
    <cellStyle name="Обычный 2 2 2 7 8 2" xfId="4956"/>
    <cellStyle name="Обычный 2 2 2 7 9" xfId="3293"/>
    <cellStyle name="Обычный 2 2 2 7 9 2" xfId="5419"/>
    <cellStyle name="Обычный 2 2 2 8" xfId="134"/>
    <cellStyle name="Обычный 2 2 2 9" xfId="2133"/>
    <cellStyle name="Обычный 2 2 3" xfId="135"/>
    <cellStyle name="Обычный 2 2 3 2" xfId="136"/>
    <cellStyle name="Обычный 2 2 3 3" xfId="2132"/>
    <cellStyle name="Обычный 2 2 4" xfId="137"/>
    <cellStyle name="Обычный 2 2 5" xfId="138"/>
    <cellStyle name="Обычный 2 2 6" xfId="139"/>
    <cellStyle name="Обычный 2 2 7" xfId="140"/>
    <cellStyle name="Обычный 2 2 8" xfId="141"/>
    <cellStyle name="Обычный 2 2 8 2" xfId="1291"/>
    <cellStyle name="Обычный 2 2 8 3" xfId="2131"/>
    <cellStyle name="Обычный 2 2 8 3 2" xfId="2435"/>
    <cellStyle name="Обычный 2 2 8 3 2 2" xfId="2856"/>
    <cellStyle name="Обычный 2 2 8 3 2 2 2" xfId="4982"/>
    <cellStyle name="Обычный 2 2 8 3 2 3" xfId="3589"/>
    <cellStyle name="Обычный 2 2 8 3 2 4" xfId="4562"/>
    <cellStyle name="Обычный 2 2 8 3 3" xfId="2855"/>
    <cellStyle name="Обычный 2 2 8 3 3 2" xfId="4981"/>
    <cellStyle name="Обычный 2 2 8 3 4" xfId="3588"/>
    <cellStyle name="Обычный 2 2 8 3 5" xfId="4301"/>
    <cellStyle name="Обычный 2 2 8 4" xfId="2854"/>
    <cellStyle name="Обычный 2 2 8 4 2" xfId="4980"/>
    <cellStyle name="Обычный 2 2 8 5" xfId="3294"/>
    <cellStyle name="Обычный 2 2 8 5 2" xfId="5420"/>
    <cellStyle name="Обычный 2 2 8 6" xfId="3587"/>
    <cellStyle name="Обычный 2 2 8 7" xfId="4030"/>
    <cellStyle name="Обычный 2 2 9" xfId="1292"/>
    <cellStyle name="Обычный 2 2_Расшифровка плановых затрат по ПЕ на 2012г" xfId="142"/>
    <cellStyle name="Обычный 2 20" xfId="1256"/>
    <cellStyle name="Обычный 2 3" xfId="143"/>
    <cellStyle name="Обычный 2 3 2" xfId="144"/>
    <cellStyle name="Обычный 2 3 2 2" xfId="1294"/>
    <cellStyle name="Обычный 2 3 2 3" xfId="2129"/>
    <cellStyle name="Обычный 2 3 3" xfId="145"/>
    <cellStyle name="Обычный 2 3 3 2" xfId="1776"/>
    <cellStyle name="Обычный 2 3 3 3" xfId="1295"/>
    <cellStyle name="Обычный 2 3 3 4" xfId="2128"/>
    <cellStyle name="Обычный 2 3 3 4 2" xfId="2434"/>
    <cellStyle name="Обычный 2 3 3 4 2 2" xfId="2859"/>
    <cellStyle name="Обычный 2 3 3 4 2 2 2" xfId="4985"/>
    <cellStyle name="Обычный 2 3 3 4 2 3" xfId="3592"/>
    <cellStyle name="Обычный 2 3 3 4 2 4" xfId="4561"/>
    <cellStyle name="Обычный 2 3 3 4 3" xfId="2858"/>
    <cellStyle name="Обычный 2 3 3 4 3 2" xfId="4984"/>
    <cellStyle name="Обычный 2 3 3 4 4" xfId="3591"/>
    <cellStyle name="Обычный 2 3 3 4 5" xfId="4300"/>
    <cellStyle name="Обычный 2 3 3 5" xfId="2857"/>
    <cellStyle name="Обычный 2 3 3 5 2" xfId="4983"/>
    <cellStyle name="Обычный 2 3 3 6" xfId="3295"/>
    <cellStyle name="Обычный 2 3 3 6 2" xfId="5421"/>
    <cellStyle name="Обычный 2 3 3 7" xfId="3590"/>
    <cellStyle name="Обычный 2 3 3 8" xfId="4031"/>
    <cellStyle name="Обычный 2 3 4" xfId="146"/>
    <cellStyle name="Обычный 2 3 4 2" xfId="1296"/>
    <cellStyle name="Обычный 2 3 4 3" xfId="2127"/>
    <cellStyle name="Обычный 2 3 5" xfId="1293"/>
    <cellStyle name="Обычный 2 3 6" xfId="2130"/>
    <cellStyle name="Обычный 2 4" xfId="147"/>
    <cellStyle name="Обычный 2 4 2" xfId="148"/>
    <cellStyle name="Обычный 2 4 2 2" xfId="1297"/>
    <cellStyle name="Обычный 2 4 2 3" xfId="2126"/>
    <cellStyle name="Обычный 2 4 3" xfId="1298"/>
    <cellStyle name="Обычный 2 5" xfId="149"/>
    <cellStyle name="Обычный 2 5 2" xfId="150"/>
    <cellStyle name="Обычный 2 5 2 2" xfId="1301"/>
    <cellStyle name="Обычный 2 5 2 2 2" xfId="1302"/>
    <cellStyle name="Обычный 2 5 2 2 2 2" xfId="1995"/>
    <cellStyle name="Обычный 2 5 2 2 2 2 2" xfId="2491"/>
    <cellStyle name="Обычный 2 5 2 2 2 2 2 2" xfId="2863"/>
    <cellStyle name="Обычный 2 5 2 2 2 2 2 2 2" xfId="4989"/>
    <cellStyle name="Обычный 2 5 2 2 2 2 2 3" xfId="3596"/>
    <cellStyle name="Обычный 2 5 2 2 2 2 2 4" xfId="4618"/>
    <cellStyle name="Обычный 2 5 2 2 2 2 3" xfId="2862"/>
    <cellStyle name="Обычный 2 5 2 2 2 2 3 2" xfId="4988"/>
    <cellStyle name="Обычный 2 5 2 2 2 2 4" xfId="3595"/>
    <cellStyle name="Обычный 2 5 2 2 2 2 5" xfId="4204"/>
    <cellStyle name="Обычный 2 5 2 2 2 3" xfId="2228"/>
    <cellStyle name="Обычный 2 5 2 2 2 3 2" xfId="2864"/>
    <cellStyle name="Обычный 2 5 2 2 2 3 2 2" xfId="4990"/>
    <cellStyle name="Обычный 2 5 2 2 2 3 3" xfId="3597"/>
    <cellStyle name="Обычный 2 5 2 2 2 3 4" xfId="4355"/>
    <cellStyle name="Обычный 2 5 2 2 2 4" xfId="2338"/>
    <cellStyle name="Обычный 2 5 2 2 2 4 2" xfId="2865"/>
    <cellStyle name="Обычный 2 5 2 2 2 4 2 2" xfId="4991"/>
    <cellStyle name="Обычный 2 5 2 2 2 4 3" xfId="3598"/>
    <cellStyle name="Обычный 2 5 2 2 2 4 4" xfId="4465"/>
    <cellStyle name="Обычный 2 5 2 2 2 5" xfId="2861"/>
    <cellStyle name="Обычный 2 5 2 2 2 5 2" xfId="4987"/>
    <cellStyle name="Обычный 2 5 2 2 2 6" xfId="3594"/>
    <cellStyle name="Обычный 2 5 2 2 2 7" xfId="4094"/>
    <cellStyle name="Обычный 2 5 2 2 3" xfId="1994"/>
    <cellStyle name="Обычный 2 5 2 2 3 2" xfId="2490"/>
    <cellStyle name="Обычный 2 5 2 2 3 2 2" xfId="2867"/>
    <cellStyle name="Обычный 2 5 2 2 3 2 2 2" xfId="4993"/>
    <cellStyle name="Обычный 2 5 2 2 3 2 3" xfId="3600"/>
    <cellStyle name="Обычный 2 5 2 2 3 2 4" xfId="4617"/>
    <cellStyle name="Обычный 2 5 2 2 3 3" xfId="2866"/>
    <cellStyle name="Обычный 2 5 2 2 3 3 2" xfId="4992"/>
    <cellStyle name="Обычный 2 5 2 2 3 4" xfId="3599"/>
    <cellStyle name="Обычный 2 5 2 2 3 5" xfId="4203"/>
    <cellStyle name="Обычный 2 5 2 2 4" xfId="2227"/>
    <cellStyle name="Обычный 2 5 2 2 4 2" xfId="2868"/>
    <cellStyle name="Обычный 2 5 2 2 4 2 2" xfId="4994"/>
    <cellStyle name="Обычный 2 5 2 2 4 3" xfId="3601"/>
    <cellStyle name="Обычный 2 5 2 2 4 4" xfId="4354"/>
    <cellStyle name="Обычный 2 5 2 2 5" xfId="2337"/>
    <cellStyle name="Обычный 2 5 2 2 5 2" xfId="2869"/>
    <cellStyle name="Обычный 2 5 2 2 5 2 2" xfId="4995"/>
    <cellStyle name="Обычный 2 5 2 2 5 3" xfId="3602"/>
    <cellStyle name="Обычный 2 5 2 2 5 4" xfId="4464"/>
    <cellStyle name="Обычный 2 5 2 2 6" xfId="2860"/>
    <cellStyle name="Обычный 2 5 2 2 6 2" xfId="4986"/>
    <cellStyle name="Обычный 2 5 2 2 7" xfId="3593"/>
    <cellStyle name="Обычный 2 5 2 2 8" xfId="4093"/>
    <cellStyle name="Обычный 2 5 2 3" xfId="1303"/>
    <cellStyle name="Обычный 2 5 2 3 2" xfId="1996"/>
    <cellStyle name="Обычный 2 5 2 3 2 2" xfId="2492"/>
    <cellStyle name="Обычный 2 5 2 3 2 2 2" xfId="2872"/>
    <cellStyle name="Обычный 2 5 2 3 2 2 2 2" xfId="4998"/>
    <cellStyle name="Обычный 2 5 2 3 2 2 3" xfId="3605"/>
    <cellStyle name="Обычный 2 5 2 3 2 2 4" xfId="4619"/>
    <cellStyle name="Обычный 2 5 2 3 2 3" xfId="2871"/>
    <cellStyle name="Обычный 2 5 2 3 2 3 2" xfId="4997"/>
    <cellStyle name="Обычный 2 5 2 3 2 4" xfId="3604"/>
    <cellStyle name="Обычный 2 5 2 3 2 5" xfId="4205"/>
    <cellStyle name="Обычный 2 5 2 3 3" xfId="2229"/>
    <cellStyle name="Обычный 2 5 2 3 3 2" xfId="2873"/>
    <cellStyle name="Обычный 2 5 2 3 3 2 2" xfId="4999"/>
    <cellStyle name="Обычный 2 5 2 3 3 3" xfId="3606"/>
    <cellStyle name="Обычный 2 5 2 3 3 4" xfId="4356"/>
    <cellStyle name="Обычный 2 5 2 3 4" xfId="2339"/>
    <cellStyle name="Обычный 2 5 2 3 4 2" xfId="2874"/>
    <cellStyle name="Обычный 2 5 2 3 4 2 2" xfId="5000"/>
    <cellStyle name="Обычный 2 5 2 3 4 3" xfId="3607"/>
    <cellStyle name="Обычный 2 5 2 3 4 4" xfId="4466"/>
    <cellStyle name="Обычный 2 5 2 3 5" xfId="2870"/>
    <cellStyle name="Обычный 2 5 2 3 5 2" xfId="4996"/>
    <cellStyle name="Обычный 2 5 2 3 6" xfId="3603"/>
    <cellStyle name="Обычный 2 5 2 3 7" xfId="4095"/>
    <cellStyle name="Обычный 2 5 2 4" xfId="1300"/>
    <cellStyle name="Обычный 2 5 2 4 2" xfId="2072"/>
    <cellStyle name="Обычный 2 5 2 4 2 2" xfId="2565"/>
    <cellStyle name="Обычный 2 5 2 4 2 2 2" xfId="2877"/>
    <cellStyle name="Обычный 2 5 2 4 2 2 2 2" xfId="5003"/>
    <cellStyle name="Обычный 2 5 2 4 2 2 3" xfId="3610"/>
    <cellStyle name="Обычный 2 5 2 4 2 2 4" xfId="4692"/>
    <cellStyle name="Обычный 2 5 2 4 2 3" xfId="2876"/>
    <cellStyle name="Обычный 2 5 2 4 2 3 2" xfId="5002"/>
    <cellStyle name="Обычный 2 5 2 4 2 4" xfId="3609"/>
    <cellStyle name="Обычный 2 5 2 4 2 5" xfId="4278"/>
    <cellStyle name="Обычный 2 5 2 4 3" xfId="2412"/>
    <cellStyle name="Обычный 2 5 2 4 3 2" xfId="2878"/>
    <cellStyle name="Обычный 2 5 2 4 3 2 2" xfId="5004"/>
    <cellStyle name="Обычный 2 5 2 4 3 3" xfId="3611"/>
    <cellStyle name="Обычный 2 5 2 4 3 4" xfId="4539"/>
    <cellStyle name="Обычный 2 5 2 4 4" xfId="2875"/>
    <cellStyle name="Обычный 2 5 2 4 4 2" xfId="5001"/>
    <cellStyle name="Обычный 2 5 2 4 5" xfId="3608"/>
    <cellStyle name="Обычный 2 5 2 4 6" xfId="4092"/>
    <cellStyle name="Обычный 2 5 2 5" xfId="2124"/>
    <cellStyle name="Обычный 2 5 2 6" xfId="1993"/>
    <cellStyle name="Обычный 2 5 2 6 2" xfId="2489"/>
    <cellStyle name="Обычный 2 5 2 6 2 2" xfId="2880"/>
    <cellStyle name="Обычный 2 5 2 6 2 2 2" xfId="5006"/>
    <cellStyle name="Обычный 2 5 2 6 2 3" xfId="3613"/>
    <cellStyle name="Обычный 2 5 2 6 2 4" xfId="4616"/>
    <cellStyle name="Обычный 2 5 2 6 3" xfId="2879"/>
    <cellStyle name="Обычный 2 5 2 6 3 2" xfId="5005"/>
    <cellStyle name="Обычный 2 5 2 6 4" xfId="3612"/>
    <cellStyle name="Обычный 2 5 2 6 5" xfId="4202"/>
    <cellStyle name="Обычный 2 5 2 7" xfId="2226"/>
    <cellStyle name="Обычный 2 5 2 7 2" xfId="2881"/>
    <cellStyle name="Обычный 2 5 2 7 2 2" xfId="5007"/>
    <cellStyle name="Обычный 2 5 2 7 3" xfId="3614"/>
    <cellStyle name="Обычный 2 5 2 7 4" xfId="4353"/>
    <cellStyle name="Обычный 2 5 2 8" xfId="2336"/>
    <cellStyle name="Обычный 2 5 2 8 2" xfId="2882"/>
    <cellStyle name="Обычный 2 5 2 8 2 2" xfId="5008"/>
    <cellStyle name="Обычный 2 5 2 8 3" xfId="3615"/>
    <cellStyle name="Обычный 2 5 2 8 4" xfId="4463"/>
    <cellStyle name="Обычный 2 5 3" xfId="1299"/>
    <cellStyle name="Обычный 2 5 4" xfId="2125"/>
    <cellStyle name="Обычный 2 6" xfId="151"/>
    <cellStyle name="Обычный 2 6 2" xfId="1304"/>
    <cellStyle name="Обычный 2 6 3" xfId="2123"/>
    <cellStyle name="Обычный 2 6 3 2" xfId="2433"/>
    <cellStyle name="Обычный 2 6 3 2 2" xfId="2885"/>
    <cellStyle name="Обычный 2 6 3 2 2 2" xfId="5011"/>
    <cellStyle name="Обычный 2 6 3 2 3" xfId="3618"/>
    <cellStyle name="Обычный 2 6 3 2 4" xfId="4560"/>
    <cellStyle name="Обычный 2 6 3 3" xfId="2884"/>
    <cellStyle name="Обычный 2 6 3 3 2" xfId="5010"/>
    <cellStyle name="Обычный 2 6 3 4" xfId="3617"/>
    <cellStyle name="Обычный 2 6 3 5" xfId="4299"/>
    <cellStyle name="Обычный 2 6 4" xfId="2883"/>
    <cellStyle name="Обычный 2 6 4 2" xfId="5009"/>
    <cellStyle name="Обычный 2 6 5" xfId="3296"/>
    <cellStyle name="Обычный 2 6 5 2" xfId="5422"/>
    <cellStyle name="Обычный 2 6 6" xfId="3616"/>
    <cellStyle name="Обычный 2 6 7" xfId="4032"/>
    <cellStyle name="Обычный 2 7" xfId="152"/>
    <cellStyle name="Обычный 2 7 2" xfId="1305"/>
    <cellStyle name="Обычный 2 7 3" xfId="2122"/>
    <cellStyle name="Обычный 2 7 3 2" xfId="2432"/>
    <cellStyle name="Обычный 2 7 3 2 2" xfId="2888"/>
    <cellStyle name="Обычный 2 7 3 2 2 2" xfId="5014"/>
    <cellStyle name="Обычный 2 7 3 2 3" xfId="3621"/>
    <cellStyle name="Обычный 2 7 3 2 4" xfId="4559"/>
    <cellStyle name="Обычный 2 7 3 3" xfId="2887"/>
    <cellStyle name="Обычный 2 7 3 3 2" xfId="5013"/>
    <cellStyle name="Обычный 2 7 3 4" xfId="3620"/>
    <cellStyle name="Обычный 2 7 3 5" xfId="4298"/>
    <cellStyle name="Обычный 2 7 4" xfId="2886"/>
    <cellStyle name="Обычный 2 7 4 2" xfId="5012"/>
    <cellStyle name="Обычный 2 7 5" xfId="3297"/>
    <cellStyle name="Обычный 2 7 5 2" xfId="5423"/>
    <cellStyle name="Обычный 2 7 6" xfId="3619"/>
    <cellStyle name="Обычный 2 7 7" xfId="4033"/>
    <cellStyle name="Обычный 2 8" xfId="153"/>
    <cellStyle name="Обычный 2 8 2" xfId="1306"/>
    <cellStyle name="Обычный 2 8 3" xfId="2121"/>
    <cellStyle name="Обычный 2 8 3 2" xfId="2431"/>
    <cellStyle name="Обычный 2 8 3 2 2" xfId="2891"/>
    <cellStyle name="Обычный 2 8 3 2 2 2" xfId="5017"/>
    <cellStyle name="Обычный 2 8 3 2 3" xfId="3624"/>
    <cellStyle name="Обычный 2 8 3 2 4" xfId="4558"/>
    <cellStyle name="Обычный 2 8 3 3" xfId="2890"/>
    <cellStyle name="Обычный 2 8 3 3 2" xfId="5016"/>
    <cellStyle name="Обычный 2 8 3 4" xfId="3623"/>
    <cellStyle name="Обычный 2 8 3 5" xfId="4297"/>
    <cellStyle name="Обычный 2 8 4" xfId="2889"/>
    <cellStyle name="Обычный 2 8 4 2" xfId="5015"/>
    <cellStyle name="Обычный 2 8 5" xfId="3298"/>
    <cellStyle name="Обычный 2 8 5 2" xfId="5424"/>
    <cellStyle name="Обычный 2 8 6" xfId="3622"/>
    <cellStyle name="Обычный 2 8 7" xfId="4034"/>
    <cellStyle name="Обычный 2 9" xfId="154"/>
    <cellStyle name="Обычный 2 9 2" xfId="1307"/>
    <cellStyle name="Обычный 2 9 3" xfId="2120"/>
    <cellStyle name="Обычный 2 9 3 2" xfId="2430"/>
    <cellStyle name="Обычный 2 9 3 2 2" xfId="2894"/>
    <cellStyle name="Обычный 2 9 3 2 2 2" xfId="5020"/>
    <cellStyle name="Обычный 2 9 3 2 3" xfId="3627"/>
    <cellStyle name="Обычный 2 9 3 2 4" xfId="4557"/>
    <cellStyle name="Обычный 2 9 3 3" xfId="2893"/>
    <cellStyle name="Обычный 2 9 3 3 2" xfId="5019"/>
    <cellStyle name="Обычный 2 9 3 4" xfId="3626"/>
    <cellStyle name="Обычный 2 9 3 5" xfId="4296"/>
    <cellStyle name="Обычный 2 9 4" xfId="2892"/>
    <cellStyle name="Обычный 2 9 4 2" xfId="5018"/>
    <cellStyle name="Обычный 2 9 5" xfId="3299"/>
    <cellStyle name="Обычный 2 9 5 2" xfId="5425"/>
    <cellStyle name="Обычный 2 9 6" xfId="3625"/>
    <cellStyle name="Обычный 2 9 7" xfId="4035"/>
    <cellStyle name="Обычный 2_Аналіз старих тарифів на коміссію27_10_11" xfId="155"/>
    <cellStyle name="Обычный 20" xfId="1308"/>
    <cellStyle name="Обычный 21" xfId="226"/>
    <cellStyle name="Обычный 21 2" xfId="2087"/>
    <cellStyle name="Обычный 21 2 2" xfId="2425"/>
    <cellStyle name="Обычный 21 2 2 2" xfId="2897"/>
    <cellStyle name="Обычный 21 2 2 2 2" xfId="5023"/>
    <cellStyle name="Обычный 21 2 2 3" xfId="3630"/>
    <cellStyle name="Обычный 21 2 2 4" xfId="4552"/>
    <cellStyle name="Обычный 21 2 3" xfId="2896"/>
    <cellStyle name="Обычный 21 2 3 2" xfId="5022"/>
    <cellStyle name="Обычный 21 2 4" xfId="3629"/>
    <cellStyle name="Обычный 21 2 5" xfId="4291"/>
    <cellStyle name="Обычный 21 3" xfId="2895"/>
    <cellStyle name="Обычный 21 3 2" xfId="5021"/>
    <cellStyle name="Обычный 21 4" xfId="262"/>
    <cellStyle name="Обычный 21 5" xfId="3310"/>
    <cellStyle name="Обычный 21 5 2" xfId="5436"/>
    <cellStyle name="Обычный 21 6" xfId="3628"/>
    <cellStyle name="Обычный 21 7" xfId="4046"/>
    <cellStyle name="Обычный 22" xfId="1309"/>
    <cellStyle name="Обычный 23" xfId="1310"/>
    <cellStyle name="Обычный 24" xfId="1311"/>
    <cellStyle name="Обычный 24 2" xfId="1312"/>
    <cellStyle name="Обычный 24 2 2" xfId="1313"/>
    <cellStyle name="Обычный 24 2 2 2" xfId="1999"/>
    <cellStyle name="Обычный 24 2 2 2 2" xfId="2495"/>
    <cellStyle name="Обычный 24 2 2 2 2 2" xfId="2902"/>
    <cellStyle name="Обычный 24 2 2 2 2 2 2" xfId="5028"/>
    <cellStyle name="Обычный 24 2 2 2 2 3" xfId="3635"/>
    <cellStyle name="Обычный 24 2 2 2 2 4" xfId="4622"/>
    <cellStyle name="Обычный 24 2 2 2 3" xfId="2901"/>
    <cellStyle name="Обычный 24 2 2 2 3 2" xfId="5027"/>
    <cellStyle name="Обычный 24 2 2 2 4" xfId="3634"/>
    <cellStyle name="Обычный 24 2 2 2 5" xfId="4208"/>
    <cellStyle name="Обычный 24 2 2 3" xfId="2232"/>
    <cellStyle name="Обычный 24 2 2 3 2" xfId="2903"/>
    <cellStyle name="Обычный 24 2 2 3 2 2" xfId="5029"/>
    <cellStyle name="Обычный 24 2 2 3 3" xfId="3636"/>
    <cellStyle name="Обычный 24 2 2 3 4" xfId="4359"/>
    <cellStyle name="Обычный 24 2 2 4" xfId="2342"/>
    <cellStyle name="Обычный 24 2 2 4 2" xfId="2904"/>
    <cellStyle name="Обычный 24 2 2 4 2 2" xfId="5030"/>
    <cellStyle name="Обычный 24 2 2 4 3" xfId="3637"/>
    <cellStyle name="Обычный 24 2 2 4 4" xfId="4469"/>
    <cellStyle name="Обычный 24 2 2 5" xfId="2900"/>
    <cellStyle name="Обычный 24 2 2 5 2" xfId="5026"/>
    <cellStyle name="Обычный 24 2 2 6" xfId="3633"/>
    <cellStyle name="Обычный 24 2 2 7" xfId="4098"/>
    <cellStyle name="Обычный 24 2 3" xfId="1998"/>
    <cellStyle name="Обычный 24 2 3 2" xfId="2494"/>
    <cellStyle name="Обычный 24 2 3 2 2" xfId="2906"/>
    <cellStyle name="Обычный 24 2 3 2 2 2" xfId="5032"/>
    <cellStyle name="Обычный 24 2 3 2 3" xfId="3639"/>
    <cellStyle name="Обычный 24 2 3 2 4" xfId="4621"/>
    <cellStyle name="Обычный 24 2 3 3" xfId="2905"/>
    <cellStyle name="Обычный 24 2 3 3 2" xfId="5031"/>
    <cellStyle name="Обычный 24 2 3 4" xfId="3638"/>
    <cellStyle name="Обычный 24 2 3 5" xfId="4207"/>
    <cellStyle name="Обычный 24 2 4" xfId="2231"/>
    <cellStyle name="Обычный 24 2 4 2" xfId="2907"/>
    <cellStyle name="Обычный 24 2 4 2 2" xfId="5033"/>
    <cellStyle name="Обычный 24 2 4 3" xfId="3640"/>
    <cellStyle name="Обычный 24 2 4 4" xfId="4358"/>
    <cellStyle name="Обычный 24 2 5" xfId="2341"/>
    <cellStyle name="Обычный 24 2 5 2" xfId="2908"/>
    <cellStyle name="Обычный 24 2 5 2 2" xfId="5034"/>
    <cellStyle name="Обычный 24 2 5 3" xfId="3641"/>
    <cellStyle name="Обычный 24 2 5 4" xfId="4468"/>
    <cellStyle name="Обычный 24 2 6" xfId="2899"/>
    <cellStyle name="Обычный 24 2 6 2" xfId="5025"/>
    <cellStyle name="Обычный 24 2 7" xfId="3632"/>
    <cellStyle name="Обычный 24 2 8" xfId="4097"/>
    <cellStyle name="Обычный 24 3" xfId="1314"/>
    <cellStyle name="Обычный 24 3 2" xfId="2000"/>
    <cellStyle name="Обычный 24 3 2 2" xfId="2496"/>
    <cellStyle name="Обычный 24 3 2 2 2" xfId="2911"/>
    <cellStyle name="Обычный 24 3 2 2 2 2" xfId="5037"/>
    <cellStyle name="Обычный 24 3 2 2 3" xfId="3644"/>
    <cellStyle name="Обычный 24 3 2 2 4" xfId="4623"/>
    <cellStyle name="Обычный 24 3 2 3" xfId="2910"/>
    <cellStyle name="Обычный 24 3 2 3 2" xfId="5036"/>
    <cellStyle name="Обычный 24 3 2 4" xfId="3643"/>
    <cellStyle name="Обычный 24 3 2 5" xfId="4209"/>
    <cellStyle name="Обычный 24 3 3" xfId="2233"/>
    <cellStyle name="Обычный 24 3 3 2" xfId="2912"/>
    <cellStyle name="Обычный 24 3 3 2 2" xfId="5038"/>
    <cellStyle name="Обычный 24 3 3 3" xfId="3645"/>
    <cellStyle name="Обычный 24 3 3 4" xfId="4360"/>
    <cellStyle name="Обычный 24 3 4" xfId="2343"/>
    <cellStyle name="Обычный 24 3 4 2" xfId="2913"/>
    <cellStyle name="Обычный 24 3 4 2 2" xfId="5039"/>
    <cellStyle name="Обычный 24 3 4 3" xfId="3646"/>
    <cellStyle name="Обычный 24 3 4 4" xfId="4470"/>
    <cellStyle name="Обычный 24 3 5" xfId="2909"/>
    <cellStyle name="Обычный 24 3 5 2" xfId="5035"/>
    <cellStyle name="Обычный 24 3 6" xfId="3642"/>
    <cellStyle name="Обычный 24 3 7" xfId="4099"/>
    <cellStyle name="Обычный 24 4" xfId="1997"/>
    <cellStyle name="Обычный 24 4 2" xfId="2493"/>
    <cellStyle name="Обычный 24 4 2 2" xfId="2915"/>
    <cellStyle name="Обычный 24 4 2 2 2" xfId="5041"/>
    <cellStyle name="Обычный 24 4 2 3" xfId="3648"/>
    <cellStyle name="Обычный 24 4 2 4" xfId="4620"/>
    <cellStyle name="Обычный 24 4 3" xfId="2914"/>
    <cellStyle name="Обычный 24 4 3 2" xfId="5040"/>
    <cellStyle name="Обычный 24 4 4" xfId="3647"/>
    <cellStyle name="Обычный 24 4 5" xfId="4206"/>
    <cellStyle name="Обычный 24 5" xfId="2230"/>
    <cellStyle name="Обычный 24 5 2" xfId="2916"/>
    <cellStyle name="Обычный 24 5 2 2" xfId="5042"/>
    <cellStyle name="Обычный 24 5 3" xfId="3649"/>
    <cellStyle name="Обычный 24 5 4" xfId="4357"/>
    <cellStyle name="Обычный 24 6" xfId="2340"/>
    <cellStyle name="Обычный 24 6 2" xfId="2917"/>
    <cellStyle name="Обычный 24 6 2 2" xfId="5043"/>
    <cellStyle name="Обычный 24 6 3" xfId="3650"/>
    <cellStyle name="Обычный 24 6 4" xfId="4467"/>
    <cellStyle name="Обычный 24 7" xfId="2898"/>
    <cellStyle name="Обычный 24 7 2" xfId="5024"/>
    <cellStyle name="Обычный 24 8" xfId="3631"/>
    <cellStyle name="Обычный 24 9" xfId="4096"/>
    <cellStyle name="Обычный 25" xfId="1315"/>
    <cellStyle name="Обычный 25 2" xfId="1316"/>
    <cellStyle name="Обычный 25 2 2" xfId="1317"/>
    <cellStyle name="Обычный 25 2 2 2" xfId="2003"/>
    <cellStyle name="Обычный 25 2 2 2 2" xfId="2499"/>
    <cellStyle name="Обычный 25 2 2 2 2 2" xfId="2922"/>
    <cellStyle name="Обычный 25 2 2 2 2 2 2" xfId="5048"/>
    <cellStyle name="Обычный 25 2 2 2 2 3" xfId="3655"/>
    <cellStyle name="Обычный 25 2 2 2 2 4" xfId="4626"/>
    <cellStyle name="Обычный 25 2 2 2 3" xfId="2921"/>
    <cellStyle name="Обычный 25 2 2 2 3 2" xfId="5047"/>
    <cellStyle name="Обычный 25 2 2 2 4" xfId="3654"/>
    <cellStyle name="Обычный 25 2 2 2 5" xfId="4212"/>
    <cellStyle name="Обычный 25 2 2 3" xfId="2236"/>
    <cellStyle name="Обычный 25 2 2 3 2" xfId="2923"/>
    <cellStyle name="Обычный 25 2 2 3 2 2" xfId="5049"/>
    <cellStyle name="Обычный 25 2 2 3 3" xfId="3656"/>
    <cellStyle name="Обычный 25 2 2 3 4" xfId="4363"/>
    <cellStyle name="Обычный 25 2 2 4" xfId="2346"/>
    <cellStyle name="Обычный 25 2 2 4 2" xfId="2924"/>
    <cellStyle name="Обычный 25 2 2 4 2 2" xfId="5050"/>
    <cellStyle name="Обычный 25 2 2 4 3" xfId="3657"/>
    <cellStyle name="Обычный 25 2 2 4 4" xfId="4473"/>
    <cellStyle name="Обычный 25 2 2 5" xfId="2920"/>
    <cellStyle name="Обычный 25 2 2 5 2" xfId="5046"/>
    <cellStyle name="Обычный 25 2 2 6" xfId="3653"/>
    <cellStyle name="Обычный 25 2 2 7" xfId="4102"/>
    <cellStyle name="Обычный 25 2 3" xfId="2002"/>
    <cellStyle name="Обычный 25 2 3 2" xfId="2498"/>
    <cellStyle name="Обычный 25 2 3 2 2" xfId="2926"/>
    <cellStyle name="Обычный 25 2 3 2 2 2" xfId="5052"/>
    <cellStyle name="Обычный 25 2 3 2 3" xfId="3659"/>
    <cellStyle name="Обычный 25 2 3 2 4" xfId="4625"/>
    <cellStyle name="Обычный 25 2 3 3" xfId="2925"/>
    <cellStyle name="Обычный 25 2 3 3 2" xfId="5051"/>
    <cellStyle name="Обычный 25 2 3 4" xfId="3658"/>
    <cellStyle name="Обычный 25 2 3 5" xfId="4211"/>
    <cellStyle name="Обычный 25 2 4" xfId="2235"/>
    <cellStyle name="Обычный 25 2 4 2" xfId="2927"/>
    <cellStyle name="Обычный 25 2 4 2 2" xfId="5053"/>
    <cellStyle name="Обычный 25 2 4 3" xfId="3660"/>
    <cellStyle name="Обычный 25 2 4 4" xfId="4362"/>
    <cellStyle name="Обычный 25 2 5" xfId="2345"/>
    <cellStyle name="Обычный 25 2 5 2" xfId="2928"/>
    <cellStyle name="Обычный 25 2 5 2 2" xfId="5054"/>
    <cellStyle name="Обычный 25 2 5 3" xfId="3661"/>
    <cellStyle name="Обычный 25 2 5 4" xfId="4472"/>
    <cellStyle name="Обычный 25 2 6" xfId="2919"/>
    <cellStyle name="Обычный 25 2 6 2" xfId="5045"/>
    <cellStyle name="Обычный 25 2 7" xfId="3652"/>
    <cellStyle name="Обычный 25 2 8" xfId="4101"/>
    <cellStyle name="Обычный 25 3" xfId="1318"/>
    <cellStyle name="Обычный 25 3 2" xfId="2004"/>
    <cellStyle name="Обычный 25 3 2 2" xfId="2500"/>
    <cellStyle name="Обычный 25 3 2 2 2" xfId="2931"/>
    <cellStyle name="Обычный 25 3 2 2 2 2" xfId="5057"/>
    <cellStyle name="Обычный 25 3 2 2 3" xfId="3664"/>
    <cellStyle name="Обычный 25 3 2 2 4" xfId="4627"/>
    <cellStyle name="Обычный 25 3 2 3" xfId="2930"/>
    <cellStyle name="Обычный 25 3 2 3 2" xfId="5056"/>
    <cellStyle name="Обычный 25 3 2 4" xfId="3663"/>
    <cellStyle name="Обычный 25 3 2 5" xfId="4213"/>
    <cellStyle name="Обычный 25 3 3" xfId="2237"/>
    <cellStyle name="Обычный 25 3 3 2" xfId="2932"/>
    <cellStyle name="Обычный 25 3 3 2 2" xfId="5058"/>
    <cellStyle name="Обычный 25 3 3 3" xfId="3665"/>
    <cellStyle name="Обычный 25 3 3 4" xfId="4364"/>
    <cellStyle name="Обычный 25 3 4" xfId="2347"/>
    <cellStyle name="Обычный 25 3 4 2" xfId="2933"/>
    <cellStyle name="Обычный 25 3 4 2 2" xfId="5059"/>
    <cellStyle name="Обычный 25 3 4 3" xfId="3666"/>
    <cellStyle name="Обычный 25 3 4 4" xfId="4474"/>
    <cellStyle name="Обычный 25 3 5" xfId="2929"/>
    <cellStyle name="Обычный 25 3 5 2" xfId="5055"/>
    <cellStyle name="Обычный 25 3 6" xfId="3662"/>
    <cellStyle name="Обычный 25 3 7" xfId="4103"/>
    <cellStyle name="Обычный 25 4" xfId="2001"/>
    <cellStyle name="Обычный 25 4 2" xfId="2497"/>
    <cellStyle name="Обычный 25 4 2 2" xfId="2935"/>
    <cellStyle name="Обычный 25 4 2 2 2" xfId="5061"/>
    <cellStyle name="Обычный 25 4 2 3" xfId="3668"/>
    <cellStyle name="Обычный 25 4 2 4" xfId="4624"/>
    <cellStyle name="Обычный 25 4 3" xfId="2934"/>
    <cellStyle name="Обычный 25 4 3 2" xfId="5060"/>
    <cellStyle name="Обычный 25 4 4" xfId="3667"/>
    <cellStyle name="Обычный 25 4 5" xfId="4210"/>
    <cellStyle name="Обычный 25 5" xfId="2234"/>
    <cellStyle name="Обычный 25 5 2" xfId="2936"/>
    <cellStyle name="Обычный 25 5 2 2" xfId="5062"/>
    <cellStyle name="Обычный 25 5 3" xfId="3669"/>
    <cellStyle name="Обычный 25 5 4" xfId="4361"/>
    <cellStyle name="Обычный 25 6" xfId="2344"/>
    <cellStyle name="Обычный 25 6 2" xfId="2937"/>
    <cellStyle name="Обычный 25 6 2 2" xfId="5063"/>
    <cellStyle name="Обычный 25 6 3" xfId="3670"/>
    <cellStyle name="Обычный 25 6 4" xfId="4471"/>
    <cellStyle name="Обычный 25 7" xfId="2918"/>
    <cellStyle name="Обычный 25 7 2" xfId="5044"/>
    <cellStyle name="Обычный 25 8" xfId="3651"/>
    <cellStyle name="Обычный 25 9" xfId="4100"/>
    <cellStyle name="Обычный 26" xfId="1319"/>
    <cellStyle name="Обычный 26 2" xfId="1320"/>
    <cellStyle name="Обычный 26 2 2" xfId="1321"/>
    <cellStyle name="Обычный 26 2 2 2" xfId="2007"/>
    <cellStyle name="Обычный 26 2 2 2 2" xfId="2503"/>
    <cellStyle name="Обычный 26 2 2 2 2 2" xfId="2942"/>
    <cellStyle name="Обычный 26 2 2 2 2 2 2" xfId="5068"/>
    <cellStyle name="Обычный 26 2 2 2 2 3" xfId="3675"/>
    <cellStyle name="Обычный 26 2 2 2 2 4" xfId="4630"/>
    <cellStyle name="Обычный 26 2 2 2 3" xfId="2941"/>
    <cellStyle name="Обычный 26 2 2 2 3 2" xfId="5067"/>
    <cellStyle name="Обычный 26 2 2 2 4" xfId="3674"/>
    <cellStyle name="Обычный 26 2 2 2 5" xfId="4216"/>
    <cellStyle name="Обычный 26 2 2 3" xfId="2240"/>
    <cellStyle name="Обычный 26 2 2 3 2" xfId="2943"/>
    <cellStyle name="Обычный 26 2 2 3 2 2" xfId="5069"/>
    <cellStyle name="Обычный 26 2 2 3 3" xfId="3676"/>
    <cellStyle name="Обычный 26 2 2 3 4" xfId="4367"/>
    <cellStyle name="Обычный 26 2 2 4" xfId="2350"/>
    <cellStyle name="Обычный 26 2 2 4 2" xfId="2944"/>
    <cellStyle name="Обычный 26 2 2 4 2 2" xfId="5070"/>
    <cellStyle name="Обычный 26 2 2 4 3" xfId="3677"/>
    <cellStyle name="Обычный 26 2 2 4 4" xfId="4477"/>
    <cellStyle name="Обычный 26 2 2 5" xfId="2940"/>
    <cellStyle name="Обычный 26 2 2 5 2" xfId="5066"/>
    <cellStyle name="Обычный 26 2 2 6" xfId="3673"/>
    <cellStyle name="Обычный 26 2 2 7" xfId="4106"/>
    <cellStyle name="Обычный 26 2 3" xfId="2006"/>
    <cellStyle name="Обычный 26 2 3 2" xfId="2502"/>
    <cellStyle name="Обычный 26 2 3 2 2" xfId="2946"/>
    <cellStyle name="Обычный 26 2 3 2 2 2" xfId="5072"/>
    <cellStyle name="Обычный 26 2 3 2 3" xfId="3679"/>
    <cellStyle name="Обычный 26 2 3 2 4" xfId="4629"/>
    <cellStyle name="Обычный 26 2 3 3" xfId="2945"/>
    <cellStyle name="Обычный 26 2 3 3 2" xfId="5071"/>
    <cellStyle name="Обычный 26 2 3 4" xfId="3678"/>
    <cellStyle name="Обычный 26 2 3 5" xfId="4215"/>
    <cellStyle name="Обычный 26 2 4" xfId="2239"/>
    <cellStyle name="Обычный 26 2 4 2" xfId="2947"/>
    <cellStyle name="Обычный 26 2 4 2 2" xfId="5073"/>
    <cellStyle name="Обычный 26 2 4 3" xfId="3680"/>
    <cellStyle name="Обычный 26 2 4 4" xfId="4366"/>
    <cellStyle name="Обычный 26 2 5" xfId="2349"/>
    <cellStyle name="Обычный 26 2 5 2" xfId="2948"/>
    <cellStyle name="Обычный 26 2 5 2 2" xfId="5074"/>
    <cellStyle name="Обычный 26 2 5 3" xfId="3681"/>
    <cellStyle name="Обычный 26 2 5 4" xfId="4476"/>
    <cellStyle name="Обычный 26 2 6" xfId="2939"/>
    <cellStyle name="Обычный 26 2 6 2" xfId="5065"/>
    <cellStyle name="Обычный 26 2 7" xfId="3672"/>
    <cellStyle name="Обычный 26 2 8" xfId="4105"/>
    <cellStyle name="Обычный 26 3" xfId="1322"/>
    <cellStyle name="Обычный 26 3 2" xfId="2008"/>
    <cellStyle name="Обычный 26 3 2 2" xfId="2504"/>
    <cellStyle name="Обычный 26 3 2 2 2" xfId="2951"/>
    <cellStyle name="Обычный 26 3 2 2 2 2" xfId="5077"/>
    <cellStyle name="Обычный 26 3 2 2 3" xfId="3684"/>
    <cellStyle name="Обычный 26 3 2 2 4" xfId="4631"/>
    <cellStyle name="Обычный 26 3 2 3" xfId="2950"/>
    <cellStyle name="Обычный 26 3 2 3 2" xfId="5076"/>
    <cellStyle name="Обычный 26 3 2 4" xfId="3683"/>
    <cellStyle name="Обычный 26 3 2 5" xfId="4217"/>
    <cellStyle name="Обычный 26 3 3" xfId="2241"/>
    <cellStyle name="Обычный 26 3 3 2" xfId="2952"/>
    <cellStyle name="Обычный 26 3 3 2 2" xfId="5078"/>
    <cellStyle name="Обычный 26 3 3 3" xfId="3685"/>
    <cellStyle name="Обычный 26 3 3 4" xfId="4368"/>
    <cellStyle name="Обычный 26 3 4" xfId="2351"/>
    <cellStyle name="Обычный 26 3 4 2" xfId="2953"/>
    <cellStyle name="Обычный 26 3 4 2 2" xfId="5079"/>
    <cellStyle name="Обычный 26 3 4 3" xfId="3686"/>
    <cellStyle name="Обычный 26 3 4 4" xfId="4478"/>
    <cellStyle name="Обычный 26 3 5" xfId="2949"/>
    <cellStyle name="Обычный 26 3 5 2" xfId="5075"/>
    <cellStyle name="Обычный 26 3 6" xfId="3682"/>
    <cellStyle name="Обычный 26 3 7" xfId="4107"/>
    <cellStyle name="Обычный 26 4" xfId="2005"/>
    <cellStyle name="Обычный 26 4 2" xfId="2501"/>
    <cellStyle name="Обычный 26 4 2 2" xfId="2955"/>
    <cellStyle name="Обычный 26 4 2 2 2" xfId="5081"/>
    <cellStyle name="Обычный 26 4 2 3" xfId="3688"/>
    <cellStyle name="Обычный 26 4 2 4" xfId="4628"/>
    <cellStyle name="Обычный 26 4 3" xfId="2954"/>
    <cellStyle name="Обычный 26 4 3 2" xfId="5080"/>
    <cellStyle name="Обычный 26 4 4" xfId="3687"/>
    <cellStyle name="Обычный 26 4 5" xfId="4214"/>
    <cellStyle name="Обычный 26 5" xfId="2238"/>
    <cellStyle name="Обычный 26 5 2" xfId="2956"/>
    <cellStyle name="Обычный 26 5 2 2" xfId="5082"/>
    <cellStyle name="Обычный 26 5 3" xfId="3689"/>
    <cellStyle name="Обычный 26 5 4" xfId="4365"/>
    <cellStyle name="Обычный 26 6" xfId="2348"/>
    <cellStyle name="Обычный 26 6 2" xfId="2957"/>
    <cellStyle name="Обычный 26 6 2 2" xfId="5083"/>
    <cellStyle name="Обычный 26 6 3" xfId="3690"/>
    <cellStyle name="Обычный 26 6 4" xfId="4475"/>
    <cellStyle name="Обычный 26 7" xfId="2938"/>
    <cellStyle name="Обычный 26 7 2" xfId="5064"/>
    <cellStyle name="Обычный 26 8" xfId="3671"/>
    <cellStyle name="Обычный 26 9" xfId="4104"/>
    <cellStyle name="Обычный 27" xfId="1323"/>
    <cellStyle name="Обычный 27 2" xfId="1324"/>
    <cellStyle name="Обычный 27 2 2" xfId="1325"/>
    <cellStyle name="Обычный 27 2 2 2" xfId="2011"/>
    <cellStyle name="Обычный 27 2 2 2 2" xfId="2507"/>
    <cellStyle name="Обычный 27 2 2 2 2 2" xfId="2962"/>
    <cellStyle name="Обычный 27 2 2 2 2 2 2" xfId="5088"/>
    <cellStyle name="Обычный 27 2 2 2 2 3" xfId="3695"/>
    <cellStyle name="Обычный 27 2 2 2 2 4" xfId="4634"/>
    <cellStyle name="Обычный 27 2 2 2 3" xfId="2961"/>
    <cellStyle name="Обычный 27 2 2 2 3 2" xfId="5087"/>
    <cellStyle name="Обычный 27 2 2 2 4" xfId="3694"/>
    <cellStyle name="Обычный 27 2 2 2 5" xfId="4220"/>
    <cellStyle name="Обычный 27 2 2 3" xfId="2244"/>
    <cellStyle name="Обычный 27 2 2 3 2" xfId="2963"/>
    <cellStyle name="Обычный 27 2 2 3 2 2" xfId="5089"/>
    <cellStyle name="Обычный 27 2 2 3 3" xfId="3696"/>
    <cellStyle name="Обычный 27 2 2 3 4" xfId="4371"/>
    <cellStyle name="Обычный 27 2 2 4" xfId="2354"/>
    <cellStyle name="Обычный 27 2 2 4 2" xfId="2964"/>
    <cellStyle name="Обычный 27 2 2 4 2 2" xfId="5090"/>
    <cellStyle name="Обычный 27 2 2 4 3" xfId="3697"/>
    <cellStyle name="Обычный 27 2 2 4 4" xfId="4481"/>
    <cellStyle name="Обычный 27 2 2 5" xfId="2960"/>
    <cellStyle name="Обычный 27 2 2 5 2" xfId="5086"/>
    <cellStyle name="Обычный 27 2 2 6" xfId="3693"/>
    <cellStyle name="Обычный 27 2 2 7" xfId="4110"/>
    <cellStyle name="Обычный 27 2 3" xfId="2010"/>
    <cellStyle name="Обычный 27 2 3 2" xfId="2506"/>
    <cellStyle name="Обычный 27 2 3 2 2" xfId="2966"/>
    <cellStyle name="Обычный 27 2 3 2 2 2" xfId="5092"/>
    <cellStyle name="Обычный 27 2 3 2 3" xfId="3699"/>
    <cellStyle name="Обычный 27 2 3 2 4" xfId="4633"/>
    <cellStyle name="Обычный 27 2 3 3" xfId="2965"/>
    <cellStyle name="Обычный 27 2 3 3 2" xfId="5091"/>
    <cellStyle name="Обычный 27 2 3 4" xfId="3698"/>
    <cellStyle name="Обычный 27 2 3 5" xfId="4219"/>
    <cellStyle name="Обычный 27 2 4" xfId="2243"/>
    <cellStyle name="Обычный 27 2 4 2" xfId="2967"/>
    <cellStyle name="Обычный 27 2 4 2 2" xfId="5093"/>
    <cellStyle name="Обычный 27 2 4 3" xfId="3700"/>
    <cellStyle name="Обычный 27 2 4 4" xfId="4370"/>
    <cellStyle name="Обычный 27 2 5" xfId="2353"/>
    <cellStyle name="Обычный 27 2 5 2" xfId="2968"/>
    <cellStyle name="Обычный 27 2 5 2 2" xfId="5094"/>
    <cellStyle name="Обычный 27 2 5 3" xfId="3701"/>
    <cellStyle name="Обычный 27 2 5 4" xfId="4480"/>
    <cellStyle name="Обычный 27 2 6" xfId="2959"/>
    <cellStyle name="Обычный 27 2 6 2" xfId="5085"/>
    <cellStyle name="Обычный 27 2 7" xfId="3692"/>
    <cellStyle name="Обычный 27 2 8" xfId="4109"/>
    <cellStyle name="Обычный 27 3" xfId="1326"/>
    <cellStyle name="Обычный 27 3 2" xfId="2012"/>
    <cellStyle name="Обычный 27 3 2 2" xfId="2508"/>
    <cellStyle name="Обычный 27 3 2 2 2" xfId="2971"/>
    <cellStyle name="Обычный 27 3 2 2 2 2" xfId="5097"/>
    <cellStyle name="Обычный 27 3 2 2 3" xfId="3704"/>
    <cellStyle name="Обычный 27 3 2 2 4" xfId="4635"/>
    <cellStyle name="Обычный 27 3 2 3" xfId="2970"/>
    <cellStyle name="Обычный 27 3 2 3 2" xfId="5096"/>
    <cellStyle name="Обычный 27 3 2 4" xfId="3703"/>
    <cellStyle name="Обычный 27 3 2 5" xfId="4221"/>
    <cellStyle name="Обычный 27 3 3" xfId="2245"/>
    <cellStyle name="Обычный 27 3 3 2" xfId="2972"/>
    <cellStyle name="Обычный 27 3 3 2 2" xfId="5098"/>
    <cellStyle name="Обычный 27 3 3 3" xfId="3705"/>
    <cellStyle name="Обычный 27 3 3 4" xfId="4372"/>
    <cellStyle name="Обычный 27 3 4" xfId="2355"/>
    <cellStyle name="Обычный 27 3 4 2" xfId="2973"/>
    <cellStyle name="Обычный 27 3 4 2 2" xfId="5099"/>
    <cellStyle name="Обычный 27 3 4 3" xfId="3706"/>
    <cellStyle name="Обычный 27 3 4 4" xfId="4482"/>
    <cellStyle name="Обычный 27 3 5" xfId="2969"/>
    <cellStyle name="Обычный 27 3 5 2" xfId="5095"/>
    <cellStyle name="Обычный 27 3 6" xfId="3702"/>
    <cellStyle name="Обычный 27 3 7" xfId="4111"/>
    <cellStyle name="Обычный 27 4" xfId="2009"/>
    <cellStyle name="Обычный 27 4 2" xfId="2505"/>
    <cellStyle name="Обычный 27 4 2 2" xfId="2975"/>
    <cellStyle name="Обычный 27 4 2 2 2" xfId="5101"/>
    <cellStyle name="Обычный 27 4 2 3" xfId="3708"/>
    <cellStyle name="Обычный 27 4 2 4" xfId="4632"/>
    <cellStyle name="Обычный 27 4 3" xfId="2974"/>
    <cellStyle name="Обычный 27 4 3 2" xfId="5100"/>
    <cellStyle name="Обычный 27 4 4" xfId="3707"/>
    <cellStyle name="Обычный 27 4 5" xfId="4218"/>
    <cellStyle name="Обычный 27 5" xfId="2242"/>
    <cellStyle name="Обычный 27 5 2" xfId="2976"/>
    <cellStyle name="Обычный 27 5 2 2" xfId="5102"/>
    <cellStyle name="Обычный 27 5 3" xfId="3709"/>
    <cellStyle name="Обычный 27 5 4" xfId="4369"/>
    <cellStyle name="Обычный 27 6" xfId="2352"/>
    <cellStyle name="Обычный 27 6 2" xfId="2977"/>
    <cellStyle name="Обычный 27 6 2 2" xfId="5103"/>
    <cellStyle name="Обычный 27 6 3" xfId="3710"/>
    <cellStyle name="Обычный 27 6 4" xfId="4479"/>
    <cellStyle name="Обычный 27 7" xfId="2958"/>
    <cellStyle name="Обычный 27 7 2" xfId="5084"/>
    <cellStyle name="Обычный 27 8" xfId="3691"/>
    <cellStyle name="Обычный 27 9" xfId="4108"/>
    <cellStyle name="Обычный 28" xfId="1327"/>
    <cellStyle name="Обычный 28 2" xfId="1777"/>
    <cellStyle name="Обычный 29" xfId="1328"/>
    <cellStyle name="Обычный 3" xfId="5"/>
    <cellStyle name="Обычный 3 10" xfId="261"/>
    <cellStyle name="Обычный 3 10 2" xfId="266"/>
    <cellStyle name="Обычный 3 10 2 2" xfId="1778"/>
    <cellStyle name="Обычный 3 10 2 3" xfId="2082"/>
    <cellStyle name="Обычный 3 10 2 3 2" xfId="2422"/>
    <cellStyle name="Обычный 3 10 2 3 2 2" xfId="2979"/>
    <cellStyle name="Обычный 3 10 2 3 2 2 2" xfId="5105"/>
    <cellStyle name="Обычный 3 10 2 3 2 3" xfId="3715"/>
    <cellStyle name="Обычный 3 10 2 3 2 4" xfId="4549"/>
    <cellStyle name="Обычный 3 10 2 3 3" xfId="2978"/>
    <cellStyle name="Обычный 3 10 2 3 3 2" xfId="5104"/>
    <cellStyle name="Обычный 3 10 2 3 4" xfId="3714"/>
    <cellStyle name="Обычный 3 10 2 3 5" xfId="4288"/>
    <cellStyle name="Обычный 3 10 2 4" xfId="2584"/>
    <cellStyle name="Обычный 3 10 2 4 2" xfId="4710"/>
    <cellStyle name="Обычный 3 10 2 5" xfId="3713"/>
    <cellStyle name="Обычный 3 10 2 6" xfId="4049"/>
    <cellStyle name="Обычный 3 10 3" xfId="1330"/>
    <cellStyle name="Обычный 3 10 4" xfId="2084"/>
    <cellStyle name="Обычный 3 10 4 2" xfId="2424"/>
    <cellStyle name="Обычный 3 10 4 2 2" xfId="2981"/>
    <cellStyle name="Обычный 3 10 4 2 2 2" xfId="5107"/>
    <cellStyle name="Обычный 3 10 4 2 3" xfId="3717"/>
    <cellStyle name="Обычный 3 10 4 2 4" xfId="4551"/>
    <cellStyle name="Обычный 3 10 4 3" xfId="2980"/>
    <cellStyle name="Обычный 3 10 4 3 2" xfId="5106"/>
    <cellStyle name="Обычный 3 10 4 4" xfId="3716"/>
    <cellStyle name="Обычный 3 10 4 5" xfId="4290"/>
    <cellStyle name="Обычный 3 10 5" xfId="3311"/>
    <cellStyle name="Обычный 3 10 5 2" xfId="5437"/>
    <cellStyle name="Обычный 3 10 6" xfId="3712"/>
    <cellStyle name="Обычный 3 10 7" xfId="4047"/>
    <cellStyle name="Обычный 3 11" xfId="1331"/>
    <cellStyle name="Обычный 3 11 2" xfId="1779"/>
    <cellStyle name="Обычный 3 11 2 2" xfId="2580"/>
    <cellStyle name="Обычный 3 11 2 2 2" xfId="2982"/>
    <cellStyle name="Обычный 3 11 2 2 2 2" xfId="5108"/>
    <cellStyle name="Обычный 3 11 2 2 3" xfId="3718"/>
    <cellStyle name="Обычный 3 11 2 2 4" xfId="4707"/>
    <cellStyle name="Обычный 3 11 2 3" xfId="3313"/>
    <cellStyle name="Обычный 3 11 2 3 2" xfId="5439"/>
    <cellStyle name="Обычный 3 11 2 4" xfId="3315"/>
    <cellStyle name="Обычный 3 11 2 4 2" xfId="5441"/>
    <cellStyle name="Обычный 3 12" xfId="1332"/>
    <cellStyle name="Обычный 3 12 2" xfId="1780"/>
    <cellStyle name="Обычный 3 13" xfId="1333"/>
    <cellStyle name="Обычный 3 13 2" xfId="1781"/>
    <cellStyle name="Обычный 3 14" xfId="1334"/>
    <cellStyle name="Обычный 3 14 2" xfId="1782"/>
    <cellStyle name="Обычный 3 15" xfId="1335"/>
    <cellStyle name="Обычный 3 16" xfId="1336"/>
    <cellStyle name="Обычный 3 17" xfId="1337"/>
    <cellStyle name="Обычный 3 18" xfId="1329"/>
    <cellStyle name="Обычный 3 19" xfId="2165"/>
    <cellStyle name="Обычный 3 19 2" xfId="2445"/>
    <cellStyle name="Обычный 3 19 2 2" xfId="2984"/>
    <cellStyle name="Обычный 3 19 2 2 2" xfId="5110"/>
    <cellStyle name="Обычный 3 19 2 3" xfId="3720"/>
    <cellStyle name="Обычный 3 19 2 4" xfId="4572"/>
    <cellStyle name="Обычный 3 19 3" xfId="2983"/>
    <cellStyle name="Обычный 3 19 3 2" xfId="5109"/>
    <cellStyle name="Обычный 3 19 4" xfId="3719"/>
    <cellStyle name="Обычный 3 19 5" xfId="4311"/>
    <cellStyle name="Обычный 3 2" xfId="156"/>
    <cellStyle name="Обычный 3 2 2" xfId="157"/>
    <cellStyle name="Обычный 3 20" xfId="2013"/>
    <cellStyle name="Обычный 3 21" xfId="1951"/>
    <cellStyle name="Обычный 3 21 2" xfId="2447"/>
    <cellStyle name="Обычный 3 21 2 2" xfId="2986"/>
    <cellStyle name="Обычный 3 21 2 2 2" xfId="5112"/>
    <cellStyle name="Обычный 3 21 2 3" xfId="3722"/>
    <cellStyle name="Обычный 3 21 2 4" xfId="4574"/>
    <cellStyle name="Обычный 3 21 3" xfId="2985"/>
    <cellStyle name="Обычный 3 21 3 2" xfId="5111"/>
    <cellStyle name="Обычный 3 21 4" xfId="3721"/>
    <cellStyle name="Обычный 3 21 5" xfId="4160"/>
    <cellStyle name="Обычный 3 22" xfId="2294"/>
    <cellStyle name="Обычный 3 22 2" xfId="2987"/>
    <cellStyle name="Обычный 3 22 2 2" xfId="5113"/>
    <cellStyle name="Обычный 3 22 3" xfId="3723"/>
    <cellStyle name="Обычный 3 22 4" xfId="4421"/>
    <cellStyle name="Обычный 3 23" xfId="2583"/>
    <cellStyle name="Обычный 3 23 2" xfId="4709"/>
    <cellStyle name="Обычный 3 24" xfId="3277"/>
    <cellStyle name="Обычный 3 24 2" xfId="5403"/>
    <cellStyle name="Обычный 3 25" xfId="3711"/>
    <cellStyle name="Обычный 3 26" xfId="4013"/>
    <cellStyle name="Обычный 3 3" xfId="158"/>
    <cellStyle name="Обычный 3 3 2" xfId="159"/>
    <cellStyle name="Обычный 3 3 2 2" xfId="1783"/>
    <cellStyle name="Обычный 3 3 2 3" xfId="2118"/>
    <cellStyle name="Обычный 3 3 3" xfId="160"/>
    <cellStyle name="Обычный 3 3 4" xfId="2119"/>
    <cellStyle name="Обычный 3 4" xfId="161"/>
    <cellStyle name="Обычный 3 4 2" xfId="162"/>
    <cellStyle name="Обычный 3 4 3" xfId="163"/>
    <cellStyle name="Обычный 3 4 3 2" xfId="1785"/>
    <cellStyle name="Обычный 3 4 4" xfId="1784"/>
    <cellStyle name="Обычный 3 5" xfId="164"/>
    <cellStyle name="Обычный 3 5 2" xfId="165"/>
    <cellStyle name="Обычный 3 5 3" xfId="2117"/>
    <cellStyle name="Обычный 3 6" xfId="166"/>
    <cellStyle name="Обычный 3 6 2" xfId="1786"/>
    <cellStyle name="Обычный 3 7" xfId="167"/>
    <cellStyle name="Обычный 3 7 2" xfId="1787"/>
    <cellStyle name="Обычный 3 8" xfId="168"/>
    <cellStyle name="Обычный 3 8 2" xfId="1788"/>
    <cellStyle name="Обычный 3 8 3" xfId="1338"/>
    <cellStyle name="Обычный 3 8 4" xfId="2116"/>
    <cellStyle name="Обычный 3 9" xfId="169"/>
    <cellStyle name="Обычный 3 9 2" xfId="1789"/>
    <cellStyle name="Обычный 3 9 3" xfId="1339"/>
    <cellStyle name="Обычный 3 9 4" xfId="2115"/>
    <cellStyle name="Обычный 3_Дефицит_7 млрд_0608_бс" xfId="1340"/>
    <cellStyle name="Обычный 30" xfId="1341"/>
    <cellStyle name="Обычный 31" xfId="1342"/>
    <cellStyle name="Обычный 31 2" xfId="1343"/>
    <cellStyle name="Обычный 31 2 2" xfId="2015"/>
    <cellStyle name="Обычный 31 2 2 2" xfId="2510"/>
    <cellStyle name="Обычный 31 2 2 2 2" xfId="2991"/>
    <cellStyle name="Обычный 31 2 2 2 2 2" xfId="5117"/>
    <cellStyle name="Обычный 31 2 2 2 3" xfId="3727"/>
    <cellStyle name="Обычный 31 2 2 2 4" xfId="4637"/>
    <cellStyle name="Обычный 31 2 2 3" xfId="2990"/>
    <cellStyle name="Обычный 31 2 2 3 2" xfId="5116"/>
    <cellStyle name="Обычный 31 2 2 4" xfId="3726"/>
    <cellStyle name="Обычный 31 2 2 5" xfId="4223"/>
    <cellStyle name="Обычный 31 2 3" xfId="2247"/>
    <cellStyle name="Обычный 31 2 3 2" xfId="2992"/>
    <cellStyle name="Обычный 31 2 3 2 2" xfId="5118"/>
    <cellStyle name="Обычный 31 2 3 3" xfId="3728"/>
    <cellStyle name="Обычный 31 2 3 4" xfId="4374"/>
    <cellStyle name="Обычный 31 2 4" xfId="2357"/>
    <cellStyle name="Обычный 31 2 4 2" xfId="2993"/>
    <cellStyle name="Обычный 31 2 4 2 2" xfId="5119"/>
    <cellStyle name="Обычный 31 2 4 3" xfId="3729"/>
    <cellStyle name="Обычный 31 2 4 4" xfId="4484"/>
    <cellStyle name="Обычный 31 2 5" xfId="2989"/>
    <cellStyle name="Обычный 31 2 5 2" xfId="5115"/>
    <cellStyle name="Обычный 31 2 6" xfId="3725"/>
    <cellStyle name="Обычный 31 2 7" xfId="4113"/>
    <cellStyle name="Обычный 31 3" xfId="2014"/>
    <cellStyle name="Обычный 31 3 2" xfId="2509"/>
    <cellStyle name="Обычный 31 3 2 2" xfId="2995"/>
    <cellStyle name="Обычный 31 3 2 2 2" xfId="5121"/>
    <cellStyle name="Обычный 31 3 2 3" xfId="3731"/>
    <cellStyle name="Обычный 31 3 2 4" xfId="4636"/>
    <cellStyle name="Обычный 31 3 3" xfId="2994"/>
    <cellStyle name="Обычный 31 3 3 2" xfId="5120"/>
    <cellStyle name="Обычный 31 3 4" xfId="3730"/>
    <cellStyle name="Обычный 31 3 5" xfId="4222"/>
    <cellStyle name="Обычный 31 4" xfId="2246"/>
    <cellStyle name="Обычный 31 4 2" xfId="2996"/>
    <cellStyle name="Обычный 31 4 2 2" xfId="5122"/>
    <cellStyle name="Обычный 31 4 3" xfId="3732"/>
    <cellStyle name="Обычный 31 4 4" xfId="4373"/>
    <cellStyle name="Обычный 31 5" xfId="2356"/>
    <cellStyle name="Обычный 31 5 2" xfId="2997"/>
    <cellStyle name="Обычный 31 5 2 2" xfId="5123"/>
    <cellStyle name="Обычный 31 5 3" xfId="3733"/>
    <cellStyle name="Обычный 31 5 4" xfId="4483"/>
    <cellStyle name="Обычный 31 6" xfId="2988"/>
    <cellStyle name="Обычный 31 6 2" xfId="5114"/>
    <cellStyle name="Обычный 31 7" xfId="3724"/>
    <cellStyle name="Обычный 31 8" xfId="4112"/>
    <cellStyle name="Обычный 32" xfId="1344"/>
    <cellStyle name="Обычный 32 2" xfId="1345"/>
    <cellStyle name="Обычный 32 3" xfId="1346"/>
    <cellStyle name="Обычный 33" xfId="1347"/>
    <cellStyle name="Обычный 33 2" xfId="1348"/>
    <cellStyle name="Обычный 33 2 2" xfId="2579"/>
    <cellStyle name="Обычный 33 2 2 2" xfId="2998"/>
    <cellStyle name="Обычный 33 2 2 2 2" xfId="5124"/>
    <cellStyle name="Обычный 33 2 2 3" xfId="3318"/>
    <cellStyle name="Обычный 33 2 2 4" xfId="4706"/>
    <cellStyle name="Обычный 33 2 3" xfId="3312"/>
    <cellStyle name="Обычный 33 2 3 2" xfId="5438"/>
    <cellStyle name="Обычный 33 2 4" xfId="3314"/>
    <cellStyle name="Обычный 33 2 4 2" xfId="5440"/>
    <cellStyle name="Обычный 33 3" xfId="1349"/>
    <cellStyle name="Обычный 34" xfId="1350"/>
    <cellStyle name="Обычный 34 2" xfId="1351"/>
    <cellStyle name="Обычный 34 3" xfId="1352"/>
    <cellStyle name="Обычный 35" xfId="1353"/>
    <cellStyle name="Обычный 35 2" xfId="1354"/>
    <cellStyle name="Обычный 35 3" xfId="1355"/>
    <cellStyle name="Обычный 36" xfId="1356"/>
    <cellStyle name="Обычный 36 2" xfId="1357"/>
    <cellStyle name="Обычный 36 3" xfId="1358"/>
    <cellStyle name="Обычный 37" xfId="1359"/>
    <cellStyle name="Обычный 37 2" xfId="1360"/>
    <cellStyle name="Обычный 37 3" xfId="1361"/>
    <cellStyle name="Обычный 38" xfId="1362"/>
    <cellStyle name="Обычный 38 2" xfId="2016"/>
    <cellStyle name="Обычный 38 2 2" xfId="2511"/>
    <cellStyle name="Обычный 38 2 2 2" xfId="3001"/>
    <cellStyle name="Обычный 38 2 2 2 2" xfId="5127"/>
    <cellStyle name="Обычный 38 2 2 3" xfId="3736"/>
    <cellStyle name="Обычный 38 2 2 4" xfId="4638"/>
    <cellStyle name="Обычный 38 2 3" xfId="3000"/>
    <cellStyle name="Обычный 38 2 3 2" xfId="5126"/>
    <cellStyle name="Обычный 38 2 4" xfId="3735"/>
    <cellStyle name="Обычный 38 2 5" xfId="4224"/>
    <cellStyle name="Обычный 38 3" xfId="2248"/>
    <cellStyle name="Обычный 38 3 2" xfId="3002"/>
    <cellStyle name="Обычный 38 3 2 2" xfId="5128"/>
    <cellStyle name="Обычный 38 3 3" xfId="3737"/>
    <cellStyle name="Обычный 38 3 4" xfId="4375"/>
    <cellStyle name="Обычный 38 4" xfId="2358"/>
    <cellStyle name="Обычный 38 4 2" xfId="3003"/>
    <cellStyle name="Обычный 38 4 2 2" xfId="5129"/>
    <cellStyle name="Обычный 38 4 3" xfId="3738"/>
    <cellStyle name="Обычный 38 4 4" xfId="4485"/>
    <cellStyle name="Обычный 38 5" xfId="2999"/>
    <cellStyle name="Обычный 38 5 2" xfId="5125"/>
    <cellStyle name="Обычный 38 6" xfId="3734"/>
    <cellStyle name="Обычный 38 7" xfId="4114"/>
    <cellStyle name="Обычный 39" xfId="1363"/>
    <cellStyle name="Обычный 39 2" xfId="2017"/>
    <cellStyle name="Обычный 39 2 2" xfId="2512"/>
    <cellStyle name="Обычный 39 2 2 2" xfId="3006"/>
    <cellStyle name="Обычный 39 2 2 2 2" xfId="5132"/>
    <cellStyle name="Обычный 39 2 2 3" xfId="3741"/>
    <cellStyle name="Обычный 39 2 2 4" xfId="4639"/>
    <cellStyle name="Обычный 39 2 3" xfId="3005"/>
    <cellStyle name="Обычный 39 2 3 2" xfId="5131"/>
    <cellStyle name="Обычный 39 2 4" xfId="3740"/>
    <cellStyle name="Обычный 39 2 5" xfId="4225"/>
    <cellStyle name="Обычный 39 3" xfId="2249"/>
    <cellStyle name="Обычный 39 3 2" xfId="3007"/>
    <cellStyle name="Обычный 39 3 2 2" xfId="5133"/>
    <cellStyle name="Обычный 39 3 3" xfId="3742"/>
    <cellStyle name="Обычный 39 3 4" xfId="4376"/>
    <cellStyle name="Обычный 39 4" xfId="2359"/>
    <cellStyle name="Обычный 39 4 2" xfId="3008"/>
    <cellStyle name="Обычный 39 4 2 2" xfId="5134"/>
    <cellStyle name="Обычный 39 4 3" xfId="3743"/>
    <cellStyle name="Обычный 39 4 4" xfId="4486"/>
    <cellStyle name="Обычный 39 5" xfId="3004"/>
    <cellStyle name="Обычный 39 5 2" xfId="5130"/>
    <cellStyle name="Обычный 39 6" xfId="3739"/>
    <cellStyle name="Обычный 39 7" xfId="4115"/>
    <cellStyle name="Обычный 4" xfId="6"/>
    <cellStyle name="Обычный 4 10" xfId="2295"/>
    <cellStyle name="Обычный 4 10 2" xfId="3009"/>
    <cellStyle name="Обычный 4 10 2 2" xfId="5135"/>
    <cellStyle name="Обычный 4 10 3" xfId="3745"/>
    <cellStyle name="Обычный 4 10 4" xfId="4422"/>
    <cellStyle name="Обычный 4 11" xfId="3278"/>
    <cellStyle name="Обычный 4 11 2" xfId="5404"/>
    <cellStyle name="Обычный 4 12" xfId="3744"/>
    <cellStyle name="Обычный 4 13" xfId="4014"/>
    <cellStyle name="Обычный 4 2" xfId="170"/>
    <cellStyle name="Обычный 4 2 2" xfId="224"/>
    <cellStyle name="Обычный 4 2 2 10" xfId="4045"/>
    <cellStyle name="Обычный 4 2 2 2" xfId="1366"/>
    <cellStyle name="Обычный 4 2 2 2 2" xfId="2020"/>
    <cellStyle name="Обычный 4 2 2 2 2 2" xfId="2514"/>
    <cellStyle name="Обычный 4 2 2 2 2 2 2" xfId="3013"/>
    <cellStyle name="Обычный 4 2 2 2 2 2 2 2" xfId="5139"/>
    <cellStyle name="Обычный 4 2 2 2 2 2 3" xfId="3749"/>
    <cellStyle name="Обычный 4 2 2 2 2 2 4" xfId="4641"/>
    <cellStyle name="Обычный 4 2 2 2 2 3" xfId="3012"/>
    <cellStyle name="Обычный 4 2 2 2 2 3 2" xfId="5138"/>
    <cellStyle name="Обычный 4 2 2 2 2 4" xfId="3748"/>
    <cellStyle name="Обычный 4 2 2 2 2 5" xfId="4227"/>
    <cellStyle name="Обычный 4 2 2 2 3" xfId="2251"/>
    <cellStyle name="Обычный 4 2 2 2 3 2" xfId="3014"/>
    <cellStyle name="Обычный 4 2 2 2 3 2 2" xfId="5140"/>
    <cellStyle name="Обычный 4 2 2 2 3 3" xfId="3750"/>
    <cellStyle name="Обычный 4 2 2 2 3 4" xfId="4378"/>
    <cellStyle name="Обычный 4 2 2 2 4" xfId="2361"/>
    <cellStyle name="Обычный 4 2 2 2 4 2" xfId="3015"/>
    <cellStyle name="Обычный 4 2 2 2 4 2 2" xfId="5141"/>
    <cellStyle name="Обычный 4 2 2 2 4 3" xfId="3751"/>
    <cellStyle name="Обычный 4 2 2 2 4 4" xfId="4488"/>
    <cellStyle name="Обычный 4 2 2 2 5" xfId="3011"/>
    <cellStyle name="Обычный 4 2 2 2 5 2" xfId="5137"/>
    <cellStyle name="Обычный 4 2 2 2 6" xfId="3747"/>
    <cellStyle name="Обычный 4 2 2 2 7" xfId="4117"/>
    <cellStyle name="Обычный 4 2 2 3" xfId="1365"/>
    <cellStyle name="Обычный 4 2 2 3 2" xfId="2071"/>
    <cellStyle name="Обычный 4 2 2 3 2 2" xfId="2564"/>
    <cellStyle name="Обычный 4 2 2 3 2 2 2" xfId="3018"/>
    <cellStyle name="Обычный 4 2 2 3 2 2 2 2" xfId="5144"/>
    <cellStyle name="Обычный 4 2 2 3 2 2 3" xfId="3754"/>
    <cellStyle name="Обычный 4 2 2 3 2 2 4" xfId="4691"/>
    <cellStyle name="Обычный 4 2 2 3 2 3" xfId="3017"/>
    <cellStyle name="Обычный 4 2 2 3 2 3 2" xfId="5143"/>
    <cellStyle name="Обычный 4 2 2 3 2 4" xfId="3753"/>
    <cellStyle name="Обычный 4 2 2 3 2 5" xfId="4277"/>
    <cellStyle name="Обычный 4 2 2 3 3" xfId="2411"/>
    <cellStyle name="Обычный 4 2 2 3 3 2" xfId="3019"/>
    <cellStyle name="Обычный 4 2 2 3 3 2 2" xfId="5145"/>
    <cellStyle name="Обычный 4 2 2 3 3 3" xfId="3755"/>
    <cellStyle name="Обычный 4 2 2 3 3 4" xfId="4538"/>
    <cellStyle name="Обычный 4 2 2 3 4" xfId="3016"/>
    <cellStyle name="Обычный 4 2 2 3 4 2" xfId="5142"/>
    <cellStyle name="Обычный 4 2 2 3 5" xfId="3752"/>
    <cellStyle name="Обычный 4 2 2 3 6" xfId="4116"/>
    <cellStyle name="Обычный 4 2 2 4" xfId="2019"/>
    <cellStyle name="Обычный 4 2 2 4 2" xfId="2513"/>
    <cellStyle name="Обычный 4 2 2 4 2 2" xfId="3021"/>
    <cellStyle name="Обычный 4 2 2 4 2 2 2" xfId="5147"/>
    <cellStyle name="Обычный 4 2 2 4 2 3" xfId="3757"/>
    <cellStyle name="Обычный 4 2 2 4 2 4" xfId="4640"/>
    <cellStyle name="Обычный 4 2 2 4 3" xfId="3020"/>
    <cellStyle name="Обычный 4 2 2 4 3 2" xfId="5146"/>
    <cellStyle name="Обычный 4 2 2 4 4" xfId="3756"/>
    <cellStyle name="Обычный 4 2 2 4 5" xfId="4226"/>
    <cellStyle name="Обычный 4 2 2 5" xfId="2250"/>
    <cellStyle name="Обычный 4 2 2 5 2" xfId="3022"/>
    <cellStyle name="Обычный 4 2 2 5 2 2" xfId="5148"/>
    <cellStyle name="Обычный 4 2 2 5 3" xfId="3758"/>
    <cellStyle name="Обычный 4 2 2 5 4" xfId="4377"/>
    <cellStyle name="Обычный 4 2 2 6" xfId="2360"/>
    <cellStyle name="Обычный 4 2 2 6 2" xfId="3023"/>
    <cellStyle name="Обычный 4 2 2 6 2 2" xfId="5149"/>
    <cellStyle name="Обычный 4 2 2 6 3" xfId="3759"/>
    <cellStyle name="Обычный 4 2 2 6 4" xfId="4487"/>
    <cellStyle name="Обычный 4 2 2 7" xfId="3010"/>
    <cellStyle name="Обычный 4 2 2 7 2" xfId="5136"/>
    <cellStyle name="Обычный 4 2 2 8" xfId="3309"/>
    <cellStyle name="Обычный 4 2 2 8 2" xfId="5435"/>
    <cellStyle name="Обычный 4 2 2 9" xfId="3746"/>
    <cellStyle name="Обычный 4 2 3" xfId="225"/>
    <cellStyle name="Обычный 4 2 3 2" xfId="1368"/>
    <cellStyle name="Обычный 4 2 3 2 2" xfId="2022"/>
    <cellStyle name="Обычный 4 2 3 2 2 2" xfId="2516"/>
    <cellStyle name="Обычный 4 2 3 2 2 2 2" xfId="3026"/>
    <cellStyle name="Обычный 4 2 3 2 2 2 2 2" xfId="5152"/>
    <cellStyle name="Обычный 4 2 3 2 2 2 3" xfId="3762"/>
    <cellStyle name="Обычный 4 2 3 2 2 2 4" xfId="4643"/>
    <cellStyle name="Обычный 4 2 3 2 2 3" xfId="3025"/>
    <cellStyle name="Обычный 4 2 3 2 2 3 2" xfId="5151"/>
    <cellStyle name="Обычный 4 2 3 2 2 4" xfId="3761"/>
    <cellStyle name="Обычный 4 2 3 2 2 5" xfId="4229"/>
    <cellStyle name="Обычный 4 2 3 2 3" xfId="2253"/>
    <cellStyle name="Обычный 4 2 3 2 3 2" xfId="3027"/>
    <cellStyle name="Обычный 4 2 3 2 3 2 2" xfId="5153"/>
    <cellStyle name="Обычный 4 2 3 2 3 3" xfId="3763"/>
    <cellStyle name="Обычный 4 2 3 2 3 4" xfId="4380"/>
    <cellStyle name="Обычный 4 2 3 2 4" xfId="2363"/>
    <cellStyle name="Обычный 4 2 3 2 4 2" xfId="3028"/>
    <cellStyle name="Обычный 4 2 3 2 4 2 2" xfId="5154"/>
    <cellStyle name="Обычный 4 2 3 2 4 3" xfId="3764"/>
    <cellStyle name="Обычный 4 2 3 2 4 4" xfId="4490"/>
    <cellStyle name="Обычный 4 2 3 2 5" xfId="3024"/>
    <cellStyle name="Обычный 4 2 3 2 5 2" xfId="5150"/>
    <cellStyle name="Обычный 4 2 3 2 6" xfId="3760"/>
    <cellStyle name="Обычный 4 2 3 2 7" xfId="4119"/>
    <cellStyle name="Обычный 4 2 3 3" xfId="1367"/>
    <cellStyle name="Обычный 4 2 3 3 2" xfId="2070"/>
    <cellStyle name="Обычный 4 2 3 3 2 2" xfId="2563"/>
    <cellStyle name="Обычный 4 2 3 3 2 2 2" xfId="3031"/>
    <cellStyle name="Обычный 4 2 3 3 2 2 2 2" xfId="5157"/>
    <cellStyle name="Обычный 4 2 3 3 2 2 3" xfId="3767"/>
    <cellStyle name="Обычный 4 2 3 3 2 2 4" xfId="4690"/>
    <cellStyle name="Обычный 4 2 3 3 2 3" xfId="3030"/>
    <cellStyle name="Обычный 4 2 3 3 2 3 2" xfId="5156"/>
    <cellStyle name="Обычный 4 2 3 3 2 4" xfId="3766"/>
    <cellStyle name="Обычный 4 2 3 3 2 5" xfId="4276"/>
    <cellStyle name="Обычный 4 2 3 3 3" xfId="2410"/>
    <cellStyle name="Обычный 4 2 3 3 3 2" xfId="3032"/>
    <cellStyle name="Обычный 4 2 3 3 3 2 2" xfId="5158"/>
    <cellStyle name="Обычный 4 2 3 3 3 3" xfId="3768"/>
    <cellStyle name="Обычный 4 2 3 3 3 4" xfId="4537"/>
    <cellStyle name="Обычный 4 2 3 3 4" xfId="3029"/>
    <cellStyle name="Обычный 4 2 3 3 4 2" xfId="5155"/>
    <cellStyle name="Обычный 4 2 3 3 5" xfId="3765"/>
    <cellStyle name="Обычный 4 2 3 3 6" xfId="4118"/>
    <cellStyle name="Обычный 4 2 3 4" xfId="2089"/>
    <cellStyle name="Обычный 4 2 3 5" xfId="2021"/>
    <cellStyle name="Обычный 4 2 3 5 2" xfId="2515"/>
    <cellStyle name="Обычный 4 2 3 5 2 2" xfId="3034"/>
    <cellStyle name="Обычный 4 2 3 5 2 2 2" xfId="5160"/>
    <cellStyle name="Обычный 4 2 3 5 2 3" xfId="3770"/>
    <cellStyle name="Обычный 4 2 3 5 2 4" xfId="4642"/>
    <cellStyle name="Обычный 4 2 3 5 3" xfId="3033"/>
    <cellStyle name="Обычный 4 2 3 5 3 2" xfId="5159"/>
    <cellStyle name="Обычный 4 2 3 5 4" xfId="3769"/>
    <cellStyle name="Обычный 4 2 3 5 5" xfId="4228"/>
    <cellStyle name="Обычный 4 2 3 6" xfId="2252"/>
    <cellStyle name="Обычный 4 2 3 6 2" xfId="3035"/>
    <cellStyle name="Обычный 4 2 3 6 2 2" xfId="5161"/>
    <cellStyle name="Обычный 4 2 3 6 3" xfId="3771"/>
    <cellStyle name="Обычный 4 2 3 6 4" xfId="4379"/>
    <cellStyle name="Обычный 4 2 3 7" xfId="2362"/>
    <cellStyle name="Обычный 4 2 3 7 2" xfId="3036"/>
    <cellStyle name="Обычный 4 2 3 7 2 2" xfId="5162"/>
    <cellStyle name="Обычный 4 2 3 7 3" xfId="3772"/>
    <cellStyle name="Обычный 4 2 3 7 4" xfId="4489"/>
    <cellStyle name="Обычный 4 2 4" xfId="1369"/>
    <cellStyle name="Обычный 4 2 4 2" xfId="1791"/>
    <cellStyle name="Обычный 4 2 5" xfId="1370"/>
    <cellStyle name="Обычный 4 3" xfId="171"/>
    <cellStyle name="Обычный 4 3 10" xfId="3773"/>
    <cellStyle name="Обычный 4 3 11" xfId="4036"/>
    <cellStyle name="Обычный 4 3 2" xfId="172"/>
    <cellStyle name="Обычный 4 3 2 10" xfId="4037"/>
    <cellStyle name="Обычный 4 3 2 2" xfId="1373"/>
    <cellStyle name="Обычный 4 3 2 2 2" xfId="2025"/>
    <cellStyle name="Обычный 4 3 2 2 2 2" xfId="2519"/>
    <cellStyle name="Обычный 4 3 2 2 2 2 2" xfId="3041"/>
    <cellStyle name="Обычный 4 3 2 2 2 2 2 2" xfId="5167"/>
    <cellStyle name="Обычный 4 3 2 2 2 2 3" xfId="3777"/>
    <cellStyle name="Обычный 4 3 2 2 2 2 4" xfId="4646"/>
    <cellStyle name="Обычный 4 3 2 2 2 3" xfId="3040"/>
    <cellStyle name="Обычный 4 3 2 2 2 3 2" xfId="5166"/>
    <cellStyle name="Обычный 4 3 2 2 2 4" xfId="3776"/>
    <cellStyle name="Обычный 4 3 2 2 2 5" xfId="4232"/>
    <cellStyle name="Обычный 4 3 2 2 3" xfId="2256"/>
    <cellStyle name="Обычный 4 3 2 2 3 2" xfId="3042"/>
    <cellStyle name="Обычный 4 3 2 2 3 2 2" xfId="5168"/>
    <cellStyle name="Обычный 4 3 2 2 3 3" xfId="3778"/>
    <cellStyle name="Обычный 4 3 2 2 3 4" xfId="4383"/>
    <cellStyle name="Обычный 4 3 2 2 4" xfId="2366"/>
    <cellStyle name="Обычный 4 3 2 2 4 2" xfId="3043"/>
    <cellStyle name="Обычный 4 3 2 2 4 2 2" xfId="5169"/>
    <cellStyle name="Обычный 4 3 2 2 4 3" xfId="3779"/>
    <cellStyle name="Обычный 4 3 2 2 4 4" xfId="4493"/>
    <cellStyle name="Обычный 4 3 2 2 5" xfId="3039"/>
    <cellStyle name="Обычный 4 3 2 2 5 2" xfId="5165"/>
    <cellStyle name="Обычный 4 3 2 2 6" xfId="3775"/>
    <cellStyle name="Обычный 4 3 2 2 7" xfId="4122"/>
    <cellStyle name="Обычный 4 3 2 3" xfId="1372"/>
    <cellStyle name="Обычный 4 3 2 3 2" xfId="2068"/>
    <cellStyle name="Обычный 4 3 2 3 2 2" xfId="2561"/>
    <cellStyle name="Обычный 4 3 2 3 2 2 2" xfId="3046"/>
    <cellStyle name="Обычный 4 3 2 3 2 2 2 2" xfId="5172"/>
    <cellStyle name="Обычный 4 3 2 3 2 2 3" xfId="3782"/>
    <cellStyle name="Обычный 4 3 2 3 2 2 4" xfId="4688"/>
    <cellStyle name="Обычный 4 3 2 3 2 3" xfId="3045"/>
    <cellStyle name="Обычный 4 3 2 3 2 3 2" xfId="5171"/>
    <cellStyle name="Обычный 4 3 2 3 2 4" xfId="3781"/>
    <cellStyle name="Обычный 4 3 2 3 2 5" xfId="4274"/>
    <cellStyle name="Обычный 4 3 2 3 3" xfId="2408"/>
    <cellStyle name="Обычный 4 3 2 3 3 2" xfId="3047"/>
    <cellStyle name="Обычный 4 3 2 3 3 2 2" xfId="5173"/>
    <cellStyle name="Обычный 4 3 2 3 3 3" xfId="3783"/>
    <cellStyle name="Обычный 4 3 2 3 3 4" xfId="4535"/>
    <cellStyle name="Обычный 4 3 2 3 4" xfId="3044"/>
    <cellStyle name="Обычный 4 3 2 3 4 2" xfId="5170"/>
    <cellStyle name="Обычный 4 3 2 3 5" xfId="3780"/>
    <cellStyle name="Обычный 4 3 2 3 6" xfId="4121"/>
    <cellStyle name="Обычный 4 3 2 4" xfId="2024"/>
    <cellStyle name="Обычный 4 3 2 4 2" xfId="2518"/>
    <cellStyle name="Обычный 4 3 2 4 2 2" xfId="3049"/>
    <cellStyle name="Обычный 4 3 2 4 2 2 2" xfId="5175"/>
    <cellStyle name="Обычный 4 3 2 4 2 3" xfId="3785"/>
    <cellStyle name="Обычный 4 3 2 4 2 4" xfId="4645"/>
    <cellStyle name="Обычный 4 3 2 4 3" xfId="3048"/>
    <cellStyle name="Обычный 4 3 2 4 3 2" xfId="5174"/>
    <cellStyle name="Обычный 4 3 2 4 4" xfId="3784"/>
    <cellStyle name="Обычный 4 3 2 4 5" xfId="4231"/>
    <cellStyle name="Обычный 4 3 2 5" xfId="2255"/>
    <cellStyle name="Обычный 4 3 2 5 2" xfId="3050"/>
    <cellStyle name="Обычный 4 3 2 5 2 2" xfId="5176"/>
    <cellStyle name="Обычный 4 3 2 5 3" xfId="3786"/>
    <cellStyle name="Обычный 4 3 2 5 4" xfId="4382"/>
    <cellStyle name="Обычный 4 3 2 6" xfId="2365"/>
    <cellStyle name="Обычный 4 3 2 6 2" xfId="3051"/>
    <cellStyle name="Обычный 4 3 2 6 2 2" xfId="5177"/>
    <cellStyle name="Обычный 4 3 2 6 3" xfId="3787"/>
    <cellStyle name="Обычный 4 3 2 6 4" xfId="4492"/>
    <cellStyle name="Обычный 4 3 2 7" xfId="3038"/>
    <cellStyle name="Обычный 4 3 2 7 2" xfId="5164"/>
    <cellStyle name="Обычный 4 3 2 8" xfId="3301"/>
    <cellStyle name="Обычный 4 3 2 8 2" xfId="5427"/>
    <cellStyle name="Обычный 4 3 2 9" xfId="3774"/>
    <cellStyle name="Обычный 4 3 3" xfId="1374"/>
    <cellStyle name="Обычный 4 3 3 2" xfId="2026"/>
    <cellStyle name="Обычный 4 3 3 2 2" xfId="2520"/>
    <cellStyle name="Обычный 4 3 3 2 2 2" xfId="3054"/>
    <cellStyle name="Обычный 4 3 3 2 2 2 2" xfId="5180"/>
    <cellStyle name="Обычный 4 3 3 2 2 3" xfId="3790"/>
    <cellStyle name="Обычный 4 3 3 2 2 4" xfId="4647"/>
    <cellStyle name="Обычный 4 3 3 2 3" xfId="3053"/>
    <cellStyle name="Обычный 4 3 3 2 3 2" xfId="5179"/>
    <cellStyle name="Обычный 4 3 3 2 4" xfId="3789"/>
    <cellStyle name="Обычный 4 3 3 2 5" xfId="4233"/>
    <cellStyle name="Обычный 4 3 3 3" xfId="2257"/>
    <cellStyle name="Обычный 4 3 3 3 2" xfId="3055"/>
    <cellStyle name="Обычный 4 3 3 3 2 2" xfId="5181"/>
    <cellStyle name="Обычный 4 3 3 3 3" xfId="3791"/>
    <cellStyle name="Обычный 4 3 3 3 4" xfId="4384"/>
    <cellStyle name="Обычный 4 3 3 4" xfId="2367"/>
    <cellStyle name="Обычный 4 3 3 4 2" xfId="3056"/>
    <cellStyle name="Обычный 4 3 3 4 2 2" xfId="5182"/>
    <cellStyle name="Обычный 4 3 3 4 3" xfId="3792"/>
    <cellStyle name="Обычный 4 3 3 4 4" xfId="4494"/>
    <cellStyle name="Обычный 4 3 3 5" xfId="3052"/>
    <cellStyle name="Обычный 4 3 3 5 2" xfId="5178"/>
    <cellStyle name="Обычный 4 3 3 6" xfId="3788"/>
    <cellStyle name="Обычный 4 3 3 7" xfId="4123"/>
    <cellStyle name="Обычный 4 3 4" xfId="1371"/>
    <cellStyle name="Обычный 4 3 4 2" xfId="2069"/>
    <cellStyle name="Обычный 4 3 4 2 2" xfId="2562"/>
    <cellStyle name="Обычный 4 3 4 2 2 2" xfId="3059"/>
    <cellStyle name="Обычный 4 3 4 2 2 2 2" xfId="5185"/>
    <cellStyle name="Обычный 4 3 4 2 2 3" xfId="3795"/>
    <cellStyle name="Обычный 4 3 4 2 2 4" xfId="4689"/>
    <cellStyle name="Обычный 4 3 4 2 3" xfId="3058"/>
    <cellStyle name="Обычный 4 3 4 2 3 2" xfId="5184"/>
    <cellStyle name="Обычный 4 3 4 2 4" xfId="3794"/>
    <cellStyle name="Обычный 4 3 4 2 5" xfId="4275"/>
    <cellStyle name="Обычный 4 3 4 3" xfId="2409"/>
    <cellStyle name="Обычный 4 3 4 3 2" xfId="3060"/>
    <cellStyle name="Обычный 4 3 4 3 2 2" xfId="5186"/>
    <cellStyle name="Обычный 4 3 4 3 3" xfId="3796"/>
    <cellStyle name="Обычный 4 3 4 3 4" xfId="4536"/>
    <cellStyle name="Обычный 4 3 4 4" xfId="3057"/>
    <cellStyle name="Обычный 4 3 4 4 2" xfId="5183"/>
    <cellStyle name="Обычный 4 3 4 5" xfId="3793"/>
    <cellStyle name="Обычный 4 3 4 6" xfId="4120"/>
    <cellStyle name="Обычный 4 3 5" xfId="2023"/>
    <cellStyle name="Обычный 4 3 5 2" xfId="2517"/>
    <cellStyle name="Обычный 4 3 5 2 2" xfId="3062"/>
    <cellStyle name="Обычный 4 3 5 2 2 2" xfId="5188"/>
    <cellStyle name="Обычный 4 3 5 2 3" xfId="3798"/>
    <cellStyle name="Обычный 4 3 5 2 4" xfId="4644"/>
    <cellStyle name="Обычный 4 3 5 3" xfId="3061"/>
    <cellStyle name="Обычный 4 3 5 3 2" xfId="5187"/>
    <cellStyle name="Обычный 4 3 5 4" xfId="3797"/>
    <cellStyle name="Обычный 4 3 5 5" xfId="4230"/>
    <cellStyle name="Обычный 4 3 6" xfId="2254"/>
    <cellStyle name="Обычный 4 3 6 2" xfId="3063"/>
    <cellStyle name="Обычный 4 3 6 2 2" xfId="5189"/>
    <cellStyle name="Обычный 4 3 6 3" xfId="3799"/>
    <cellStyle name="Обычный 4 3 6 4" xfId="4381"/>
    <cellStyle name="Обычный 4 3 7" xfId="2364"/>
    <cellStyle name="Обычный 4 3 7 2" xfId="3064"/>
    <cellStyle name="Обычный 4 3 7 2 2" xfId="5190"/>
    <cellStyle name="Обычный 4 3 7 3" xfId="3800"/>
    <cellStyle name="Обычный 4 3 7 4" xfId="4491"/>
    <cellStyle name="Обычный 4 3 8" xfId="3037"/>
    <cellStyle name="Обычный 4 3 8 2" xfId="5163"/>
    <cellStyle name="Обычный 4 3 9" xfId="3300"/>
    <cellStyle name="Обычный 4 3 9 2" xfId="5426"/>
    <cellStyle name="Обычный 4 4" xfId="173"/>
    <cellStyle name="Обычный 4 4 2" xfId="1375"/>
    <cellStyle name="Обычный 4 4 3" xfId="2114"/>
    <cellStyle name="Обычный 4 4 3 2" xfId="2429"/>
    <cellStyle name="Обычный 4 4 3 2 2" xfId="3067"/>
    <cellStyle name="Обычный 4 4 3 2 2 2" xfId="5193"/>
    <cellStyle name="Обычный 4 4 3 2 3" xfId="3803"/>
    <cellStyle name="Обычный 4 4 3 2 4" xfId="4556"/>
    <cellStyle name="Обычный 4 4 3 3" xfId="3066"/>
    <cellStyle name="Обычный 4 4 3 3 2" xfId="5192"/>
    <cellStyle name="Обычный 4 4 3 4" xfId="3802"/>
    <cellStyle name="Обычный 4 4 3 5" xfId="4295"/>
    <cellStyle name="Обычный 4 4 4" xfId="3065"/>
    <cellStyle name="Обычный 4 4 4 2" xfId="5191"/>
    <cellStyle name="Обычный 4 4 5" xfId="3302"/>
    <cellStyle name="Обычный 4 4 5 2" xfId="5428"/>
    <cellStyle name="Обычный 4 4 6" xfId="3801"/>
    <cellStyle name="Обычный 4 4 7" xfId="4038"/>
    <cellStyle name="Обычный 4 5" xfId="174"/>
    <cellStyle name="Обычный 4 5 2" xfId="1790"/>
    <cellStyle name="Обычный 4 5 3" xfId="2113"/>
    <cellStyle name="Обычный 4 5 3 2" xfId="2428"/>
    <cellStyle name="Обычный 4 5 3 2 2" xfId="3070"/>
    <cellStyle name="Обычный 4 5 3 2 2 2" xfId="5196"/>
    <cellStyle name="Обычный 4 5 3 2 3" xfId="3806"/>
    <cellStyle name="Обычный 4 5 3 2 4" xfId="4555"/>
    <cellStyle name="Обычный 4 5 3 3" xfId="3069"/>
    <cellStyle name="Обычный 4 5 3 3 2" xfId="5195"/>
    <cellStyle name="Обычный 4 5 3 4" xfId="3805"/>
    <cellStyle name="Обычный 4 5 3 5" xfId="4294"/>
    <cellStyle name="Обычный 4 5 4" xfId="3068"/>
    <cellStyle name="Обычный 4 5 4 2" xfId="5194"/>
    <cellStyle name="Обычный 4 5 5" xfId="3303"/>
    <cellStyle name="Обычный 4 5 5 2" xfId="5429"/>
    <cellStyle name="Обычный 4 5 6" xfId="3804"/>
    <cellStyle name="Обычный 4 5 7" xfId="4039"/>
    <cellStyle name="Обычный 4 6" xfId="267"/>
    <cellStyle name="Обычный 4 6 2" xfId="1823"/>
    <cellStyle name="Обычный 4 6 3" xfId="2081"/>
    <cellStyle name="Обычный 4 6 3 2" xfId="2421"/>
    <cellStyle name="Обычный 4 6 3 2 2" xfId="3072"/>
    <cellStyle name="Обычный 4 6 3 2 2 2" xfId="5198"/>
    <cellStyle name="Обычный 4 6 3 2 3" xfId="3809"/>
    <cellStyle name="Обычный 4 6 3 2 4" xfId="4548"/>
    <cellStyle name="Обычный 4 6 3 3" xfId="3071"/>
    <cellStyle name="Обычный 4 6 3 3 2" xfId="5197"/>
    <cellStyle name="Обычный 4 6 3 4" xfId="3808"/>
    <cellStyle name="Обычный 4 6 3 5" xfId="4287"/>
    <cellStyle name="Обычный 4 6 4" xfId="2585"/>
    <cellStyle name="Обычный 4 6 4 2" xfId="4711"/>
    <cellStyle name="Обычный 4 6 5" xfId="3807"/>
    <cellStyle name="Обычный 4 6 6" xfId="4050"/>
    <cellStyle name="Обычный 4 7" xfId="1364"/>
    <cellStyle name="Обычный 4 8" xfId="2018"/>
    <cellStyle name="Обычный 4 9" xfId="1952"/>
    <cellStyle name="Обычный 4 9 2" xfId="2448"/>
    <cellStyle name="Обычный 4 9 2 2" xfId="3074"/>
    <cellStyle name="Обычный 4 9 2 2 2" xfId="5200"/>
    <cellStyle name="Обычный 4 9 2 3" xfId="3811"/>
    <cellStyle name="Обычный 4 9 2 4" xfId="4575"/>
    <cellStyle name="Обычный 4 9 3" xfId="3073"/>
    <cellStyle name="Обычный 4 9 3 2" xfId="5199"/>
    <cellStyle name="Обычный 4 9 4" xfId="3810"/>
    <cellStyle name="Обычный 4 9 5" xfId="4161"/>
    <cellStyle name="Обычный 40" xfId="1376"/>
    <cellStyle name="Обычный 41" xfId="1377"/>
    <cellStyle name="Обычный 42" xfId="1607"/>
    <cellStyle name="Обычный 42 2" xfId="2057"/>
    <cellStyle name="Обычный 42 2 2" xfId="2551"/>
    <cellStyle name="Обычный 42 2 2 2" xfId="3077"/>
    <cellStyle name="Обычный 42 2 2 2 2" xfId="5203"/>
    <cellStyle name="Обычный 42 2 2 3" xfId="3814"/>
    <cellStyle name="Обычный 42 2 2 4" xfId="4678"/>
    <cellStyle name="Обычный 42 2 3" xfId="3076"/>
    <cellStyle name="Обычный 42 2 3 2" xfId="5202"/>
    <cellStyle name="Обычный 42 2 4" xfId="3813"/>
    <cellStyle name="Обычный 42 2 5" xfId="4264"/>
    <cellStyle name="Обычный 42 3" xfId="2288"/>
    <cellStyle name="Обычный 42 3 2" xfId="3078"/>
    <cellStyle name="Обычный 42 3 2 2" xfId="5204"/>
    <cellStyle name="Обычный 42 3 3" xfId="3815"/>
    <cellStyle name="Обычный 42 3 4" xfId="4415"/>
    <cellStyle name="Обычный 42 4" xfId="2398"/>
    <cellStyle name="Обычный 42 4 2" xfId="3079"/>
    <cellStyle name="Обычный 42 4 2 2" xfId="5205"/>
    <cellStyle name="Обычный 42 4 3" xfId="3816"/>
    <cellStyle name="Обычный 42 4 4" xfId="4525"/>
    <cellStyle name="Обычный 42 5" xfId="3075"/>
    <cellStyle name="Обычный 42 5 2" xfId="5201"/>
    <cellStyle name="Обычный 42 6" xfId="3812"/>
    <cellStyle name="Обычный 42 7" xfId="4154"/>
    <cellStyle name="Обычный 43" xfId="1824"/>
    <cellStyle name="Обычный 43 2" xfId="1844"/>
    <cellStyle name="Обычный 44" xfId="1825"/>
    <cellStyle name="Обычный 44 2" xfId="1845"/>
    <cellStyle name="Обычный 45" xfId="1826"/>
    <cellStyle name="Обычный 45 2" xfId="1846"/>
    <cellStyle name="Обычный 46" xfId="1827"/>
    <cellStyle name="Обычный 46 2" xfId="1847"/>
    <cellStyle name="Обычный 47" xfId="1828"/>
    <cellStyle name="Обычный 47 2" xfId="1848"/>
    <cellStyle name="Обычный 48" xfId="1829"/>
    <cellStyle name="Обычный 48 2" xfId="1849"/>
    <cellStyle name="Обычный 49" xfId="1830"/>
    <cellStyle name="Обычный 49 2" xfId="1850"/>
    <cellStyle name="Обычный 5" xfId="175"/>
    <cellStyle name="Обычный 5 10" xfId="2112"/>
    <cellStyle name="Обычный 5 2" xfId="176"/>
    <cellStyle name="Обычный 5 2 2" xfId="1380"/>
    <cellStyle name="Обычный 5 2 2 2" xfId="1793"/>
    <cellStyle name="Обычный 5 2 3" xfId="1381"/>
    <cellStyle name="Обычный 5 2 3 2" xfId="1382"/>
    <cellStyle name="Обычный 5 2 3 2 2" xfId="2028"/>
    <cellStyle name="Обычный 5 2 3 2 2 2" xfId="2522"/>
    <cellStyle name="Обычный 5 2 3 2 2 2 2" xfId="3084"/>
    <cellStyle name="Обычный 5 2 3 2 2 2 2 2" xfId="5210"/>
    <cellStyle name="Обычный 5 2 3 2 2 2 3" xfId="3821"/>
    <cellStyle name="Обычный 5 2 3 2 2 2 4" xfId="4649"/>
    <cellStyle name="Обычный 5 2 3 2 2 3" xfId="3083"/>
    <cellStyle name="Обычный 5 2 3 2 2 3 2" xfId="5209"/>
    <cellStyle name="Обычный 5 2 3 2 2 4" xfId="3820"/>
    <cellStyle name="Обычный 5 2 3 2 2 5" xfId="4235"/>
    <cellStyle name="Обычный 5 2 3 2 3" xfId="2259"/>
    <cellStyle name="Обычный 5 2 3 2 3 2" xfId="3085"/>
    <cellStyle name="Обычный 5 2 3 2 3 2 2" xfId="5211"/>
    <cellStyle name="Обычный 5 2 3 2 3 3" xfId="3822"/>
    <cellStyle name="Обычный 5 2 3 2 3 4" xfId="4386"/>
    <cellStyle name="Обычный 5 2 3 2 4" xfId="2369"/>
    <cellStyle name="Обычный 5 2 3 2 4 2" xfId="3086"/>
    <cellStyle name="Обычный 5 2 3 2 4 2 2" xfId="5212"/>
    <cellStyle name="Обычный 5 2 3 2 4 3" xfId="3823"/>
    <cellStyle name="Обычный 5 2 3 2 4 4" xfId="4496"/>
    <cellStyle name="Обычный 5 2 3 2 5" xfId="3082"/>
    <cellStyle name="Обычный 5 2 3 2 5 2" xfId="5208"/>
    <cellStyle name="Обычный 5 2 3 2 6" xfId="3819"/>
    <cellStyle name="Обычный 5 2 3 2 7" xfId="4125"/>
    <cellStyle name="Обычный 5 2 3 3" xfId="2027"/>
    <cellStyle name="Обычный 5 2 3 3 2" xfId="2521"/>
    <cellStyle name="Обычный 5 2 3 3 2 2" xfId="3088"/>
    <cellStyle name="Обычный 5 2 3 3 2 2 2" xfId="5214"/>
    <cellStyle name="Обычный 5 2 3 3 2 3" xfId="3825"/>
    <cellStyle name="Обычный 5 2 3 3 2 4" xfId="4648"/>
    <cellStyle name="Обычный 5 2 3 3 3" xfId="3087"/>
    <cellStyle name="Обычный 5 2 3 3 3 2" xfId="5213"/>
    <cellStyle name="Обычный 5 2 3 3 4" xfId="3824"/>
    <cellStyle name="Обычный 5 2 3 3 5" xfId="4234"/>
    <cellStyle name="Обычный 5 2 3 4" xfId="2258"/>
    <cellStyle name="Обычный 5 2 3 4 2" xfId="3089"/>
    <cellStyle name="Обычный 5 2 3 4 2 2" xfId="5215"/>
    <cellStyle name="Обычный 5 2 3 4 3" xfId="3826"/>
    <cellStyle name="Обычный 5 2 3 4 4" xfId="4385"/>
    <cellStyle name="Обычный 5 2 3 5" xfId="2368"/>
    <cellStyle name="Обычный 5 2 3 5 2" xfId="3090"/>
    <cellStyle name="Обычный 5 2 3 5 2 2" xfId="5216"/>
    <cellStyle name="Обычный 5 2 3 5 3" xfId="3827"/>
    <cellStyle name="Обычный 5 2 3 5 4" xfId="4495"/>
    <cellStyle name="Обычный 5 2 3 6" xfId="3081"/>
    <cellStyle name="Обычный 5 2 3 6 2" xfId="5207"/>
    <cellStyle name="Обычный 5 2 3 7" xfId="3818"/>
    <cellStyle name="Обычный 5 2 3 8" xfId="4124"/>
    <cellStyle name="Обычный 5 2 4" xfId="1383"/>
    <cellStyle name="Обычный 5 2 4 2" xfId="1384"/>
    <cellStyle name="Обычный 5 2 4 2 2" xfId="2030"/>
    <cellStyle name="Обычный 5 2 4 2 2 2" xfId="2524"/>
    <cellStyle name="Обычный 5 2 4 2 2 2 2" xfId="3094"/>
    <cellStyle name="Обычный 5 2 4 2 2 2 2 2" xfId="5220"/>
    <cellStyle name="Обычный 5 2 4 2 2 2 3" xfId="3831"/>
    <cellStyle name="Обычный 5 2 4 2 2 2 4" xfId="4651"/>
    <cellStyle name="Обычный 5 2 4 2 2 3" xfId="3093"/>
    <cellStyle name="Обычный 5 2 4 2 2 3 2" xfId="5219"/>
    <cellStyle name="Обычный 5 2 4 2 2 4" xfId="3830"/>
    <cellStyle name="Обычный 5 2 4 2 2 5" xfId="4237"/>
    <cellStyle name="Обычный 5 2 4 2 3" xfId="2261"/>
    <cellStyle name="Обычный 5 2 4 2 3 2" xfId="3095"/>
    <cellStyle name="Обычный 5 2 4 2 3 2 2" xfId="5221"/>
    <cellStyle name="Обычный 5 2 4 2 3 3" xfId="3832"/>
    <cellStyle name="Обычный 5 2 4 2 3 4" xfId="4388"/>
    <cellStyle name="Обычный 5 2 4 2 4" xfId="2371"/>
    <cellStyle name="Обычный 5 2 4 2 4 2" xfId="3096"/>
    <cellStyle name="Обычный 5 2 4 2 4 2 2" xfId="5222"/>
    <cellStyle name="Обычный 5 2 4 2 4 3" xfId="3833"/>
    <cellStyle name="Обычный 5 2 4 2 4 4" xfId="4498"/>
    <cellStyle name="Обычный 5 2 4 2 5" xfId="3092"/>
    <cellStyle name="Обычный 5 2 4 2 5 2" xfId="5218"/>
    <cellStyle name="Обычный 5 2 4 2 6" xfId="3829"/>
    <cellStyle name="Обычный 5 2 4 2 7" xfId="4127"/>
    <cellStyle name="Обычный 5 2 4 3" xfId="2029"/>
    <cellStyle name="Обычный 5 2 4 3 2" xfId="2523"/>
    <cellStyle name="Обычный 5 2 4 3 2 2" xfId="3098"/>
    <cellStyle name="Обычный 5 2 4 3 2 2 2" xfId="5224"/>
    <cellStyle name="Обычный 5 2 4 3 2 3" xfId="3835"/>
    <cellStyle name="Обычный 5 2 4 3 2 4" xfId="4650"/>
    <cellStyle name="Обычный 5 2 4 3 3" xfId="3097"/>
    <cellStyle name="Обычный 5 2 4 3 3 2" xfId="5223"/>
    <cellStyle name="Обычный 5 2 4 3 4" xfId="3834"/>
    <cellStyle name="Обычный 5 2 4 3 5" xfId="4236"/>
    <cellStyle name="Обычный 5 2 4 4" xfId="2260"/>
    <cellStyle name="Обычный 5 2 4 4 2" xfId="3099"/>
    <cellStyle name="Обычный 5 2 4 4 2 2" xfId="5225"/>
    <cellStyle name="Обычный 5 2 4 4 3" xfId="3836"/>
    <cellStyle name="Обычный 5 2 4 4 4" xfId="4387"/>
    <cellStyle name="Обычный 5 2 4 5" xfId="2370"/>
    <cellStyle name="Обычный 5 2 4 5 2" xfId="3100"/>
    <cellStyle name="Обычный 5 2 4 5 2 2" xfId="5226"/>
    <cellStyle name="Обычный 5 2 4 5 3" xfId="3837"/>
    <cellStyle name="Обычный 5 2 4 5 4" xfId="4497"/>
    <cellStyle name="Обычный 5 2 4 6" xfId="3091"/>
    <cellStyle name="Обычный 5 2 4 6 2" xfId="5217"/>
    <cellStyle name="Обычный 5 2 4 7" xfId="3828"/>
    <cellStyle name="Обычный 5 2 4 8" xfId="4126"/>
    <cellStyle name="Обычный 5 2 5" xfId="1379"/>
    <cellStyle name="Обычный 5 2 6" xfId="3080"/>
    <cellStyle name="Обычный 5 2 6 2" xfId="5206"/>
    <cellStyle name="Обычный 5 2 7" xfId="3304"/>
    <cellStyle name="Обычный 5 2 7 2" xfId="5430"/>
    <cellStyle name="Обычный 5 2 8" xfId="3817"/>
    <cellStyle name="Обычный 5 2 9" xfId="4040"/>
    <cellStyle name="Обычный 5 3" xfId="177"/>
    <cellStyle name="Обычный 5 3 10" xfId="3838"/>
    <cellStyle name="Обычный 5 3 11" xfId="4041"/>
    <cellStyle name="Обычный 5 3 2" xfId="1386"/>
    <cellStyle name="Обычный 5 3 2 2" xfId="1387"/>
    <cellStyle name="Обычный 5 3 2 2 2" xfId="2033"/>
    <cellStyle name="Обычный 5 3 2 2 2 2" xfId="2527"/>
    <cellStyle name="Обычный 5 3 2 2 2 2 2" xfId="3105"/>
    <cellStyle name="Обычный 5 3 2 2 2 2 2 2" xfId="5231"/>
    <cellStyle name="Обычный 5 3 2 2 2 2 3" xfId="3842"/>
    <cellStyle name="Обычный 5 3 2 2 2 2 4" xfId="4654"/>
    <cellStyle name="Обычный 5 3 2 2 2 3" xfId="3104"/>
    <cellStyle name="Обычный 5 3 2 2 2 3 2" xfId="5230"/>
    <cellStyle name="Обычный 5 3 2 2 2 4" xfId="3841"/>
    <cellStyle name="Обычный 5 3 2 2 2 5" xfId="4240"/>
    <cellStyle name="Обычный 5 3 2 2 3" xfId="2264"/>
    <cellStyle name="Обычный 5 3 2 2 3 2" xfId="3106"/>
    <cellStyle name="Обычный 5 3 2 2 3 2 2" xfId="5232"/>
    <cellStyle name="Обычный 5 3 2 2 3 3" xfId="3843"/>
    <cellStyle name="Обычный 5 3 2 2 3 4" xfId="4391"/>
    <cellStyle name="Обычный 5 3 2 2 4" xfId="2374"/>
    <cellStyle name="Обычный 5 3 2 2 4 2" xfId="3107"/>
    <cellStyle name="Обычный 5 3 2 2 4 2 2" xfId="5233"/>
    <cellStyle name="Обычный 5 3 2 2 4 3" xfId="3844"/>
    <cellStyle name="Обычный 5 3 2 2 4 4" xfId="4501"/>
    <cellStyle name="Обычный 5 3 2 2 5" xfId="3103"/>
    <cellStyle name="Обычный 5 3 2 2 5 2" xfId="5229"/>
    <cellStyle name="Обычный 5 3 2 2 6" xfId="3840"/>
    <cellStyle name="Обычный 5 3 2 2 7" xfId="4130"/>
    <cellStyle name="Обычный 5 3 2 3" xfId="2032"/>
    <cellStyle name="Обычный 5 3 2 3 2" xfId="2526"/>
    <cellStyle name="Обычный 5 3 2 3 2 2" xfId="3109"/>
    <cellStyle name="Обычный 5 3 2 3 2 2 2" xfId="5235"/>
    <cellStyle name="Обычный 5 3 2 3 2 3" xfId="3846"/>
    <cellStyle name="Обычный 5 3 2 3 2 4" xfId="4653"/>
    <cellStyle name="Обычный 5 3 2 3 3" xfId="3108"/>
    <cellStyle name="Обычный 5 3 2 3 3 2" xfId="5234"/>
    <cellStyle name="Обычный 5 3 2 3 4" xfId="3845"/>
    <cellStyle name="Обычный 5 3 2 3 5" xfId="4239"/>
    <cellStyle name="Обычный 5 3 2 4" xfId="2263"/>
    <cellStyle name="Обычный 5 3 2 4 2" xfId="3110"/>
    <cellStyle name="Обычный 5 3 2 4 2 2" xfId="5236"/>
    <cellStyle name="Обычный 5 3 2 4 3" xfId="3847"/>
    <cellStyle name="Обычный 5 3 2 4 4" xfId="4390"/>
    <cellStyle name="Обычный 5 3 2 5" xfId="2373"/>
    <cellStyle name="Обычный 5 3 2 5 2" xfId="3111"/>
    <cellStyle name="Обычный 5 3 2 5 2 2" xfId="5237"/>
    <cellStyle name="Обычный 5 3 2 5 3" xfId="3848"/>
    <cellStyle name="Обычный 5 3 2 5 4" xfId="4500"/>
    <cellStyle name="Обычный 5 3 2 6" xfId="3102"/>
    <cellStyle name="Обычный 5 3 2 6 2" xfId="5228"/>
    <cellStyle name="Обычный 5 3 2 7" xfId="3839"/>
    <cellStyle name="Обычный 5 3 2 8" xfId="4129"/>
    <cellStyle name="Обычный 5 3 3" xfId="1388"/>
    <cellStyle name="Обычный 5 3 3 2" xfId="2034"/>
    <cellStyle name="Обычный 5 3 3 2 2" xfId="2528"/>
    <cellStyle name="Обычный 5 3 3 2 2 2" xfId="3114"/>
    <cellStyle name="Обычный 5 3 3 2 2 2 2" xfId="5240"/>
    <cellStyle name="Обычный 5 3 3 2 2 3" xfId="3851"/>
    <cellStyle name="Обычный 5 3 3 2 2 4" xfId="4655"/>
    <cellStyle name="Обычный 5 3 3 2 3" xfId="3113"/>
    <cellStyle name="Обычный 5 3 3 2 3 2" xfId="5239"/>
    <cellStyle name="Обычный 5 3 3 2 4" xfId="3850"/>
    <cellStyle name="Обычный 5 3 3 2 5" xfId="4241"/>
    <cellStyle name="Обычный 5 3 3 3" xfId="2265"/>
    <cellStyle name="Обычный 5 3 3 3 2" xfId="3115"/>
    <cellStyle name="Обычный 5 3 3 3 2 2" xfId="5241"/>
    <cellStyle name="Обычный 5 3 3 3 3" xfId="3852"/>
    <cellStyle name="Обычный 5 3 3 3 4" xfId="4392"/>
    <cellStyle name="Обычный 5 3 3 4" xfId="2375"/>
    <cellStyle name="Обычный 5 3 3 4 2" xfId="3116"/>
    <cellStyle name="Обычный 5 3 3 4 2 2" xfId="5242"/>
    <cellStyle name="Обычный 5 3 3 4 3" xfId="3853"/>
    <cellStyle name="Обычный 5 3 3 4 4" xfId="4502"/>
    <cellStyle name="Обычный 5 3 3 5" xfId="3112"/>
    <cellStyle name="Обычный 5 3 3 5 2" xfId="5238"/>
    <cellStyle name="Обычный 5 3 3 6" xfId="3849"/>
    <cellStyle name="Обычный 5 3 3 7" xfId="4131"/>
    <cellStyle name="Обычный 5 3 4" xfId="1385"/>
    <cellStyle name="Обычный 5 3 4 2" xfId="2067"/>
    <cellStyle name="Обычный 5 3 4 2 2" xfId="2560"/>
    <cellStyle name="Обычный 5 3 4 2 2 2" xfId="3119"/>
    <cellStyle name="Обычный 5 3 4 2 2 2 2" xfId="5245"/>
    <cellStyle name="Обычный 5 3 4 2 2 3" xfId="3856"/>
    <cellStyle name="Обычный 5 3 4 2 2 4" xfId="4687"/>
    <cellStyle name="Обычный 5 3 4 2 3" xfId="3118"/>
    <cellStyle name="Обычный 5 3 4 2 3 2" xfId="5244"/>
    <cellStyle name="Обычный 5 3 4 2 4" xfId="3855"/>
    <cellStyle name="Обычный 5 3 4 2 5" xfId="4273"/>
    <cellStyle name="Обычный 5 3 4 3" xfId="2407"/>
    <cellStyle name="Обычный 5 3 4 3 2" xfId="3120"/>
    <cellStyle name="Обычный 5 3 4 3 2 2" xfId="5246"/>
    <cellStyle name="Обычный 5 3 4 3 3" xfId="3857"/>
    <cellStyle name="Обычный 5 3 4 3 4" xfId="4534"/>
    <cellStyle name="Обычный 5 3 4 4" xfId="3117"/>
    <cellStyle name="Обычный 5 3 4 4 2" xfId="5243"/>
    <cellStyle name="Обычный 5 3 4 5" xfId="3854"/>
    <cellStyle name="Обычный 5 3 4 6" xfId="4128"/>
    <cellStyle name="Обычный 5 3 5" xfId="2031"/>
    <cellStyle name="Обычный 5 3 5 2" xfId="2525"/>
    <cellStyle name="Обычный 5 3 5 2 2" xfId="3122"/>
    <cellStyle name="Обычный 5 3 5 2 2 2" xfId="5248"/>
    <cellStyle name="Обычный 5 3 5 2 3" xfId="3859"/>
    <cellStyle name="Обычный 5 3 5 2 4" xfId="4652"/>
    <cellStyle name="Обычный 5 3 5 3" xfId="3121"/>
    <cellStyle name="Обычный 5 3 5 3 2" xfId="5247"/>
    <cellStyle name="Обычный 5 3 5 4" xfId="3858"/>
    <cellStyle name="Обычный 5 3 5 5" xfId="4238"/>
    <cellStyle name="Обычный 5 3 6" xfId="2262"/>
    <cellStyle name="Обычный 5 3 6 2" xfId="3123"/>
    <cellStyle name="Обычный 5 3 6 2 2" xfId="5249"/>
    <cellStyle name="Обычный 5 3 6 3" xfId="3860"/>
    <cellStyle name="Обычный 5 3 6 4" xfId="4389"/>
    <cellStyle name="Обычный 5 3 7" xfId="2372"/>
    <cellStyle name="Обычный 5 3 7 2" xfId="3124"/>
    <cellStyle name="Обычный 5 3 7 2 2" xfId="5250"/>
    <cellStyle name="Обычный 5 3 7 3" xfId="3861"/>
    <cellStyle name="Обычный 5 3 7 4" xfId="4499"/>
    <cellStyle name="Обычный 5 3 8" xfId="3101"/>
    <cellStyle name="Обычный 5 3 8 2" xfId="5227"/>
    <cellStyle name="Обычный 5 3 9" xfId="3305"/>
    <cellStyle name="Обычный 5 3 9 2" xfId="5431"/>
    <cellStyle name="Обычный 5 4" xfId="1389"/>
    <cellStyle name="Обычный 5 4 2" xfId="1390"/>
    <cellStyle name="Обычный 5 4 2 2" xfId="1391"/>
    <cellStyle name="Обычный 5 4 2 2 2" xfId="2037"/>
    <cellStyle name="Обычный 5 4 2 2 2 2" xfId="2531"/>
    <cellStyle name="Обычный 5 4 2 2 2 2 2" xfId="3129"/>
    <cellStyle name="Обычный 5 4 2 2 2 2 2 2" xfId="5255"/>
    <cellStyle name="Обычный 5 4 2 2 2 2 3" xfId="3866"/>
    <cellStyle name="Обычный 5 4 2 2 2 2 4" xfId="4658"/>
    <cellStyle name="Обычный 5 4 2 2 2 3" xfId="3128"/>
    <cellStyle name="Обычный 5 4 2 2 2 3 2" xfId="5254"/>
    <cellStyle name="Обычный 5 4 2 2 2 4" xfId="3865"/>
    <cellStyle name="Обычный 5 4 2 2 2 5" xfId="4244"/>
    <cellStyle name="Обычный 5 4 2 2 3" xfId="2268"/>
    <cellStyle name="Обычный 5 4 2 2 3 2" xfId="3130"/>
    <cellStyle name="Обычный 5 4 2 2 3 2 2" xfId="5256"/>
    <cellStyle name="Обычный 5 4 2 2 3 3" xfId="3867"/>
    <cellStyle name="Обычный 5 4 2 2 3 4" xfId="4395"/>
    <cellStyle name="Обычный 5 4 2 2 4" xfId="2378"/>
    <cellStyle name="Обычный 5 4 2 2 4 2" xfId="3131"/>
    <cellStyle name="Обычный 5 4 2 2 4 2 2" xfId="5257"/>
    <cellStyle name="Обычный 5 4 2 2 4 3" xfId="3868"/>
    <cellStyle name="Обычный 5 4 2 2 4 4" xfId="4505"/>
    <cellStyle name="Обычный 5 4 2 2 5" xfId="3127"/>
    <cellStyle name="Обычный 5 4 2 2 5 2" xfId="5253"/>
    <cellStyle name="Обычный 5 4 2 2 6" xfId="3864"/>
    <cellStyle name="Обычный 5 4 2 2 7" xfId="4134"/>
    <cellStyle name="Обычный 5 4 2 3" xfId="2036"/>
    <cellStyle name="Обычный 5 4 2 3 2" xfId="2530"/>
    <cellStyle name="Обычный 5 4 2 3 2 2" xfId="3133"/>
    <cellStyle name="Обычный 5 4 2 3 2 2 2" xfId="5259"/>
    <cellStyle name="Обычный 5 4 2 3 2 3" xfId="3870"/>
    <cellStyle name="Обычный 5 4 2 3 2 4" xfId="4657"/>
    <cellStyle name="Обычный 5 4 2 3 3" xfId="3132"/>
    <cellStyle name="Обычный 5 4 2 3 3 2" xfId="5258"/>
    <cellStyle name="Обычный 5 4 2 3 4" xfId="3869"/>
    <cellStyle name="Обычный 5 4 2 3 5" xfId="4243"/>
    <cellStyle name="Обычный 5 4 2 4" xfId="2267"/>
    <cellStyle name="Обычный 5 4 2 4 2" xfId="3134"/>
    <cellStyle name="Обычный 5 4 2 4 2 2" xfId="5260"/>
    <cellStyle name="Обычный 5 4 2 4 3" xfId="3871"/>
    <cellStyle name="Обычный 5 4 2 4 4" xfId="4394"/>
    <cellStyle name="Обычный 5 4 2 5" xfId="2377"/>
    <cellStyle name="Обычный 5 4 2 5 2" xfId="3135"/>
    <cellStyle name="Обычный 5 4 2 5 2 2" xfId="5261"/>
    <cellStyle name="Обычный 5 4 2 5 3" xfId="3872"/>
    <cellStyle name="Обычный 5 4 2 5 4" xfId="4504"/>
    <cellStyle name="Обычный 5 4 2 6" xfId="3126"/>
    <cellStyle name="Обычный 5 4 2 6 2" xfId="5252"/>
    <cellStyle name="Обычный 5 4 2 7" xfId="3863"/>
    <cellStyle name="Обычный 5 4 2 8" xfId="4133"/>
    <cellStyle name="Обычный 5 4 3" xfId="1392"/>
    <cellStyle name="Обычный 5 4 3 2" xfId="2038"/>
    <cellStyle name="Обычный 5 4 3 2 2" xfId="2532"/>
    <cellStyle name="Обычный 5 4 3 2 2 2" xfId="3138"/>
    <cellStyle name="Обычный 5 4 3 2 2 2 2" xfId="5264"/>
    <cellStyle name="Обычный 5 4 3 2 2 3" xfId="3875"/>
    <cellStyle name="Обычный 5 4 3 2 2 4" xfId="4659"/>
    <cellStyle name="Обычный 5 4 3 2 3" xfId="3137"/>
    <cellStyle name="Обычный 5 4 3 2 3 2" xfId="5263"/>
    <cellStyle name="Обычный 5 4 3 2 4" xfId="3874"/>
    <cellStyle name="Обычный 5 4 3 2 5" xfId="4245"/>
    <cellStyle name="Обычный 5 4 3 3" xfId="2269"/>
    <cellStyle name="Обычный 5 4 3 3 2" xfId="3139"/>
    <cellStyle name="Обычный 5 4 3 3 2 2" xfId="5265"/>
    <cellStyle name="Обычный 5 4 3 3 3" xfId="3876"/>
    <cellStyle name="Обычный 5 4 3 3 4" xfId="4396"/>
    <cellStyle name="Обычный 5 4 3 4" xfId="2379"/>
    <cellStyle name="Обычный 5 4 3 4 2" xfId="3140"/>
    <cellStyle name="Обычный 5 4 3 4 2 2" xfId="5266"/>
    <cellStyle name="Обычный 5 4 3 4 3" xfId="3877"/>
    <cellStyle name="Обычный 5 4 3 4 4" xfId="4506"/>
    <cellStyle name="Обычный 5 4 3 5" xfId="3136"/>
    <cellStyle name="Обычный 5 4 3 5 2" xfId="5262"/>
    <cellStyle name="Обычный 5 4 3 6" xfId="3873"/>
    <cellStyle name="Обычный 5 4 3 7" xfId="4135"/>
    <cellStyle name="Обычный 5 4 4" xfId="2035"/>
    <cellStyle name="Обычный 5 4 4 2" xfId="2529"/>
    <cellStyle name="Обычный 5 4 4 2 2" xfId="3142"/>
    <cellStyle name="Обычный 5 4 4 2 2 2" xfId="5268"/>
    <cellStyle name="Обычный 5 4 4 2 3" xfId="3879"/>
    <cellStyle name="Обычный 5 4 4 2 4" xfId="4656"/>
    <cellStyle name="Обычный 5 4 4 3" xfId="3141"/>
    <cellStyle name="Обычный 5 4 4 3 2" xfId="5267"/>
    <cellStyle name="Обычный 5 4 4 4" xfId="3878"/>
    <cellStyle name="Обычный 5 4 4 5" xfId="4242"/>
    <cellStyle name="Обычный 5 4 5" xfId="2266"/>
    <cellStyle name="Обычный 5 4 5 2" xfId="3143"/>
    <cellStyle name="Обычный 5 4 5 2 2" xfId="5269"/>
    <cellStyle name="Обычный 5 4 5 3" xfId="3880"/>
    <cellStyle name="Обычный 5 4 5 4" xfId="4393"/>
    <cellStyle name="Обычный 5 4 6" xfId="2376"/>
    <cellStyle name="Обычный 5 4 6 2" xfId="3144"/>
    <cellStyle name="Обычный 5 4 6 2 2" xfId="5270"/>
    <cellStyle name="Обычный 5 4 6 3" xfId="3881"/>
    <cellStyle name="Обычный 5 4 6 4" xfId="4503"/>
    <cellStyle name="Обычный 5 4 7" xfId="3125"/>
    <cellStyle name="Обычный 5 4 7 2" xfId="5251"/>
    <cellStyle name="Обычный 5 4 8" xfId="3862"/>
    <cellStyle name="Обычный 5 4 9" xfId="4132"/>
    <cellStyle name="Обычный 5 5" xfId="1393"/>
    <cellStyle name="Обычный 5 5 2" xfId="1394"/>
    <cellStyle name="Обычный 5 5 2 2" xfId="1395"/>
    <cellStyle name="Обычный 5 5 2 2 2" xfId="2041"/>
    <cellStyle name="Обычный 5 5 2 2 2 2" xfId="2535"/>
    <cellStyle name="Обычный 5 5 2 2 2 2 2" xfId="3149"/>
    <cellStyle name="Обычный 5 5 2 2 2 2 2 2" xfId="5275"/>
    <cellStyle name="Обычный 5 5 2 2 2 2 3" xfId="3886"/>
    <cellStyle name="Обычный 5 5 2 2 2 2 4" xfId="4662"/>
    <cellStyle name="Обычный 5 5 2 2 2 3" xfId="3148"/>
    <cellStyle name="Обычный 5 5 2 2 2 3 2" xfId="5274"/>
    <cellStyle name="Обычный 5 5 2 2 2 4" xfId="3885"/>
    <cellStyle name="Обычный 5 5 2 2 2 5" xfId="4248"/>
    <cellStyle name="Обычный 5 5 2 2 3" xfId="2272"/>
    <cellStyle name="Обычный 5 5 2 2 3 2" xfId="3150"/>
    <cellStyle name="Обычный 5 5 2 2 3 2 2" xfId="5276"/>
    <cellStyle name="Обычный 5 5 2 2 3 3" xfId="3887"/>
    <cellStyle name="Обычный 5 5 2 2 3 4" xfId="4399"/>
    <cellStyle name="Обычный 5 5 2 2 4" xfId="2382"/>
    <cellStyle name="Обычный 5 5 2 2 4 2" xfId="3151"/>
    <cellStyle name="Обычный 5 5 2 2 4 2 2" xfId="5277"/>
    <cellStyle name="Обычный 5 5 2 2 4 3" xfId="3888"/>
    <cellStyle name="Обычный 5 5 2 2 4 4" xfId="4509"/>
    <cellStyle name="Обычный 5 5 2 2 5" xfId="3147"/>
    <cellStyle name="Обычный 5 5 2 2 5 2" xfId="5273"/>
    <cellStyle name="Обычный 5 5 2 2 6" xfId="3884"/>
    <cellStyle name="Обычный 5 5 2 2 7" xfId="4138"/>
    <cellStyle name="Обычный 5 5 2 3" xfId="2040"/>
    <cellStyle name="Обычный 5 5 2 3 2" xfId="2534"/>
    <cellStyle name="Обычный 5 5 2 3 2 2" xfId="3153"/>
    <cellStyle name="Обычный 5 5 2 3 2 2 2" xfId="5279"/>
    <cellStyle name="Обычный 5 5 2 3 2 3" xfId="3890"/>
    <cellStyle name="Обычный 5 5 2 3 2 4" xfId="4661"/>
    <cellStyle name="Обычный 5 5 2 3 3" xfId="3152"/>
    <cellStyle name="Обычный 5 5 2 3 3 2" xfId="5278"/>
    <cellStyle name="Обычный 5 5 2 3 4" xfId="3889"/>
    <cellStyle name="Обычный 5 5 2 3 5" xfId="4247"/>
    <cellStyle name="Обычный 5 5 2 4" xfId="2271"/>
    <cellStyle name="Обычный 5 5 2 4 2" xfId="3154"/>
    <cellStyle name="Обычный 5 5 2 4 2 2" xfId="5280"/>
    <cellStyle name="Обычный 5 5 2 4 3" xfId="3891"/>
    <cellStyle name="Обычный 5 5 2 4 4" xfId="4398"/>
    <cellStyle name="Обычный 5 5 2 5" xfId="2381"/>
    <cellStyle name="Обычный 5 5 2 5 2" xfId="3155"/>
    <cellStyle name="Обычный 5 5 2 5 2 2" xfId="5281"/>
    <cellStyle name="Обычный 5 5 2 5 3" xfId="3892"/>
    <cellStyle name="Обычный 5 5 2 5 4" xfId="4508"/>
    <cellStyle name="Обычный 5 5 2 6" xfId="3146"/>
    <cellStyle name="Обычный 5 5 2 6 2" xfId="5272"/>
    <cellStyle name="Обычный 5 5 2 7" xfId="3883"/>
    <cellStyle name="Обычный 5 5 2 8" xfId="4137"/>
    <cellStyle name="Обычный 5 5 3" xfId="1396"/>
    <cellStyle name="Обычный 5 5 3 2" xfId="2042"/>
    <cellStyle name="Обычный 5 5 3 2 2" xfId="2536"/>
    <cellStyle name="Обычный 5 5 3 2 2 2" xfId="3158"/>
    <cellStyle name="Обычный 5 5 3 2 2 2 2" xfId="5284"/>
    <cellStyle name="Обычный 5 5 3 2 2 3" xfId="3895"/>
    <cellStyle name="Обычный 5 5 3 2 2 4" xfId="4663"/>
    <cellStyle name="Обычный 5 5 3 2 3" xfId="3157"/>
    <cellStyle name="Обычный 5 5 3 2 3 2" xfId="5283"/>
    <cellStyle name="Обычный 5 5 3 2 4" xfId="3894"/>
    <cellStyle name="Обычный 5 5 3 2 5" xfId="4249"/>
    <cellStyle name="Обычный 5 5 3 3" xfId="2273"/>
    <cellStyle name="Обычный 5 5 3 3 2" xfId="3159"/>
    <cellStyle name="Обычный 5 5 3 3 2 2" xfId="5285"/>
    <cellStyle name="Обычный 5 5 3 3 3" xfId="3896"/>
    <cellStyle name="Обычный 5 5 3 3 4" xfId="4400"/>
    <cellStyle name="Обычный 5 5 3 4" xfId="2383"/>
    <cellStyle name="Обычный 5 5 3 4 2" xfId="3160"/>
    <cellStyle name="Обычный 5 5 3 4 2 2" xfId="5286"/>
    <cellStyle name="Обычный 5 5 3 4 3" xfId="3897"/>
    <cellStyle name="Обычный 5 5 3 4 4" xfId="4510"/>
    <cellStyle name="Обычный 5 5 3 5" xfId="3156"/>
    <cellStyle name="Обычный 5 5 3 5 2" xfId="5282"/>
    <cellStyle name="Обычный 5 5 3 6" xfId="3893"/>
    <cellStyle name="Обычный 5 5 3 7" xfId="4139"/>
    <cellStyle name="Обычный 5 5 4" xfId="2039"/>
    <cellStyle name="Обычный 5 5 4 2" xfId="2533"/>
    <cellStyle name="Обычный 5 5 4 2 2" xfId="3162"/>
    <cellStyle name="Обычный 5 5 4 2 2 2" xfId="5288"/>
    <cellStyle name="Обычный 5 5 4 2 3" xfId="3899"/>
    <cellStyle name="Обычный 5 5 4 2 4" xfId="4660"/>
    <cellStyle name="Обычный 5 5 4 3" xfId="3161"/>
    <cellStyle name="Обычный 5 5 4 3 2" xfId="5287"/>
    <cellStyle name="Обычный 5 5 4 4" xfId="3898"/>
    <cellStyle name="Обычный 5 5 4 5" xfId="4246"/>
    <cellStyle name="Обычный 5 5 5" xfId="2270"/>
    <cellStyle name="Обычный 5 5 5 2" xfId="3163"/>
    <cellStyle name="Обычный 5 5 5 2 2" xfId="5289"/>
    <cellStyle name="Обычный 5 5 5 3" xfId="3900"/>
    <cellStyle name="Обычный 5 5 5 4" xfId="4397"/>
    <cellStyle name="Обычный 5 5 6" xfId="2380"/>
    <cellStyle name="Обычный 5 5 6 2" xfId="3164"/>
    <cellStyle name="Обычный 5 5 6 2 2" xfId="5290"/>
    <cellStyle name="Обычный 5 5 6 3" xfId="3901"/>
    <cellStyle name="Обычный 5 5 6 4" xfId="4507"/>
    <cellStyle name="Обычный 5 5 7" xfId="3145"/>
    <cellStyle name="Обычный 5 5 7 2" xfId="5271"/>
    <cellStyle name="Обычный 5 5 8" xfId="3882"/>
    <cellStyle name="Обычный 5 5 9" xfId="4136"/>
    <cellStyle name="Обычный 5 6" xfId="1397"/>
    <cellStyle name="Обычный 5 6 2" xfId="1398"/>
    <cellStyle name="Обычный 5 6 2 2" xfId="2044"/>
    <cellStyle name="Обычный 5 6 2 2 2" xfId="2538"/>
    <cellStyle name="Обычный 5 6 2 2 2 2" xfId="3168"/>
    <cellStyle name="Обычный 5 6 2 2 2 2 2" xfId="5294"/>
    <cellStyle name="Обычный 5 6 2 2 2 3" xfId="3905"/>
    <cellStyle name="Обычный 5 6 2 2 2 4" xfId="4665"/>
    <cellStyle name="Обычный 5 6 2 2 3" xfId="3167"/>
    <cellStyle name="Обычный 5 6 2 2 3 2" xfId="5293"/>
    <cellStyle name="Обычный 5 6 2 2 4" xfId="3904"/>
    <cellStyle name="Обычный 5 6 2 2 5" xfId="4251"/>
    <cellStyle name="Обычный 5 6 2 3" xfId="2275"/>
    <cellStyle name="Обычный 5 6 2 3 2" xfId="3169"/>
    <cellStyle name="Обычный 5 6 2 3 2 2" xfId="5295"/>
    <cellStyle name="Обычный 5 6 2 3 3" xfId="3906"/>
    <cellStyle name="Обычный 5 6 2 3 4" xfId="4402"/>
    <cellStyle name="Обычный 5 6 2 4" xfId="2385"/>
    <cellStyle name="Обычный 5 6 2 4 2" xfId="3170"/>
    <cellStyle name="Обычный 5 6 2 4 2 2" xfId="5296"/>
    <cellStyle name="Обычный 5 6 2 4 3" xfId="3907"/>
    <cellStyle name="Обычный 5 6 2 4 4" xfId="4512"/>
    <cellStyle name="Обычный 5 6 2 5" xfId="3166"/>
    <cellStyle name="Обычный 5 6 2 5 2" xfId="5292"/>
    <cellStyle name="Обычный 5 6 2 6" xfId="3903"/>
    <cellStyle name="Обычный 5 6 2 7" xfId="4141"/>
    <cellStyle name="Обычный 5 6 3" xfId="2043"/>
    <cellStyle name="Обычный 5 6 3 2" xfId="2537"/>
    <cellStyle name="Обычный 5 6 3 2 2" xfId="3172"/>
    <cellStyle name="Обычный 5 6 3 2 2 2" xfId="5298"/>
    <cellStyle name="Обычный 5 6 3 2 3" xfId="3909"/>
    <cellStyle name="Обычный 5 6 3 2 4" xfId="4664"/>
    <cellStyle name="Обычный 5 6 3 3" xfId="3171"/>
    <cellStyle name="Обычный 5 6 3 3 2" xfId="5297"/>
    <cellStyle name="Обычный 5 6 3 4" xfId="3908"/>
    <cellStyle name="Обычный 5 6 3 5" xfId="4250"/>
    <cellStyle name="Обычный 5 6 4" xfId="2274"/>
    <cellStyle name="Обычный 5 6 4 2" xfId="3173"/>
    <cellStyle name="Обычный 5 6 4 2 2" xfId="5299"/>
    <cellStyle name="Обычный 5 6 4 3" xfId="3910"/>
    <cellStyle name="Обычный 5 6 4 4" xfId="4401"/>
    <cellStyle name="Обычный 5 6 5" xfId="2384"/>
    <cellStyle name="Обычный 5 6 5 2" xfId="3174"/>
    <cellStyle name="Обычный 5 6 5 2 2" xfId="5300"/>
    <cellStyle name="Обычный 5 6 5 3" xfId="3911"/>
    <cellStyle name="Обычный 5 6 5 4" xfId="4511"/>
    <cellStyle name="Обычный 5 6 6" xfId="3165"/>
    <cellStyle name="Обычный 5 6 6 2" xfId="5291"/>
    <cellStyle name="Обычный 5 6 7" xfId="3902"/>
    <cellStyle name="Обычный 5 6 8" xfId="4140"/>
    <cellStyle name="Обычный 5 7" xfId="1399"/>
    <cellStyle name="Обычный 5 7 2" xfId="1400"/>
    <cellStyle name="Обычный 5 7 2 2" xfId="2046"/>
    <cellStyle name="Обычный 5 7 2 2 2" xfId="2540"/>
    <cellStyle name="Обычный 5 7 2 2 2 2" xfId="3178"/>
    <cellStyle name="Обычный 5 7 2 2 2 2 2" xfId="5304"/>
    <cellStyle name="Обычный 5 7 2 2 2 3" xfId="3915"/>
    <cellStyle name="Обычный 5 7 2 2 2 4" xfId="4667"/>
    <cellStyle name="Обычный 5 7 2 2 3" xfId="3177"/>
    <cellStyle name="Обычный 5 7 2 2 3 2" xfId="5303"/>
    <cellStyle name="Обычный 5 7 2 2 4" xfId="3914"/>
    <cellStyle name="Обычный 5 7 2 2 5" xfId="4253"/>
    <cellStyle name="Обычный 5 7 2 3" xfId="2277"/>
    <cellStyle name="Обычный 5 7 2 3 2" xfId="3179"/>
    <cellStyle name="Обычный 5 7 2 3 2 2" xfId="5305"/>
    <cellStyle name="Обычный 5 7 2 3 3" xfId="3916"/>
    <cellStyle name="Обычный 5 7 2 3 4" xfId="4404"/>
    <cellStyle name="Обычный 5 7 2 4" xfId="2387"/>
    <cellStyle name="Обычный 5 7 2 4 2" xfId="3180"/>
    <cellStyle name="Обычный 5 7 2 4 2 2" xfId="5306"/>
    <cellStyle name="Обычный 5 7 2 4 3" xfId="3917"/>
    <cellStyle name="Обычный 5 7 2 4 4" xfId="4514"/>
    <cellStyle name="Обычный 5 7 2 5" xfId="3176"/>
    <cellStyle name="Обычный 5 7 2 5 2" xfId="5302"/>
    <cellStyle name="Обычный 5 7 2 6" xfId="3913"/>
    <cellStyle name="Обычный 5 7 2 7" xfId="4143"/>
    <cellStyle name="Обычный 5 7 3" xfId="2045"/>
    <cellStyle name="Обычный 5 7 3 2" xfId="2539"/>
    <cellStyle name="Обычный 5 7 3 2 2" xfId="3182"/>
    <cellStyle name="Обычный 5 7 3 2 2 2" xfId="5308"/>
    <cellStyle name="Обычный 5 7 3 2 3" xfId="3919"/>
    <cellStyle name="Обычный 5 7 3 2 4" xfId="4666"/>
    <cellStyle name="Обычный 5 7 3 3" xfId="3181"/>
    <cellStyle name="Обычный 5 7 3 3 2" xfId="5307"/>
    <cellStyle name="Обычный 5 7 3 4" xfId="3918"/>
    <cellStyle name="Обычный 5 7 3 5" xfId="4252"/>
    <cellStyle name="Обычный 5 7 4" xfId="2276"/>
    <cellStyle name="Обычный 5 7 4 2" xfId="3183"/>
    <cellStyle name="Обычный 5 7 4 2 2" xfId="5309"/>
    <cellStyle name="Обычный 5 7 4 3" xfId="3920"/>
    <cellStyle name="Обычный 5 7 4 4" xfId="4403"/>
    <cellStyle name="Обычный 5 7 5" xfId="2386"/>
    <cellStyle name="Обычный 5 7 5 2" xfId="3184"/>
    <cellStyle name="Обычный 5 7 5 2 2" xfId="5310"/>
    <cellStyle name="Обычный 5 7 5 3" xfId="3921"/>
    <cellStyle name="Обычный 5 7 5 4" xfId="4513"/>
    <cellStyle name="Обычный 5 7 6" xfId="3175"/>
    <cellStyle name="Обычный 5 7 6 2" xfId="5301"/>
    <cellStyle name="Обычный 5 7 7" xfId="3912"/>
    <cellStyle name="Обычный 5 7 8" xfId="4142"/>
    <cellStyle name="Обычный 5 8" xfId="1792"/>
    <cellStyle name="Обычный 5 9" xfId="1378"/>
    <cellStyle name="Обычный 50" xfId="1831"/>
    <cellStyle name="Обычный 50 2" xfId="1851"/>
    <cellStyle name="Обычный 51" xfId="1832"/>
    <cellStyle name="Обычный 51 2" xfId="1852"/>
    <cellStyle name="Обычный 52" xfId="1833"/>
    <cellStyle name="Обычный 52 2" xfId="1853"/>
    <cellStyle name="Обычный 53" xfId="1834"/>
    <cellStyle name="Обычный 53 2" xfId="1854"/>
    <cellStyle name="Обычный 54" xfId="1835"/>
    <cellStyle name="Обычный 54 2" xfId="1855"/>
    <cellStyle name="Обычный 55" xfId="1836"/>
    <cellStyle name="Обычный 55 2" xfId="1856"/>
    <cellStyle name="Обычный 56" xfId="1837"/>
    <cellStyle name="Обычный 56 2" xfId="1857"/>
    <cellStyle name="Обычный 57" xfId="1838"/>
    <cellStyle name="Обычный 57 2" xfId="1858"/>
    <cellStyle name="Обычный 58" xfId="1839"/>
    <cellStyle name="Обычный 58 2" xfId="1859"/>
    <cellStyle name="Обычный 59" xfId="1840"/>
    <cellStyle name="Обычный 59 2" xfId="1860"/>
    <cellStyle name="Обычный 6" xfId="178"/>
    <cellStyle name="Обычный 6 10" xfId="2111"/>
    <cellStyle name="Обычный 6 11" xfId="2047"/>
    <cellStyle name="Обычный 6 11 2" xfId="2541"/>
    <cellStyle name="Обычный 6 11 2 2" xfId="3186"/>
    <cellStyle name="Обычный 6 11 2 2 2" xfId="5312"/>
    <cellStyle name="Обычный 6 11 2 3" xfId="3923"/>
    <cellStyle name="Обычный 6 11 2 4" xfId="4668"/>
    <cellStyle name="Обычный 6 11 3" xfId="3185"/>
    <cellStyle name="Обычный 6 11 3 2" xfId="5311"/>
    <cellStyle name="Обычный 6 11 4" xfId="3922"/>
    <cellStyle name="Обычный 6 11 5" xfId="4254"/>
    <cellStyle name="Обычный 6 12" xfId="2278"/>
    <cellStyle name="Обычный 6 12 2" xfId="3187"/>
    <cellStyle name="Обычный 6 12 2 2" xfId="5313"/>
    <cellStyle name="Обычный 6 12 3" xfId="3924"/>
    <cellStyle name="Обычный 6 12 4" xfId="4405"/>
    <cellStyle name="Обычный 6 13" xfId="2388"/>
    <cellStyle name="Обычный 6 13 2" xfId="3188"/>
    <cellStyle name="Обычный 6 13 2 2" xfId="5314"/>
    <cellStyle name="Обычный 6 13 3" xfId="3925"/>
    <cellStyle name="Обычный 6 13 4" xfId="4515"/>
    <cellStyle name="Обычный 6 2" xfId="179"/>
    <cellStyle name="Обычный 6 2 10" xfId="3306"/>
    <cellStyle name="Обычный 6 2 10 2" xfId="5432"/>
    <cellStyle name="Обычный 6 2 11" xfId="3926"/>
    <cellStyle name="Обычный 6 2 12" xfId="4042"/>
    <cellStyle name="Обычный 6 2 2" xfId="1403"/>
    <cellStyle name="Обычный 6 2 3" xfId="1404"/>
    <cellStyle name="Обычный 6 2 3 2" xfId="2049"/>
    <cellStyle name="Обычный 6 2 3 2 2" xfId="2543"/>
    <cellStyle name="Обычный 6 2 3 2 2 2" xfId="3192"/>
    <cellStyle name="Обычный 6 2 3 2 2 2 2" xfId="5318"/>
    <cellStyle name="Обычный 6 2 3 2 2 3" xfId="3929"/>
    <cellStyle name="Обычный 6 2 3 2 2 4" xfId="4670"/>
    <cellStyle name="Обычный 6 2 3 2 3" xfId="3191"/>
    <cellStyle name="Обычный 6 2 3 2 3 2" xfId="5317"/>
    <cellStyle name="Обычный 6 2 3 2 4" xfId="3928"/>
    <cellStyle name="Обычный 6 2 3 2 5" xfId="4256"/>
    <cellStyle name="Обычный 6 2 3 3" xfId="2280"/>
    <cellStyle name="Обычный 6 2 3 3 2" xfId="3193"/>
    <cellStyle name="Обычный 6 2 3 3 2 2" xfId="5319"/>
    <cellStyle name="Обычный 6 2 3 3 3" xfId="3930"/>
    <cellStyle name="Обычный 6 2 3 3 4" xfId="4407"/>
    <cellStyle name="Обычный 6 2 3 4" xfId="2390"/>
    <cellStyle name="Обычный 6 2 3 4 2" xfId="3194"/>
    <cellStyle name="Обычный 6 2 3 4 2 2" xfId="5320"/>
    <cellStyle name="Обычный 6 2 3 4 3" xfId="3931"/>
    <cellStyle name="Обычный 6 2 3 4 4" xfId="4517"/>
    <cellStyle name="Обычный 6 2 3 5" xfId="3190"/>
    <cellStyle name="Обычный 6 2 3 5 2" xfId="5316"/>
    <cellStyle name="Обычный 6 2 3 6" xfId="3927"/>
    <cellStyle name="Обычный 6 2 3 7" xfId="4146"/>
    <cellStyle name="Обычный 6 2 4" xfId="1608"/>
    <cellStyle name="Обычный 6 2 4 2" xfId="2058"/>
    <cellStyle name="Обычный 6 2 4 2 2" xfId="2552"/>
    <cellStyle name="Обычный 6 2 4 2 2 2" xfId="3197"/>
    <cellStyle name="Обычный 6 2 4 2 2 2 2" xfId="5323"/>
    <cellStyle name="Обычный 6 2 4 2 2 3" xfId="3934"/>
    <cellStyle name="Обычный 6 2 4 2 2 4" xfId="4679"/>
    <cellStyle name="Обычный 6 2 4 2 3" xfId="3196"/>
    <cellStyle name="Обычный 6 2 4 2 3 2" xfId="5322"/>
    <cellStyle name="Обычный 6 2 4 2 4" xfId="3933"/>
    <cellStyle name="Обычный 6 2 4 2 5" xfId="4265"/>
    <cellStyle name="Обычный 6 2 4 3" xfId="2289"/>
    <cellStyle name="Обычный 6 2 4 3 2" xfId="3198"/>
    <cellStyle name="Обычный 6 2 4 3 2 2" xfId="5324"/>
    <cellStyle name="Обычный 6 2 4 3 3" xfId="3935"/>
    <cellStyle name="Обычный 6 2 4 3 4" xfId="4416"/>
    <cellStyle name="Обычный 6 2 4 4" xfId="2399"/>
    <cellStyle name="Обычный 6 2 4 4 2" xfId="3199"/>
    <cellStyle name="Обычный 6 2 4 4 2 2" xfId="5325"/>
    <cellStyle name="Обычный 6 2 4 4 3" xfId="3936"/>
    <cellStyle name="Обычный 6 2 4 4 4" xfId="4526"/>
    <cellStyle name="Обычный 6 2 4 5" xfId="3195"/>
    <cellStyle name="Обычный 6 2 4 5 2" xfId="5321"/>
    <cellStyle name="Обычный 6 2 4 6" xfId="3932"/>
    <cellStyle name="Обычный 6 2 4 7" xfId="4155"/>
    <cellStyle name="Обычный 6 2 5" xfId="1402"/>
    <cellStyle name="Обычный 6 2 5 2" xfId="2065"/>
    <cellStyle name="Обычный 6 2 5 2 2" xfId="2558"/>
    <cellStyle name="Обычный 6 2 5 2 2 2" xfId="3202"/>
    <cellStyle name="Обычный 6 2 5 2 2 2 2" xfId="5328"/>
    <cellStyle name="Обычный 6 2 5 2 2 3" xfId="3939"/>
    <cellStyle name="Обычный 6 2 5 2 2 4" xfId="4685"/>
    <cellStyle name="Обычный 6 2 5 2 3" xfId="3201"/>
    <cellStyle name="Обычный 6 2 5 2 3 2" xfId="5327"/>
    <cellStyle name="Обычный 6 2 5 2 4" xfId="3938"/>
    <cellStyle name="Обычный 6 2 5 2 5" xfId="4271"/>
    <cellStyle name="Обычный 6 2 5 3" xfId="2405"/>
    <cellStyle name="Обычный 6 2 5 3 2" xfId="3203"/>
    <cellStyle name="Обычный 6 2 5 3 2 2" xfId="5329"/>
    <cellStyle name="Обычный 6 2 5 3 3" xfId="3940"/>
    <cellStyle name="Обычный 6 2 5 3 4" xfId="4532"/>
    <cellStyle name="Обычный 6 2 5 4" xfId="3200"/>
    <cellStyle name="Обычный 6 2 5 4 2" xfId="5326"/>
    <cellStyle name="Обычный 6 2 5 5" xfId="3937"/>
    <cellStyle name="Обычный 6 2 5 6" xfId="4145"/>
    <cellStyle name="Обычный 6 2 6" xfId="2048"/>
    <cellStyle name="Обычный 6 2 6 2" xfId="2542"/>
    <cellStyle name="Обычный 6 2 6 2 2" xfId="3205"/>
    <cellStyle name="Обычный 6 2 6 2 2 2" xfId="5331"/>
    <cellStyle name="Обычный 6 2 6 2 3" xfId="3942"/>
    <cellStyle name="Обычный 6 2 6 2 4" xfId="4669"/>
    <cellStyle name="Обычный 6 2 6 3" xfId="3204"/>
    <cellStyle name="Обычный 6 2 6 3 2" xfId="5330"/>
    <cellStyle name="Обычный 6 2 6 4" xfId="3941"/>
    <cellStyle name="Обычный 6 2 6 5" xfId="4255"/>
    <cellStyle name="Обычный 6 2 7" xfId="2279"/>
    <cellStyle name="Обычный 6 2 7 2" xfId="3206"/>
    <cellStyle name="Обычный 6 2 7 2 2" xfId="5332"/>
    <cellStyle name="Обычный 6 2 7 3" xfId="3943"/>
    <cellStyle name="Обычный 6 2 7 4" xfId="4406"/>
    <cellStyle name="Обычный 6 2 8" xfId="2389"/>
    <cellStyle name="Обычный 6 2 8 2" xfId="3207"/>
    <cellStyle name="Обычный 6 2 8 2 2" xfId="5333"/>
    <cellStyle name="Обычный 6 2 8 3" xfId="3944"/>
    <cellStyle name="Обычный 6 2 8 4" xfId="4516"/>
    <cellStyle name="Обычный 6 2 9" xfId="3189"/>
    <cellStyle name="Обычный 6 2 9 2" xfId="5315"/>
    <cellStyle name="Обычный 6 3" xfId="180"/>
    <cellStyle name="Обычный 6 3 2" xfId="1405"/>
    <cellStyle name="Обычный 6 3 3" xfId="2110"/>
    <cellStyle name="Обычный 6 4" xfId="1406"/>
    <cellStyle name="Обычный 6 5" xfId="1407"/>
    <cellStyle name="Обычный 6 6" xfId="1408"/>
    <cellStyle name="Обычный 6 6 2" xfId="2050"/>
    <cellStyle name="Обычный 6 6 2 2" xfId="2544"/>
    <cellStyle name="Обычный 6 6 2 2 2" xfId="3210"/>
    <cellStyle name="Обычный 6 6 2 2 2 2" xfId="5336"/>
    <cellStyle name="Обычный 6 6 2 2 3" xfId="3947"/>
    <cellStyle name="Обычный 6 6 2 2 4" xfId="4671"/>
    <cellStyle name="Обычный 6 6 2 3" xfId="3209"/>
    <cellStyle name="Обычный 6 6 2 3 2" xfId="5335"/>
    <cellStyle name="Обычный 6 6 2 4" xfId="3946"/>
    <cellStyle name="Обычный 6 6 2 5" xfId="4257"/>
    <cellStyle name="Обычный 6 6 3" xfId="2281"/>
    <cellStyle name="Обычный 6 6 3 2" xfId="3211"/>
    <cellStyle name="Обычный 6 6 3 2 2" xfId="5337"/>
    <cellStyle name="Обычный 6 6 3 3" xfId="3948"/>
    <cellStyle name="Обычный 6 6 3 4" xfId="4408"/>
    <cellStyle name="Обычный 6 6 4" xfId="2391"/>
    <cellStyle name="Обычный 6 6 4 2" xfId="3212"/>
    <cellStyle name="Обычный 6 6 4 2 2" xfId="5338"/>
    <cellStyle name="Обычный 6 6 4 3" xfId="3949"/>
    <cellStyle name="Обычный 6 6 4 4" xfId="4518"/>
    <cellStyle name="Обычный 6 6 5" xfId="3208"/>
    <cellStyle name="Обычный 6 6 5 2" xfId="5334"/>
    <cellStyle name="Обычный 6 6 6" xfId="3945"/>
    <cellStyle name="Обычный 6 6 7" xfId="4147"/>
    <cellStyle name="Обычный 6 7" xfId="1409"/>
    <cellStyle name="Обычный 6 8" xfId="1609"/>
    <cellStyle name="Обычный 6 8 2" xfId="2059"/>
    <cellStyle name="Обычный 6 8 2 2" xfId="2553"/>
    <cellStyle name="Обычный 6 8 2 2 2" xfId="3215"/>
    <cellStyle name="Обычный 6 8 2 2 2 2" xfId="5341"/>
    <cellStyle name="Обычный 6 8 2 2 3" xfId="3952"/>
    <cellStyle name="Обычный 6 8 2 2 4" xfId="4680"/>
    <cellStyle name="Обычный 6 8 2 3" xfId="3214"/>
    <cellStyle name="Обычный 6 8 2 3 2" xfId="5340"/>
    <cellStyle name="Обычный 6 8 2 4" xfId="3951"/>
    <cellStyle name="Обычный 6 8 2 5" xfId="4266"/>
    <cellStyle name="Обычный 6 8 3" xfId="2290"/>
    <cellStyle name="Обычный 6 8 3 2" xfId="3216"/>
    <cellStyle name="Обычный 6 8 3 2 2" xfId="5342"/>
    <cellStyle name="Обычный 6 8 3 3" xfId="3953"/>
    <cellStyle name="Обычный 6 8 3 4" xfId="4417"/>
    <cellStyle name="Обычный 6 8 4" xfId="2400"/>
    <cellStyle name="Обычный 6 8 4 2" xfId="3217"/>
    <cellStyle name="Обычный 6 8 4 2 2" xfId="5343"/>
    <cellStyle name="Обычный 6 8 4 3" xfId="3954"/>
    <cellStyle name="Обычный 6 8 4 4" xfId="4527"/>
    <cellStyle name="Обычный 6 8 5" xfId="3213"/>
    <cellStyle name="Обычный 6 8 5 2" xfId="5339"/>
    <cellStyle name="Обычный 6 8 6" xfId="3950"/>
    <cellStyle name="Обычный 6 8 7" xfId="4156"/>
    <cellStyle name="Обычный 6 9" xfId="1401"/>
    <cellStyle name="Обычный 6 9 2" xfId="2066"/>
    <cellStyle name="Обычный 6 9 2 2" xfId="2559"/>
    <cellStyle name="Обычный 6 9 2 2 2" xfId="3220"/>
    <cellStyle name="Обычный 6 9 2 2 2 2" xfId="5346"/>
    <cellStyle name="Обычный 6 9 2 2 3" xfId="3957"/>
    <cellStyle name="Обычный 6 9 2 2 4" xfId="4686"/>
    <cellStyle name="Обычный 6 9 2 3" xfId="3219"/>
    <cellStyle name="Обычный 6 9 2 3 2" xfId="5345"/>
    <cellStyle name="Обычный 6 9 2 4" xfId="3956"/>
    <cellStyle name="Обычный 6 9 2 5" xfId="4272"/>
    <cellStyle name="Обычный 6 9 3" xfId="2406"/>
    <cellStyle name="Обычный 6 9 3 2" xfId="3221"/>
    <cellStyle name="Обычный 6 9 3 2 2" xfId="5347"/>
    <cellStyle name="Обычный 6 9 3 3" xfId="3958"/>
    <cellStyle name="Обычный 6 9 3 4" xfId="4533"/>
    <cellStyle name="Обычный 6 9 4" xfId="3218"/>
    <cellStyle name="Обычный 6 9 4 2" xfId="5344"/>
    <cellStyle name="Обычный 6 9 5" xfId="3955"/>
    <cellStyle name="Обычный 6 9 6" xfId="4144"/>
    <cellStyle name="Обычный 6_Амортизация_ОС КП ПТС_план_2018" xfId="1410"/>
    <cellStyle name="Обычный 60" xfId="1841"/>
    <cellStyle name="Обычный 60 2" xfId="1861"/>
    <cellStyle name="Обычный 61" xfId="1842"/>
    <cellStyle name="Обычный 61 2" xfId="1862"/>
    <cellStyle name="Обычный 62" xfId="268"/>
    <cellStyle name="Обычный 62 2" xfId="2080"/>
    <cellStyle name="Обычный 62 2 2" xfId="2573"/>
    <cellStyle name="Обычный 62 2 2 2" xfId="3224"/>
    <cellStyle name="Обычный 62 2 2 2 2" xfId="5350"/>
    <cellStyle name="Обычный 62 2 2 3" xfId="3961"/>
    <cellStyle name="Обычный 62 2 2 4" xfId="4700"/>
    <cellStyle name="Обычный 62 2 3" xfId="3223"/>
    <cellStyle name="Обычный 62 2 3 2" xfId="5349"/>
    <cellStyle name="Обычный 62 2 4" xfId="3960"/>
    <cellStyle name="Обычный 62 2 5" xfId="4286"/>
    <cellStyle name="Обычный 62 3" xfId="2420"/>
    <cellStyle name="Обычный 62 3 2" xfId="3225"/>
    <cellStyle name="Обычный 62 3 2 2" xfId="5351"/>
    <cellStyle name="Обычный 62 3 3" xfId="3962"/>
    <cellStyle name="Обычный 62 3 4" xfId="4547"/>
    <cellStyle name="Обычный 62 4" xfId="3222"/>
    <cellStyle name="Обычный 62 4 2" xfId="5348"/>
    <cellStyle name="Обычный 62 5" xfId="3959"/>
    <cellStyle name="Обычный 62 6" xfId="4051"/>
    <cellStyle name="Обычный 63" xfId="2167"/>
    <cellStyle name="Обычный 64" xfId="1950"/>
    <cellStyle name="Обычный 64 2" xfId="2446"/>
    <cellStyle name="Обычный 64 2 2" xfId="3227"/>
    <cellStyle name="Обычный 64 2 2 2" xfId="5353"/>
    <cellStyle name="Обычный 64 2 3" xfId="3964"/>
    <cellStyle name="Обычный 64 2 4" xfId="4573"/>
    <cellStyle name="Обычный 64 3" xfId="3226"/>
    <cellStyle name="Обычный 64 3 2" xfId="5352"/>
    <cellStyle name="Обычный 64 4" xfId="3963"/>
    <cellStyle name="Обычный 64 5" xfId="4159"/>
    <cellStyle name="Обычный 65" xfId="2185"/>
    <cellStyle name="Обычный 65 2" xfId="3228"/>
    <cellStyle name="Обычный 65 2 2" xfId="5354"/>
    <cellStyle name="Обычный 65 3" xfId="3965"/>
    <cellStyle name="Обычный 65 4" xfId="4312"/>
    <cellStyle name="Обычный 66" xfId="2293"/>
    <cellStyle name="Обычный 66 2" xfId="3229"/>
    <cellStyle name="Обычный 66 2 2" xfId="5355"/>
    <cellStyle name="Обычный 66 3" xfId="3966"/>
    <cellStyle name="Обычный 66 4" xfId="4420"/>
    <cellStyle name="Обычный 67" xfId="2581"/>
    <cellStyle name="Обычный 67 2" xfId="3230"/>
    <cellStyle name="Обычный 67 2 2" xfId="5356"/>
    <cellStyle name="Обычный 67 3" xfId="3317"/>
    <cellStyle name="Обычный 67 4" xfId="4708"/>
    <cellStyle name="Обычный 68" xfId="3316"/>
    <cellStyle name="Обычный 7" xfId="181"/>
    <cellStyle name="Обычный 7 2" xfId="182"/>
    <cellStyle name="Обычный 7 2 2" xfId="1413"/>
    <cellStyle name="Обычный 7 2 2 2" xfId="1414"/>
    <cellStyle name="Обычный 7 2 2 2 2" xfId="2053"/>
    <cellStyle name="Обычный 7 2 2 2 2 2" xfId="2547"/>
    <cellStyle name="Обычный 7 2 2 2 2 2 2" xfId="3234"/>
    <cellStyle name="Обычный 7 2 2 2 2 2 2 2" xfId="5360"/>
    <cellStyle name="Обычный 7 2 2 2 2 2 3" xfId="3970"/>
    <cellStyle name="Обычный 7 2 2 2 2 2 4" xfId="4674"/>
    <cellStyle name="Обычный 7 2 2 2 2 3" xfId="3233"/>
    <cellStyle name="Обычный 7 2 2 2 2 3 2" xfId="5359"/>
    <cellStyle name="Обычный 7 2 2 2 2 4" xfId="3969"/>
    <cellStyle name="Обычный 7 2 2 2 2 5" xfId="4260"/>
    <cellStyle name="Обычный 7 2 2 2 3" xfId="2284"/>
    <cellStyle name="Обычный 7 2 2 2 3 2" xfId="3235"/>
    <cellStyle name="Обычный 7 2 2 2 3 2 2" xfId="5361"/>
    <cellStyle name="Обычный 7 2 2 2 3 3" xfId="3971"/>
    <cellStyle name="Обычный 7 2 2 2 3 4" xfId="4411"/>
    <cellStyle name="Обычный 7 2 2 2 4" xfId="2394"/>
    <cellStyle name="Обычный 7 2 2 2 4 2" xfId="3236"/>
    <cellStyle name="Обычный 7 2 2 2 4 2 2" xfId="5362"/>
    <cellStyle name="Обычный 7 2 2 2 4 3" xfId="3972"/>
    <cellStyle name="Обычный 7 2 2 2 4 4" xfId="4521"/>
    <cellStyle name="Обычный 7 2 2 2 5" xfId="3232"/>
    <cellStyle name="Обычный 7 2 2 2 5 2" xfId="5358"/>
    <cellStyle name="Обычный 7 2 2 2 6" xfId="3968"/>
    <cellStyle name="Обычный 7 2 2 2 7" xfId="4150"/>
    <cellStyle name="Обычный 7 2 2 3" xfId="2052"/>
    <cellStyle name="Обычный 7 2 2 3 2" xfId="2546"/>
    <cellStyle name="Обычный 7 2 2 3 2 2" xfId="3238"/>
    <cellStyle name="Обычный 7 2 2 3 2 2 2" xfId="5364"/>
    <cellStyle name="Обычный 7 2 2 3 2 3" xfId="3974"/>
    <cellStyle name="Обычный 7 2 2 3 2 4" xfId="4673"/>
    <cellStyle name="Обычный 7 2 2 3 3" xfId="3237"/>
    <cellStyle name="Обычный 7 2 2 3 3 2" xfId="5363"/>
    <cellStyle name="Обычный 7 2 2 3 4" xfId="3973"/>
    <cellStyle name="Обычный 7 2 2 3 5" xfId="4259"/>
    <cellStyle name="Обычный 7 2 2 4" xfId="2283"/>
    <cellStyle name="Обычный 7 2 2 4 2" xfId="3239"/>
    <cellStyle name="Обычный 7 2 2 4 2 2" xfId="5365"/>
    <cellStyle name="Обычный 7 2 2 4 3" xfId="3975"/>
    <cellStyle name="Обычный 7 2 2 4 4" xfId="4410"/>
    <cellStyle name="Обычный 7 2 2 5" xfId="2393"/>
    <cellStyle name="Обычный 7 2 2 5 2" xfId="3240"/>
    <cellStyle name="Обычный 7 2 2 5 2 2" xfId="5366"/>
    <cellStyle name="Обычный 7 2 2 5 3" xfId="3976"/>
    <cellStyle name="Обычный 7 2 2 5 4" xfId="4520"/>
    <cellStyle name="Обычный 7 2 2 6" xfId="3231"/>
    <cellStyle name="Обычный 7 2 2 6 2" xfId="5357"/>
    <cellStyle name="Обычный 7 2 2 7" xfId="3967"/>
    <cellStyle name="Обычный 7 2 2 8" xfId="4149"/>
    <cellStyle name="Обычный 7 2 3" xfId="1415"/>
    <cellStyle name="Обычный 7 2 3 2" xfId="2054"/>
    <cellStyle name="Обычный 7 2 3 2 2" xfId="2548"/>
    <cellStyle name="Обычный 7 2 3 2 2 2" xfId="3243"/>
    <cellStyle name="Обычный 7 2 3 2 2 2 2" xfId="5369"/>
    <cellStyle name="Обычный 7 2 3 2 2 3" xfId="3979"/>
    <cellStyle name="Обычный 7 2 3 2 2 4" xfId="4675"/>
    <cellStyle name="Обычный 7 2 3 2 3" xfId="3242"/>
    <cellStyle name="Обычный 7 2 3 2 3 2" xfId="5368"/>
    <cellStyle name="Обычный 7 2 3 2 4" xfId="3978"/>
    <cellStyle name="Обычный 7 2 3 2 5" xfId="4261"/>
    <cellStyle name="Обычный 7 2 3 3" xfId="2285"/>
    <cellStyle name="Обычный 7 2 3 3 2" xfId="3244"/>
    <cellStyle name="Обычный 7 2 3 3 2 2" xfId="5370"/>
    <cellStyle name="Обычный 7 2 3 3 3" xfId="3980"/>
    <cellStyle name="Обычный 7 2 3 3 4" xfId="4412"/>
    <cellStyle name="Обычный 7 2 3 4" xfId="2395"/>
    <cellStyle name="Обычный 7 2 3 4 2" xfId="3245"/>
    <cellStyle name="Обычный 7 2 3 4 2 2" xfId="5371"/>
    <cellStyle name="Обычный 7 2 3 4 3" xfId="3981"/>
    <cellStyle name="Обычный 7 2 3 4 4" xfId="4522"/>
    <cellStyle name="Обычный 7 2 3 5" xfId="3241"/>
    <cellStyle name="Обычный 7 2 3 5 2" xfId="5367"/>
    <cellStyle name="Обычный 7 2 3 6" xfId="3977"/>
    <cellStyle name="Обычный 7 2 3 7" xfId="4151"/>
    <cellStyle name="Обычный 7 2 4" xfId="1412"/>
    <cellStyle name="Обычный 7 2 4 2" xfId="2064"/>
    <cellStyle name="Обычный 7 2 4 2 2" xfId="2557"/>
    <cellStyle name="Обычный 7 2 4 2 2 2" xfId="3248"/>
    <cellStyle name="Обычный 7 2 4 2 2 2 2" xfId="5374"/>
    <cellStyle name="Обычный 7 2 4 2 2 3" xfId="3984"/>
    <cellStyle name="Обычный 7 2 4 2 2 4" xfId="4684"/>
    <cellStyle name="Обычный 7 2 4 2 3" xfId="3247"/>
    <cellStyle name="Обычный 7 2 4 2 3 2" xfId="5373"/>
    <cellStyle name="Обычный 7 2 4 2 4" xfId="3983"/>
    <cellStyle name="Обычный 7 2 4 2 5" xfId="4270"/>
    <cellStyle name="Обычный 7 2 4 3" xfId="2404"/>
    <cellStyle name="Обычный 7 2 4 3 2" xfId="3249"/>
    <cellStyle name="Обычный 7 2 4 3 2 2" xfId="5375"/>
    <cellStyle name="Обычный 7 2 4 3 3" xfId="3985"/>
    <cellStyle name="Обычный 7 2 4 3 4" xfId="4531"/>
    <cellStyle name="Обычный 7 2 4 4" xfId="3246"/>
    <cellStyle name="Обычный 7 2 4 4 2" xfId="5372"/>
    <cellStyle name="Обычный 7 2 4 5" xfId="3982"/>
    <cellStyle name="Обычный 7 2 4 6" xfId="4148"/>
    <cellStyle name="Обычный 7 2 5" xfId="2108"/>
    <cellStyle name="Обычный 7 2 6" xfId="2051"/>
    <cellStyle name="Обычный 7 2 6 2" xfId="2545"/>
    <cellStyle name="Обычный 7 2 6 2 2" xfId="3251"/>
    <cellStyle name="Обычный 7 2 6 2 2 2" xfId="5377"/>
    <cellStyle name="Обычный 7 2 6 2 3" xfId="3987"/>
    <cellStyle name="Обычный 7 2 6 2 4" xfId="4672"/>
    <cellStyle name="Обычный 7 2 6 3" xfId="3250"/>
    <cellStyle name="Обычный 7 2 6 3 2" xfId="5376"/>
    <cellStyle name="Обычный 7 2 6 4" xfId="3986"/>
    <cellStyle name="Обычный 7 2 6 5" xfId="4258"/>
    <cellStyle name="Обычный 7 2 7" xfId="2282"/>
    <cellStyle name="Обычный 7 2 7 2" xfId="3252"/>
    <cellStyle name="Обычный 7 2 7 2 2" xfId="5378"/>
    <cellStyle name="Обычный 7 2 7 3" xfId="3988"/>
    <cellStyle name="Обычный 7 2 7 4" xfId="4409"/>
    <cellStyle name="Обычный 7 2 8" xfId="2392"/>
    <cellStyle name="Обычный 7 2 8 2" xfId="3253"/>
    <cellStyle name="Обычный 7 2 8 2 2" xfId="5379"/>
    <cellStyle name="Обычный 7 2 8 3" xfId="3989"/>
    <cellStyle name="Обычный 7 2 8 4" xfId="4519"/>
    <cellStyle name="Обычный 7 3" xfId="1416"/>
    <cellStyle name="Обычный 7 4" xfId="1417"/>
    <cellStyle name="Обычный 7 5" xfId="1411"/>
    <cellStyle name="Обычный 7 6" xfId="2109"/>
    <cellStyle name="Обычный 8" xfId="183"/>
    <cellStyle name="Обычный 8 10" xfId="2286"/>
    <cellStyle name="Обычный 8 10 2" xfId="3254"/>
    <cellStyle name="Обычный 8 10 2 2" xfId="5380"/>
    <cellStyle name="Обычный 8 10 3" xfId="3990"/>
    <cellStyle name="Обычный 8 10 4" xfId="4413"/>
    <cellStyle name="Обычный 8 11" xfId="2396"/>
    <cellStyle name="Обычный 8 11 2" xfId="3255"/>
    <cellStyle name="Обычный 8 11 2 2" xfId="5381"/>
    <cellStyle name="Обычный 8 11 3" xfId="3991"/>
    <cellStyle name="Обычный 8 11 4" xfId="4523"/>
    <cellStyle name="Обычный 8 2" xfId="184"/>
    <cellStyle name="Обычный 8 2 2" xfId="185"/>
    <cellStyle name="Обычный 8 2 3" xfId="2106"/>
    <cellStyle name="Обычный 8 3" xfId="186"/>
    <cellStyle name="Обычный 8 4" xfId="187"/>
    <cellStyle name="Обычный 8 4 2" xfId="1419"/>
    <cellStyle name="Обычный 8 4 3" xfId="2105"/>
    <cellStyle name="Обычный 8 5" xfId="1420"/>
    <cellStyle name="Обычный 8 5 2" xfId="2056"/>
    <cellStyle name="Обычный 8 5 2 2" xfId="2550"/>
    <cellStyle name="Обычный 8 5 2 2 2" xfId="3258"/>
    <cellStyle name="Обычный 8 5 2 2 2 2" xfId="5384"/>
    <cellStyle name="Обычный 8 5 2 2 3" xfId="3994"/>
    <cellStyle name="Обычный 8 5 2 2 4" xfId="4677"/>
    <cellStyle name="Обычный 8 5 2 3" xfId="3257"/>
    <cellStyle name="Обычный 8 5 2 3 2" xfId="5383"/>
    <cellStyle name="Обычный 8 5 2 4" xfId="3993"/>
    <cellStyle name="Обычный 8 5 2 5" xfId="4263"/>
    <cellStyle name="Обычный 8 5 3" xfId="2287"/>
    <cellStyle name="Обычный 8 5 3 2" xfId="3259"/>
    <cellStyle name="Обычный 8 5 3 2 2" xfId="5385"/>
    <cellStyle name="Обычный 8 5 3 3" xfId="3995"/>
    <cellStyle name="Обычный 8 5 3 4" xfId="4414"/>
    <cellStyle name="Обычный 8 5 4" xfId="2397"/>
    <cellStyle name="Обычный 8 5 4 2" xfId="3260"/>
    <cellStyle name="Обычный 8 5 4 2 2" xfId="5386"/>
    <cellStyle name="Обычный 8 5 4 3" xfId="3996"/>
    <cellStyle name="Обычный 8 5 4 4" xfId="4524"/>
    <cellStyle name="Обычный 8 5 5" xfId="3256"/>
    <cellStyle name="Обычный 8 5 5 2" xfId="5382"/>
    <cellStyle name="Обычный 8 5 6" xfId="3992"/>
    <cellStyle name="Обычный 8 5 7" xfId="4153"/>
    <cellStyle name="Обычный 8 6" xfId="1610"/>
    <cellStyle name="Обычный 8 6 2" xfId="2060"/>
    <cellStyle name="Обычный 8 6 2 2" xfId="2554"/>
    <cellStyle name="Обычный 8 6 2 2 2" xfId="3263"/>
    <cellStyle name="Обычный 8 6 2 2 2 2" xfId="5389"/>
    <cellStyle name="Обычный 8 6 2 2 3" xfId="3999"/>
    <cellStyle name="Обычный 8 6 2 2 4" xfId="4681"/>
    <cellStyle name="Обычный 8 6 2 3" xfId="3262"/>
    <cellStyle name="Обычный 8 6 2 3 2" xfId="5388"/>
    <cellStyle name="Обычный 8 6 2 4" xfId="3998"/>
    <cellStyle name="Обычный 8 6 2 5" xfId="4267"/>
    <cellStyle name="Обычный 8 6 3" xfId="2291"/>
    <cellStyle name="Обычный 8 6 3 2" xfId="3264"/>
    <cellStyle name="Обычный 8 6 3 2 2" xfId="5390"/>
    <cellStyle name="Обычный 8 6 3 3" xfId="4000"/>
    <cellStyle name="Обычный 8 6 3 4" xfId="4418"/>
    <cellStyle name="Обычный 8 6 4" xfId="2401"/>
    <cellStyle name="Обычный 8 6 4 2" xfId="3265"/>
    <cellStyle name="Обычный 8 6 4 2 2" xfId="5391"/>
    <cellStyle name="Обычный 8 6 4 3" xfId="4001"/>
    <cellStyle name="Обычный 8 6 4 4" xfId="4528"/>
    <cellStyle name="Обычный 8 6 5" xfId="3261"/>
    <cellStyle name="Обычный 8 6 5 2" xfId="5387"/>
    <cellStyle name="Обычный 8 6 6" xfId="3997"/>
    <cellStyle name="Обычный 8 6 7" xfId="4157"/>
    <cellStyle name="Обычный 8 7" xfId="1418"/>
    <cellStyle name="Обычный 8 7 2" xfId="2063"/>
    <cellStyle name="Обычный 8 7 2 2" xfId="2556"/>
    <cellStyle name="Обычный 8 7 2 2 2" xfId="3268"/>
    <cellStyle name="Обычный 8 7 2 2 2 2" xfId="5394"/>
    <cellStyle name="Обычный 8 7 2 2 3" xfId="4004"/>
    <cellStyle name="Обычный 8 7 2 2 4" xfId="4683"/>
    <cellStyle name="Обычный 8 7 2 3" xfId="3267"/>
    <cellStyle name="Обычный 8 7 2 3 2" xfId="5393"/>
    <cellStyle name="Обычный 8 7 2 4" xfId="4003"/>
    <cellStyle name="Обычный 8 7 2 5" xfId="4269"/>
    <cellStyle name="Обычный 8 7 3" xfId="2403"/>
    <cellStyle name="Обычный 8 7 3 2" xfId="3269"/>
    <cellStyle name="Обычный 8 7 3 2 2" xfId="5395"/>
    <cellStyle name="Обычный 8 7 3 3" xfId="4005"/>
    <cellStyle name="Обычный 8 7 3 4" xfId="4530"/>
    <cellStyle name="Обычный 8 7 4" xfId="3266"/>
    <cellStyle name="Обычный 8 7 4 2" xfId="5392"/>
    <cellStyle name="Обычный 8 7 5" xfId="4002"/>
    <cellStyle name="Обычный 8 7 6" xfId="4152"/>
    <cellStyle name="Обычный 8 8" xfId="2107"/>
    <cellStyle name="Обычный 8 9" xfId="2055"/>
    <cellStyle name="Обычный 8 9 2" xfId="2549"/>
    <cellStyle name="Обычный 8 9 2 2" xfId="3271"/>
    <cellStyle name="Обычный 8 9 2 2 2" xfId="5397"/>
    <cellStyle name="Обычный 8 9 2 3" xfId="4007"/>
    <cellStyle name="Обычный 8 9 2 4" xfId="4676"/>
    <cellStyle name="Обычный 8 9 3" xfId="3270"/>
    <cellStyle name="Обычный 8 9 3 2" xfId="5396"/>
    <cellStyle name="Обычный 8 9 4" xfId="4006"/>
    <cellStyle name="Обычный 8 9 5" xfId="4262"/>
    <cellStyle name="Обычный 9" xfId="188"/>
    <cellStyle name="Обычный 9 2" xfId="189"/>
    <cellStyle name="Обычный 9 2 2" xfId="1422"/>
    <cellStyle name="Обычный 9 2 3" xfId="2103"/>
    <cellStyle name="Обычный 9 3" xfId="1421"/>
    <cellStyle name="Обычный 9 4" xfId="2104"/>
    <cellStyle name="Обычный_Нагрузки для тарифа 12г." xfId="2582"/>
    <cellStyle name="Підсумок" xfId="1423"/>
    <cellStyle name="Підсумок 1" xfId="1424"/>
    <cellStyle name="Підсумок 1 2" xfId="1873"/>
    <cellStyle name="Підсумок 2" xfId="1425"/>
    <cellStyle name="Підсумок 2 2" xfId="1872"/>
    <cellStyle name="Підсумок 3" xfId="1426"/>
    <cellStyle name="Підсумок 3 2" xfId="1871"/>
    <cellStyle name="Підсумок 4" xfId="1427"/>
    <cellStyle name="Підсумок 4 2" xfId="1870"/>
    <cellStyle name="Підсумок 5" xfId="1874"/>
    <cellStyle name="Підсумок_ЗапасыЛена2" xfId="1428"/>
    <cellStyle name="Плохой 2" xfId="190"/>
    <cellStyle name="Плохой 2 2" xfId="1429"/>
    <cellStyle name="Плохой 2 3" xfId="1430"/>
    <cellStyle name="Плохой 2 4" xfId="1431"/>
    <cellStyle name="Плохой 3" xfId="1432"/>
    <cellStyle name="Плохой 4" xfId="1433"/>
    <cellStyle name="Плохой 5" xfId="1434"/>
    <cellStyle name="Поганий" xfId="1435"/>
    <cellStyle name="Поганий 1" xfId="1436"/>
    <cellStyle name="Поганий 2" xfId="1437"/>
    <cellStyle name="Поганий 3" xfId="1438"/>
    <cellStyle name="Поганий 4" xfId="1439"/>
    <cellStyle name="Поганий_ЗапасыЛена2" xfId="1440"/>
    <cellStyle name="Пояснение 2" xfId="191"/>
    <cellStyle name="Пояснение 2 2" xfId="1441"/>
    <cellStyle name="Пояснение 2 3" xfId="1442"/>
    <cellStyle name="Пояснение 2 4" xfId="1772"/>
    <cellStyle name="Пояснение 3" xfId="1443"/>
    <cellStyle name="Пояснение 4" xfId="1444"/>
    <cellStyle name="Пояснение 5" xfId="1445"/>
    <cellStyle name="Пояснение 6" xfId="1446"/>
    <cellStyle name="Примечание 2" xfId="192"/>
    <cellStyle name="Примечание 2 2" xfId="1448"/>
    <cellStyle name="Примечание 2 2 2" xfId="1932"/>
    <cellStyle name="Примечание 2 3" xfId="1449"/>
    <cellStyle name="Примечание 2 3 2" xfId="1933"/>
    <cellStyle name="Примечание 2 4" xfId="1450"/>
    <cellStyle name="Примечание 2 4 2" xfId="1934"/>
    <cellStyle name="Примечание 2 5" xfId="1451"/>
    <cellStyle name="Примечание 2 5 2" xfId="1794"/>
    <cellStyle name="Примечание 2 5 2 2" xfId="1936"/>
    <cellStyle name="Примечание 2 5 3" xfId="1935"/>
    <cellStyle name="Примечание 2 6" xfId="1452"/>
    <cellStyle name="Примечание 2 6 2" xfId="1937"/>
    <cellStyle name="Примечание 2 7" xfId="1931"/>
    <cellStyle name="Примечание 2 8" xfId="1447"/>
    <cellStyle name="Примечание 2 9" xfId="2102"/>
    <cellStyle name="Примечание 3" xfId="1453"/>
    <cellStyle name="Примечание 3 2" xfId="1795"/>
    <cellStyle name="Примечание 3 2 2" xfId="1939"/>
    <cellStyle name="Примечание 3 3" xfId="1938"/>
    <cellStyle name="Примечание 4" xfId="1454"/>
    <cellStyle name="Примечание 4 2" xfId="1940"/>
    <cellStyle name="Примечание 5" xfId="1455"/>
    <cellStyle name="Примечание 5 2" xfId="1941"/>
    <cellStyle name="Примечание 6" xfId="1456"/>
    <cellStyle name="Примечание 6 2" xfId="1942"/>
    <cellStyle name="Примечание 7" xfId="1457"/>
    <cellStyle name="Примечание 7 2" xfId="1943"/>
    <cellStyle name="Примітка" xfId="1458"/>
    <cellStyle name="Примітка 1" xfId="1459"/>
    <cellStyle name="Примітка 1 2" xfId="1945"/>
    <cellStyle name="Примітка 2" xfId="1460"/>
    <cellStyle name="Примітка 2 2" xfId="1946"/>
    <cellStyle name="Примітка 3" xfId="1461"/>
    <cellStyle name="Примітка 3 2" xfId="1947"/>
    <cellStyle name="Примітка 4" xfId="1462"/>
    <cellStyle name="Примітка 4 2" xfId="1948"/>
    <cellStyle name="Примітка 5" xfId="1944"/>
    <cellStyle name="Примітка_ЗапасыЛена2" xfId="1463"/>
    <cellStyle name="Процентный 10" xfId="1464"/>
    <cellStyle name="Процентный 11" xfId="1465"/>
    <cellStyle name="Процентный 12" xfId="1466"/>
    <cellStyle name="Процентный 13" xfId="1467"/>
    <cellStyle name="Процентный 14" xfId="1468"/>
    <cellStyle name="Процентный 15" xfId="1469"/>
    <cellStyle name="Процентный 16" xfId="1611"/>
    <cellStyle name="Процентный 16 2" xfId="1796"/>
    <cellStyle name="Процентный 16 3" xfId="2061"/>
    <cellStyle name="Процентный 16 3 2" xfId="2555"/>
    <cellStyle name="Процентный 16 3 2 2" xfId="3274"/>
    <cellStyle name="Процентный 16 3 2 2 2" xfId="5400"/>
    <cellStyle name="Процентный 16 3 2 3" xfId="4010"/>
    <cellStyle name="Процентный 16 3 2 4" xfId="4682"/>
    <cellStyle name="Процентный 16 3 3" xfId="3273"/>
    <cellStyle name="Процентный 16 3 3 2" xfId="5399"/>
    <cellStyle name="Процентный 16 3 4" xfId="4009"/>
    <cellStyle name="Процентный 16 3 5" xfId="4268"/>
    <cellStyle name="Процентный 16 4" xfId="2292"/>
    <cellStyle name="Процентный 16 4 2" xfId="3275"/>
    <cellStyle name="Процентный 16 4 2 2" xfId="5401"/>
    <cellStyle name="Процентный 16 4 3" xfId="4011"/>
    <cellStyle name="Процентный 16 4 4" xfId="4419"/>
    <cellStyle name="Процентный 16 5" xfId="2402"/>
    <cellStyle name="Процентный 16 5 2" xfId="3276"/>
    <cellStyle name="Процентный 16 5 2 2" xfId="5402"/>
    <cellStyle name="Процентный 16 5 3" xfId="4012"/>
    <cellStyle name="Процентный 16 5 4" xfId="4529"/>
    <cellStyle name="Процентный 16 6" xfId="3272"/>
    <cellStyle name="Процентный 16 6 2" xfId="5398"/>
    <cellStyle name="Процентный 16 7" xfId="4008"/>
    <cellStyle name="Процентный 16 8" xfId="4158"/>
    <cellStyle name="Процентный 17" xfId="1843"/>
    <cellStyle name="Процентный 18" xfId="2088"/>
    <cellStyle name="Процентный 2" xfId="8"/>
    <cellStyle name="Процентный 2 10" xfId="1470"/>
    <cellStyle name="Процентный 2 11" xfId="1471"/>
    <cellStyle name="Процентный 2 12" xfId="1472"/>
    <cellStyle name="Процентный 2 13" xfId="1473"/>
    <cellStyle name="Процентный 2 14" xfId="1474"/>
    <cellStyle name="Процентный 2 15" xfId="1475"/>
    <cellStyle name="Процентный 2 16" xfId="1476"/>
    <cellStyle name="Процентный 2 17" xfId="1477"/>
    <cellStyle name="Процентный 2 18" xfId="1478"/>
    <cellStyle name="Процентный 2 19" xfId="1479"/>
    <cellStyle name="Процентный 2 2" xfId="193"/>
    <cellStyle name="Процентный 2 2 2" xfId="194"/>
    <cellStyle name="Процентный 2 2 2 2" xfId="1798"/>
    <cellStyle name="Процентный 2 2 3" xfId="1480"/>
    <cellStyle name="Процентный 2 2 4" xfId="1797"/>
    <cellStyle name="Процентный 2 2 5" xfId="2101"/>
    <cellStyle name="Процентный 2 20" xfId="1481"/>
    <cellStyle name="Процентный 2 21" xfId="1482"/>
    <cellStyle name="Процентный 2 22" xfId="1773"/>
    <cellStyle name="Процентный 2 23" xfId="2163"/>
    <cellStyle name="Процентный 2 3" xfId="195"/>
    <cellStyle name="Процентный 2 3 2" xfId="1483"/>
    <cellStyle name="Процентный 2 3 3" xfId="2100"/>
    <cellStyle name="Процентный 2 4" xfId="1484"/>
    <cellStyle name="Процентный 2 5" xfId="1485"/>
    <cellStyle name="Процентный 2 6" xfId="1486"/>
    <cellStyle name="Процентный 2 7" xfId="1487"/>
    <cellStyle name="Процентный 2 8" xfId="1488"/>
    <cellStyle name="Процентный 2 9" xfId="1489"/>
    <cellStyle name="Процентный 2_Директор 2011-Шаблон" xfId="1490"/>
    <cellStyle name="Процентный 3" xfId="196"/>
    <cellStyle name="Процентный 3 2" xfId="197"/>
    <cellStyle name="Процентный 3 2 2" xfId="1493"/>
    <cellStyle name="Процентный 3 2 2 2" xfId="1494"/>
    <cellStyle name="Процентный 3 2 3" xfId="1495"/>
    <cellStyle name="Процентный 3 2 4" xfId="1492"/>
    <cellStyle name="Процентный 3 2 5" xfId="2098"/>
    <cellStyle name="Процентный 3 3" xfId="1496"/>
    <cellStyle name="Процентный 3 4" xfId="1497"/>
    <cellStyle name="Процентный 3 5" xfId="1491"/>
    <cellStyle name="Процентный 3 6" xfId="2099"/>
    <cellStyle name="Процентный 4" xfId="198"/>
    <cellStyle name="Процентный 4 2" xfId="1498"/>
    <cellStyle name="Процентный 4 2 2" xfId="1799"/>
    <cellStyle name="Процентный 4 3" xfId="1499"/>
    <cellStyle name="Процентный 4 3 2" xfId="1800"/>
    <cellStyle name="Процентный 5" xfId="199"/>
    <cellStyle name="Процентный 5 2" xfId="1801"/>
    <cellStyle name="Процентный 6" xfId="1500"/>
    <cellStyle name="Процентный 6 2" xfId="1501"/>
    <cellStyle name="Процентный 6 2 2" xfId="1502"/>
    <cellStyle name="Процентный 6 3" xfId="1503"/>
    <cellStyle name="Процентный 7" xfId="1504"/>
    <cellStyle name="Процентный 8" xfId="1505"/>
    <cellStyle name="Процентный 9" xfId="1506"/>
    <cellStyle name="Результат" xfId="1507"/>
    <cellStyle name="Результат 1" xfId="1508"/>
    <cellStyle name="Результат 1 1" xfId="1509"/>
    <cellStyle name="Результат 1 1 2" xfId="1867"/>
    <cellStyle name="Результат 1 2" xfId="1868"/>
    <cellStyle name="Результат 1_УГПБ" xfId="1510"/>
    <cellStyle name="Результат 10" xfId="2171"/>
    <cellStyle name="Результат 2" xfId="1511"/>
    <cellStyle name="Результат 2 2" xfId="1866"/>
    <cellStyle name="Результат 3" xfId="1512"/>
    <cellStyle name="Результат 3 2" xfId="1865"/>
    <cellStyle name="Результат 4" xfId="1513"/>
    <cellStyle name="Результат 4 2" xfId="1864"/>
    <cellStyle name="Результат 5" xfId="1514"/>
    <cellStyle name="Результат 5 2" xfId="1863"/>
    <cellStyle name="Результат 6" xfId="1869"/>
    <cellStyle name="Результат 7" xfId="1949"/>
    <cellStyle name="Результат 8" xfId="2062"/>
    <cellStyle name="Результат 9" xfId="2169"/>
    <cellStyle name="Связанная ячейка 2" xfId="200"/>
    <cellStyle name="Связанная ячейка 2 2" xfId="1515"/>
    <cellStyle name="Связанная ячейка 3" xfId="1516"/>
    <cellStyle name="Середній" xfId="1517"/>
    <cellStyle name="Середній 1" xfId="1518"/>
    <cellStyle name="Середній 2" xfId="1519"/>
    <cellStyle name="Середній 3" xfId="1520"/>
    <cellStyle name="Середній 4" xfId="1521"/>
    <cellStyle name="Середній_ЗапасыЛена2" xfId="1522"/>
    <cellStyle name="Стиль 1" xfId="1523"/>
    <cellStyle name="Стиль 1 2" xfId="1524"/>
    <cellStyle name="Стиль 1_Директор 2011-Шаблон" xfId="1525"/>
    <cellStyle name="Стиль ПЭО" xfId="1526"/>
    <cellStyle name="Стиль_названий" xfId="1527"/>
    <cellStyle name="Текст попередження" xfId="1528"/>
    <cellStyle name="Текст попередження 1" xfId="1529"/>
    <cellStyle name="Текст попередження 2" xfId="1530"/>
    <cellStyle name="Текст попередження 3" xfId="1531"/>
    <cellStyle name="Текст попередження 4" xfId="1532"/>
    <cellStyle name="Текст попередження_ЗапасыЛена2" xfId="1533"/>
    <cellStyle name="Текст пояснення" xfId="1534"/>
    <cellStyle name="Текст пояснення 1" xfId="1535"/>
    <cellStyle name="Текст пояснення 2" xfId="1536"/>
    <cellStyle name="Текст пояснення 3" xfId="1537"/>
    <cellStyle name="Текст пояснення 4" xfId="1538"/>
    <cellStyle name="Текст пояснення_ЗапасыЛена2" xfId="1539"/>
    <cellStyle name="Текст предупреждения 2" xfId="201"/>
    <cellStyle name="Текст предупреждения 2 2" xfId="1540"/>
    <cellStyle name="Текст предупреждения 3" xfId="1541"/>
    <cellStyle name="Тысячи [0]_1.62" xfId="1542"/>
    <cellStyle name="Тысячи_1.62" xfId="1543"/>
    <cellStyle name="Финансовый" xfId="260" builtinId="3"/>
    <cellStyle name="Финансовый [0] 2" xfId="202"/>
    <cellStyle name="Финансовый 10" xfId="1544"/>
    <cellStyle name="Финансовый 11" xfId="1545"/>
    <cellStyle name="Финансовый 12" xfId="1546"/>
    <cellStyle name="Финансовый 13" xfId="1547"/>
    <cellStyle name="Финансовый 14" xfId="1548"/>
    <cellStyle name="Финансовый 15" xfId="1549"/>
    <cellStyle name="Финансовый 16" xfId="1550"/>
    <cellStyle name="Финансовый 17" xfId="1551"/>
    <cellStyle name="Финансовый 18" xfId="1552"/>
    <cellStyle name="Финансовый 19" xfId="1553"/>
    <cellStyle name="Финансовый 2" xfId="3"/>
    <cellStyle name="Финансовый 2 10" xfId="1554"/>
    <cellStyle name="Финансовый 2 10 2" xfId="1802"/>
    <cellStyle name="Финансовый 2 11" xfId="1555"/>
    <cellStyle name="Финансовый 2 11 2" xfId="1803"/>
    <cellStyle name="Финансовый 2 12" xfId="1556"/>
    <cellStyle name="Финансовый 2 12 2" xfId="1804"/>
    <cellStyle name="Финансовый 2 13" xfId="1557"/>
    <cellStyle name="Финансовый 2 13 2" xfId="1805"/>
    <cellStyle name="Финансовый 2 14" xfId="1558"/>
    <cellStyle name="Финансовый 2 14 2" xfId="1806"/>
    <cellStyle name="Финансовый 2 15" xfId="1559"/>
    <cellStyle name="Финансовый 2 15 2" xfId="1807"/>
    <cellStyle name="Финансовый 2 16" xfId="1560"/>
    <cellStyle name="Финансовый 2 16 2" xfId="1808"/>
    <cellStyle name="Финансовый 2 17" xfId="1561"/>
    <cellStyle name="Финансовый 2 17 2" xfId="1809"/>
    <cellStyle name="Финансовый 2 18" xfId="1562"/>
    <cellStyle name="Финансовый 2 19" xfId="1563"/>
    <cellStyle name="Финансовый 2 2" xfId="203"/>
    <cellStyle name="Финансовый 2 2 2" xfId="204"/>
    <cellStyle name="Финансовый 2 2 2 2" xfId="1564"/>
    <cellStyle name="Финансовый 2 2 2 3" xfId="2097"/>
    <cellStyle name="Финансовый 2 2 3" xfId="1565"/>
    <cellStyle name="Финансовый 2 2 3 2" xfId="1810"/>
    <cellStyle name="Финансовый 2 2 4" xfId="1566"/>
    <cellStyle name="Финансовый 2 20" xfId="1567"/>
    <cellStyle name="Финансовый 2 21" xfId="1568"/>
    <cellStyle name="Финансовый 2 22" xfId="1569"/>
    <cellStyle name="Финансовый 2 23" xfId="1570"/>
    <cellStyle name="Финансовый 2 24" xfId="2166"/>
    <cellStyle name="Финансовый 2 3" xfId="205"/>
    <cellStyle name="Финансовый 2 3 2" xfId="1811"/>
    <cellStyle name="Финансовый 2 3 3" xfId="1571"/>
    <cellStyle name="Финансовый 2 3 4" xfId="2096"/>
    <cellStyle name="Финансовый 2 4" xfId="206"/>
    <cellStyle name="Финансовый 2 4 2" xfId="1812"/>
    <cellStyle name="Финансовый 2 4 3" xfId="1572"/>
    <cellStyle name="Финансовый 2 4 4" xfId="2095"/>
    <cellStyle name="Финансовый 2 5" xfId="207"/>
    <cellStyle name="Финансовый 2 5 2" xfId="1813"/>
    <cellStyle name="Финансовый 2 5 3" xfId="1573"/>
    <cellStyle name="Финансовый 2 5 4" xfId="2094"/>
    <cellStyle name="Финансовый 2 6" xfId="208"/>
    <cellStyle name="Финансовый 2 6 2" xfId="1814"/>
    <cellStyle name="Финансовый 2 6 3" xfId="1574"/>
    <cellStyle name="Финансовый 2 6 4" xfId="2093"/>
    <cellStyle name="Финансовый 2 7" xfId="259"/>
    <cellStyle name="Финансовый 2 7 2" xfId="1815"/>
    <cellStyle name="Финансовый 2 7 3" xfId="1575"/>
    <cellStyle name="Финансовый 2 7 4" xfId="2086"/>
    <cellStyle name="Финансовый 2 8" xfId="1576"/>
    <cellStyle name="Финансовый 2 8 2" xfId="1816"/>
    <cellStyle name="Финансовый 2 9" xfId="1577"/>
    <cellStyle name="Финансовый 2 9 2" xfId="1817"/>
    <cellStyle name="Финансовый 2_Директор 2011-Шаблон" xfId="1578"/>
    <cellStyle name="Финансовый 20" xfId="1579"/>
    <cellStyle name="Финансовый 21" xfId="1580"/>
    <cellStyle name="Финансовый 22" xfId="2085"/>
    <cellStyle name="Финансовый 23" xfId="2173"/>
    <cellStyle name="Финансовый 24" xfId="2174"/>
    <cellStyle name="Финансовый 25" xfId="2172"/>
    <cellStyle name="Финансовый 26" xfId="2175"/>
    <cellStyle name="Финансовый 27" xfId="2177"/>
    <cellStyle name="Финансовый 28" xfId="2181"/>
    <cellStyle name="Финансовый 29" xfId="2182"/>
    <cellStyle name="Финансовый 3" xfId="4"/>
    <cellStyle name="Финансовый 3 2" xfId="209"/>
    <cellStyle name="Финансовый 3 2 2" xfId="1581"/>
    <cellStyle name="Финансовый 3 3" xfId="210"/>
    <cellStyle name="Финансовый 3 4" xfId="211"/>
    <cellStyle name="Финансовый 3 4 2" xfId="1582"/>
    <cellStyle name="Финансовый 3 4 3" xfId="2092"/>
    <cellStyle name="Финансовый 3 5" xfId="1583"/>
    <cellStyle name="Финансовый 3 6" xfId="1584"/>
    <cellStyle name="Финансовый 3 7" xfId="1585"/>
    <cellStyle name="Финансовый 3 8" xfId="1586"/>
    <cellStyle name="Финансовый 30" xfId="2178"/>
    <cellStyle name="Финансовый 31" xfId="2176"/>
    <cellStyle name="Финансовый 32" xfId="2180"/>
    <cellStyle name="Финансовый 33" xfId="2179"/>
    <cellStyle name="Финансовый 34" xfId="2183"/>
    <cellStyle name="Финансовый 35" xfId="2184"/>
    <cellStyle name="Финансовый 4" xfId="212"/>
    <cellStyle name="Финансовый 4 2" xfId="1588"/>
    <cellStyle name="Финансовый 4 2 2" xfId="1819"/>
    <cellStyle name="Финансовый 4 3" xfId="1589"/>
    <cellStyle name="Финансовый 4 3 2" xfId="1820"/>
    <cellStyle name="Финансовый 4 4" xfId="1590"/>
    <cellStyle name="Финансовый 4 5" xfId="1591"/>
    <cellStyle name="Финансовый 4 6" xfId="1592"/>
    <cellStyle name="Финансовый 4 7" xfId="1593"/>
    <cellStyle name="Финансовый 4 7 2" xfId="1821"/>
    <cellStyle name="Финансовый 4 8" xfId="1818"/>
    <cellStyle name="Финансовый 4 9" xfId="1587"/>
    <cellStyle name="Финансовый 5" xfId="1594"/>
    <cellStyle name="Финансовый 5 2" xfId="1822"/>
    <cellStyle name="Финансовый 6" xfId="1595"/>
    <cellStyle name="Финансовый 7" xfId="1596"/>
    <cellStyle name="Финансовый 8" xfId="1597"/>
    <cellStyle name="Финансовый 9" xfId="1598"/>
    <cellStyle name="Фінансовий 2" xfId="213"/>
    <cellStyle name="Хороший 2" xfId="214"/>
    <cellStyle name="Хороший 2 2" xfId="1599"/>
    <cellStyle name="Хороший 2 3" xfId="1600"/>
    <cellStyle name="Хороший 2 4" xfId="1601"/>
    <cellStyle name="Хороший 3" xfId="1602"/>
    <cellStyle name="Хороший 4" xfId="1603"/>
    <cellStyle name="числовой" xfId="1604"/>
    <cellStyle name="Ю" xfId="1605"/>
    <cellStyle name="Ю-FreeSet_10" xfId="1606"/>
  </cellStyles>
  <dxfs count="43">
    <dxf>
      <font>
        <b val="0"/>
        <i val="0"/>
        <strike val="0"/>
        <condense val="0"/>
        <extend val="0"/>
        <outline val="0"/>
        <shadow val="0"/>
        <u val="none"/>
        <vertAlign val="baseline"/>
        <sz val="11"/>
        <color theme="1"/>
        <name val="Times New Roman"/>
        <scheme val="none"/>
      </font>
      <numFmt numFmtId="2" formatCode="0.00"/>
      <fill>
        <patternFill patternType="solid">
          <fgColor indexed="64"/>
          <bgColor rgb="FFFFFF00"/>
        </patternFill>
      </fill>
      <alignment horizontal="center" vertical="center"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1"/>
        <color theme="1"/>
        <name val="Times New Roman"/>
        <scheme val="none"/>
      </font>
      <numFmt numFmtId="171" formatCode="0.0000000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179" formatCode="0.000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Times New Roman"/>
        <scheme val="none"/>
      </font>
      <numFmt numFmtId="212" formatCode="0.000000"/>
      <fill>
        <patternFill patternType="solid">
          <fgColor indexed="64"/>
          <bgColor rgb="FFFFFF00"/>
        </patternFill>
      </fill>
      <alignment horizontal="center"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theme="1"/>
        <name val="Times New Roman"/>
        <scheme val="none"/>
      </font>
      <numFmt numFmtId="177" formatCode="0.0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Times New Roman"/>
        <scheme val="none"/>
      </font>
      <numFmt numFmtId="175"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theme="1"/>
        <name val="Times New Roman"/>
        <scheme val="none"/>
      </font>
      <numFmt numFmtId="177" formatCode="0.0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Times New Roman"/>
        <scheme val="none"/>
      </font>
      <numFmt numFmtId="212" formatCode="0.00000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i val="0"/>
        <strike val="0"/>
        <condense val="0"/>
        <extend val="0"/>
        <outline val="0"/>
        <shadow val="0"/>
        <u val="none"/>
        <vertAlign val="baseline"/>
        <sz val="10"/>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scheme val="none"/>
      </font>
      <numFmt numFmtId="213" formatCode="0.0000000"/>
      <fill>
        <patternFill patternType="none">
          <fgColor indexed="64"/>
          <bgColor indexed="65"/>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Times New Roman"/>
        <scheme val="none"/>
      </font>
      <numFmt numFmtId="177" formatCode="0.0000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Times New Roman"/>
        <scheme val="none"/>
      </font>
      <numFmt numFmtId="2" formatCode="0.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Times New Roman"/>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1"/>
        <color theme="1"/>
        <name val="Times New Roman"/>
        <scheme val="none"/>
      </font>
      <numFmt numFmtId="4" formatCode="#,##0.00"/>
      <fill>
        <patternFill patternType="none">
          <fgColor indexed="64"/>
          <bgColor indexed="65"/>
        </patternFill>
      </fill>
      <alignment horizontal="center"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rgb="FFFF0000"/>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FF0000"/>
        <name val="Times New Roman"/>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rgb="FFFF0000"/>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FF0000"/>
        <name val="Times New Roman"/>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Times New Roman"/>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Times New Roman"/>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Times New Roman"/>
        <scheme val="none"/>
      </font>
      <numFmt numFmtId="1" formatCode="0"/>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FF0000"/>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FF0000"/>
        <name val="Times New Roman"/>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 formatCode="0"/>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Times New Roman"/>
        <scheme val="none"/>
      </font>
      <numFmt numFmtId="1" formatCode="0"/>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numFmt numFmtId="1" formatCode="0"/>
      <alignment horizontal="left" vertical="top"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thin">
          <color auto="1"/>
        </left>
        <right style="thin">
          <color auto="1"/>
        </right>
        <top style="thin">
          <color rgb="FF000000"/>
        </top>
        <bottom style="thin">
          <color auto="1"/>
        </bottom>
      </border>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7C80"/>
      <color rgb="FFFFCC00"/>
      <color rgb="FF00FFFF"/>
      <color rgb="FFEC20C5"/>
      <color rgb="FF8F31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1052;&#1086;&#1080;%20&#1076;&#1086;&#1082;&#1091;&#1084;&#1077;&#1085;&#1090;&#1099;\PEV20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o12\c\&#1052;&#1086;&#1080;%20&#1076;&#1086;&#1082;&#1091;&#1084;&#1077;&#1085;&#1090;&#1099;\PEV20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утв."/>
      <sheetName val="812 (2)"/>
      <sheetName val="812"/>
      <sheetName val="0"/>
      <sheetName val="1"/>
      <sheetName val="2"/>
      <sheetName val="2 утв"/>
      <sheetName val="3 не сокр."/>
      <sheetName val="3 тар."/>
      <sheetName val="4 утв"/>
      <sheetName val="rem"/>
      <sheetName val="5"/>
      <sheetName val="6"/>
      <sheetName val="7"/>
      <sheetName val="8"/>
      <sheetName val="3кв "/>
      <sheetName val="1998"/>
      <sheetName val="9 (2)"/>
      <sheetName val="9"/>
      <sheetName val="10"/>
      <sheetName val="11"/>
      <sheetName val="12"/>
      <sheetName val="бюджет травня факт"/>
      <sheetName val="бюджет травня"/>
      <sheetName val="бюджет червня"/>
      <sheetName val="бюджет липня"/>
      <sheetName val="бюджет серпня "/>
      <sheetName val="бюджет вересня"/>
      <sheetName val="бюджет жовтня"/>
      <sheetName val="бюджет листоп."/>
      <sheetName val="бюджет грудня"/>
      <sheetName val="план підр."/>
      <sheetName val="прот."/>
      <sheetName val="1 кв"/>
      <sheetName val="2 кв"/>
      <sheetName val="1півр"/>
      <sheetName val="7 міс"/>
      <sheetName val="8 міс."/>
      <sheetName val="3кв"/>
      <sheetName val="9 міс."/>
      <sheetName val="10 міс."/>
      <sheetName val="11 міс."/>
      <sheetName val="12 міс."/>
      <sheetName val="пок.ен.1к"/>
      <sheetName val="пок.ен.2к"/>
      <sheetName val="пок.ен.3к "/>
      <sheetName val="пок.ен.4к  "/>
      <sheetName val="Лист1"/>
      <sheetName val="Лист1 (2)"/>
      <sheetName val="Лист2"/>
      <sheetName val="sm20 3кв"/>
      <sheetName val="3 утв_"/>
      <sheetName val="812 _2_"/>
      <sheetName val="3 не сокр_"/>
      <sheetName val="3 тар_"/>
      <sheetName val="9 _2_"/>
      <sheetName val="8 міс_"/>
      <sheetName val="9 міс_"/>
      <sheetName val="10 міс_"/>
      <sheetName val="11 міс_"/>
      <sheetName val="12 міс_"/>
      <sheetName val="СправСтатей"/>
      <sheetName val="СправСтатейРасхУК"/>
      <sheetName val="Lead"/>
      <sheetName val="XREF"/>
      <sheetName val="Depreciation"/>
      <sheetName val="tar ee 99"/>
    </sheetNames>
    <sheetDataSet>
      <sheetData sheetId="0" refreshError="1">
        <row r="21">
          <cell r="AI21" t="str">
            <v xml:space="preserve">         Затверджую</v>
          </cell>
        </row>
        <row r="22">
          <cell r="AI22" t="str">
            <v xml:space="preserve"> Голова правління -</v>
          </cell>
        </row>
        <row r="23">
          <cell r="AI23" t="str">
            <v xml:space="preserve"> генеральний директор</v>
          </cell>
        </row>
        <row r="25">
          <cell r="F25" t="e">
            <v>#REF!</v>
          </cell>
          <cell r="G25" t="e">
            <v>#REF!</v>
          </cell>
          <cell r="H25" t="e">
            <v>#REF!</v>
          </cell>
          <cell r="P25" t="e">
            <v>#REF!</v>
          </cell>
          <cell r="Q25" t="e">
            <v>#REF!</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cell r="AE25" t="e">
            <v>#REF!</v>
          </cell>
          <cell r="AF25" t="e">
            <v>#REF!</v>
          </cell>
          <cell r="AG25" t="e">
            <v>#REF!</v>
          </cell>
          <cell r="AH25" t="e">
            <v>#REF!</v>
          </cell>
          <cell r="AI25" t="str">
            <v xml:space="preserve">                        І.В.Плачков</v>
          </cell>
          <cell r="AJ25" t="e">
            <v>#REF!</v>
          </cell>
          <cell r="AK25" t="e">
            <v>#REF!</v>
          </cell>
          <cell r="AL25" t="e">
            <v>#REF!</v>
          </cell>
        </row>
        <row r="26">
          <cell r="AI26" t="str">
            <v xml:space="preserve">   "_____" ________2000 р.</v>
          </cell>
        </row>
        <row r="30">
          <cell r="AK30" t="str">
            <v xml:space="preserve">при діючому тарифі </v>
          </cell>
        </row>
        <row r="32">
          <cell r="Q32" t="str">
            <v>КТМ</v>
          </cell>
          <cell r="V32" t="str">
            <v xml:space="preserve">ТЕЦ-5 </v>
          </cell>
          <cell r="AA32" t="str">
            <v xml:space="preserve">ТЕЦ-6 </v>
          </cell>
        </row>
        <row r="34">
          <cell r="F34" t="str">
            <v>ВИКОН.ДИР.</v>
          </cell>
          <cell r="G34" t="str">
            <v>Е/Е</v>
          </cell>
          <cell r="H34" t="str">
            <v xml:space="preserve"> Т/Е</v>
          </cell>
          <cell r="P34" t="str">
            <v xml:space="preserve">КМ </v>
          </cell>
          <cell r="S34" t="str">
            <v xml:space="preserve">ТМ </v>
          </cell>
          <cell r="T34" t="str">
            <v>ВИРОБН</v>
          </cell>
          <cell r="U34" t="str">
            <v>ПЕРЕД</v>
          </cell>
          <cell r="X34" t="str">
            <v>ТЕЦ-5 ВСЬОГО</v>
          </cell>
          <cell r="Y34" t="str">
            <v>Е/Е</v>
          </cell>
          <cell r="Z34" t="str">
            <v xml:space="preserve"> Т/Е</v>
          </cell>
          <cell r="AC34" t="str">
            <v>ТЕЦ-6 ВСЬОГО</v>
          </cell>
          <cell r="AD34" t="str">
            <v>Е/Е</v>
          </cell>
          <cell r="AE34" t="str">
            <v xml:space="preserve"> Т/Е</v>
          </cell>
          <cell r="AF34" t="str">
            <v>ТРМ ВСЬОГО</v>
          </cell>
          <cell r="AG34" t="str">
            <v>ТРМ  АК КЕ</v>
          </cell>
          <cell r="AH34" t="str">
            <v>ТРМ СТОР</v>
          </cell>
          <cell r="AI34" t="str">
            <v xml:space="preserve">ДОП.ВИР. </v>
          </cell>
          <cell r="AJ34" t="str">
            <v>ДОП.ВИР. СТ.ОРГ.</v>
          </cell>
          <cell r="AK34" t="str">
            <v>АК КЕ ВСЬОГО</v>
          </cell>
          <cell r="AL34" t="str">
            <v xml:space="preserve"> Е/Е</v>
          </cell>
          <cell r="AM34" t="str">
            <v xml:space="preserve"> Т/Е</v>
          </cell>
          <cell r="AN34" t="str">
            <v>СТАНЦІї ЕЛЕКТРО</v>
          </cell>
          <cell r="AO34" t="str">
            <v>СТАНЦІІ ТЕПЛОВІ</v>
          </cell>
          <cell r="AP34" t="str">
            <v>МЕРЕЖІ ЕЛЕКТРО</v>
          </cell>
          <cell r="AQ34" t="str">
            <v>МЕРЕЖІ ТЕПЛОВІ</v>
          </cell>
        </row>
        <row r="35">
          <cell r="AL35">
            <v>395</v>
          </cell>
        </row>
        <row r="36">
          <cell r="AL36">
            <v>336</v>
          </cell>
        </row>
        <row r="37">
          <cell r="AL37">
            <v>0</v>
          </cell>
        </row>
        <row r="39">
          <cell r="AL39">
            <v>0</v>
          </cell>
        </row>
        <row r="40">
          <cell r="AL40">
            <v>0</v>
          </cell>
        </row>
        <row r="41">
          <cell r="AL41">
            <v>395.6</v>
          </cell>
        </row>
        <row r="42">
          <cell r="P42">
            <v>0</v>
          </cell>
          <cell r="AL42">
            <v>395.6</v>
          </cell>
        </row>
        <row r="43">
          <cell r="AL43">
            <v>1580</v>
          </cell>
          <cell r="AM43">
            <v>1580</v>
          </cell>
        </row>
        <row r="44">
          <cell r="AL44">
            <v>0</v>
          </cell>
          <cell r="AM44">
            <v>0</v>
          </cell>
        </row>
        <row r="45">
          <cell r="AL45">
            <v>1580</v>
          </cell>
          <cell r="AM45">
            <v>1580</v>
          </cell>
        </row>
        <row r="46">
          <cell r="F46">
            <v>3213.1666666666652</v>
          </cell>
          <cell r="P46">
            <v>2641.6000000000004</v>
          </cell>
          <cell r="S46">
            <v>8041.218181818178</v>
          </cell>
          <cell r="T46">
            <v>4194.2120000000004</v>
          </cell>
          <cell r="U46">
            <v>2131.2061818181819</v>
          </cell>
          <cell r="X46">
            <v>2404.6545454545439</v>
          </cell>
          <cell r="AC46">
            <v>1313.2</v>
          </cell>
          <cell r="AF46">
            <v>3816.2</v>
          </cell>
          <cell r="AG46">
            <v>3162.08</v>
          </cell>
          <cell r="AH46">
            <v>654.12</v>
          </cell>
        </row>
        <row r="47">
          <cell r="F47">
            <v>0.8</v>
          </cell>
          <cell r="P47">
            <v>0.8</v>
          </cell>
          <cell r="S47">
            <v>0.8</v>
          </cell>
          <cell r="X47">
            <v>0.8</v>
          </cell>
          <cell r="AC47">
            <v>0.8</v>
          </cell>
          <cell r="AF47">
            <v>0.8</v>
          </cell>
          <cell r="AG47">
            <v>0.8</v>
          </cell>
          <cell r="AH47">
            <v>0.8</v>
          </cell>
        </row>
        <row r="49">
          <cell r="F49">
            <v>204.8</v>
          </cell>
          <cell r="G49">
            <v>45</v>
          </cell>
          <cell r="H49">
            <v>159.80000000000001</v>
          </cell>
          <cell r="P49">
            <v>401.6</v>
          </cell>
          <cell r="S49">
            <v>625.40000000000009</v>
          </cell>
          <cell r="T49">
            <v>312.70000000000005</v>
          </cell>
          <cell r="U49">
            <v>312.70000000000005</v>
          </cell>
          <cell r="X49">
            <v>206.4</v>
          </cell>
          <cell r="Y49">
            <v>64</v>
          </cell>
          <cell r="Z49">
            <v>142.4</v>
          </cell>
          <cell r="AC49">
            <v>174.4</v>
          </cell>
          <cell r="AD49">
            <v>57</v>
          </cell>
          <cell r="AE49">
            <v>117.4</v>
          </cell>
          <cell r="AF49">
            <v>468.8</v>
          </cell>
          <cell r="AG49">
            <v>469</v>
          </cell>
          <cell r="AH49">
            <v>-0.19999999999998863</v>
          </cell>
          <cell r="AK49">
            <v>2200.0000000000005</v>
          </cell>
          <cell r="AL49">
            <v>662</v>
          </cell>
          <cell r="AM49">
            <v>1538.0000000000005</v>
          </cell>
          <cell r="AN49">
            <v>121</v>
          </cell>
          <cell r="AO49">
            <v>472</v>
          </cell>
          <cell r="AP49">
            <v>541</v>
          </cell>
          <cell r="AQ49">
            <v>1066.0000000000005</v>
          </cell>
        </row>
        <row r="50">
          <cell r="F50">
            <v>158</v>
          </cell>
          <cell r="G50">
            <v>35</v>
          </cell>
          <cell r="H50" t="e">
            <v>#DIV/0!</v>
          </cell>
          <cell r="P50">
            <v>56</v>
          </cell>
          <cell r="S50">
            <v>625</v>
          </cell>
          <cell r="T50">
            <v>19500</v>
          </cell>
          <cell r="U50">
            <v>0</v>
          </cell>
          <cell r="X50">
            <v>75</v>
          </cell>
          <cell r="Y50">
            <v>23</v>
          </cell>
          <cell r="Z50">
            <v>52</v>
          </cell>
          <cell r="AC50">
            <v>40</v>
          </cell>
          <cell r="AD50">
            <v>13</v>
          </cell>
          <cell r="AE50">
            <v>27</v>
          </cell>
          <cell r="AF50">
            <v>436</v>
          </cell>
          <cell r="AG50">
            <v>436</v>
          </cell>
          <cell r="AH50">
            <v>0</v>
          </cell>
          <cell r="AK50">
            <v>1424</v>
          </cell>
          <cell r="AL50">
            <v>158</v>
          </cell>
          <cell r="AM50">
            <v>1266</v>
          </cell>
        </row>
        <row r="51">
          <cell r="F51">
            <v>0</v>
          </cell>
          <cell r="G51">
            <v>0</v>
          </cell>
          <cell r="H51" t="e">
            <v>#DIV/0!</v>
          </cell>
          <cell r="P51">
            <v>1</v>
          </cell>
          <cell r="T51">
            <v>0</v>
          </cell>
          <cell r="U51">
            <v>0</v>
          </cell>
          <cell r="X51">
            <v>18</v>
          </cell>
          <cell r="Y51">
            <v>6</v>
          </cell>
          <cell r="Z51">
            <v>12</v>
          </cell>
          <cell r="AC51">
            <v>47</v>
          </cell>
          <cell r="AD51">
            <v>15</v>
          </cell>
          <cell r="AE51">
            <v>32</v>
          </cell>
          <cell r="AF51">
            <v>0</v>
          </cell>
          <cell r="AH51">
            <v>0</v>
          </cell>
          <cell r="AK51">
            <v>66</v>
          </cell>
          <cell r="AL51">
            <v>22</v>
          </cell>
          <cell r="AM51">
            <v>44</v>
          </cell>
        </row>
        <row r="52">
          <cell r="F52">
            <v>46.800000000000011</v>
          </cell>
          <cell r="G52">
            <v>10</v>
          </cell>
          <cell r="P52">
            <v>10</v>
          </cell>
          <cell r="X52">
            <v>0</v>
          </cell>
          <cell r="Y52">
            <v>0</v>
          </cell>
          <cell r="Z52">
            <v>0</v>
          </cell>
          <cell r="AC52">
            <v>20</v>
          </cell>
          <cell r="AD52">
            <v>7</v>
          </cell>
          <cell r="AE52">
            <v>13</v>
          </cell>
          <cell r="AF52">
            <v>25.6</v>
          </cell>
          <cell r="AG52">
            <v>25.6</v>
          </cell>
          <cell r="AH52">
            <v>0</v>
          </cell>
          <cell r="AK52">
            <v>102.4</v>
          </cell>
          <cell r="AL52">
            <v>27</v>
          </cell>
          <cell r="AM52">
            <v>75.400000000000006</v>
          </cell>
        </row>
        <row r="53">
          <cell r="F53">
            <v>8.2666666666666675</v>
          </cell>
          <cell r="G53">
            <v>2</v>
          </cell>
          <cell r="H53">
            <v>6.2666666666666675</v>
          </cell>
          <cell r="P53">
            <v>44.800000000000004</v>
          </cell>
          <cell r="S53">
            <v>307.20000000000005</v>
          </cell>
          <cell r="T53">
            <v>239.61600000000004</v>
          </cell>
          <cell r="U53">
            <v>67.584000000000003</v>
          </cell>
          <cell r="X53">
            <v>881.6</v>
          </cell>
          <cell r="Y53">
            <v>273</v>
          </cell>
          <cell r="Z53">
            <v>608.6</v>
          </cell>
          <cell r="AC53">
            <v>76</v>
          </cell>
          <cell r="AD53">
            <v>25</v>
          </cell>
          <cell r="AE53">
            <v>51</v>
          </cell>
          <cell r="AF53">
            <v>164</v>
          </cell>
          <cell r="AG53">
            <v>160.80000000000001</v>
          </cell>
          <cell r="AH53">
            <v>3.1999999999999886</v>
          </cell>
          <cell r="AK53">
            <v>1483.0666666666668</v>
          </cell>
          <cell r="AL53">
            <v>347.2</v>
          </cell>
          <cell r="AM53">
            <v>1135.8666666666668</v>
          </cell>
          <cell r="AN53">
            <v>298</v>
          </cell>
          <cell r="AO53">
            <v>764</v>
          </cell>
          <cell r="AP53">
            <v>49.199999999999989</v>
          </cell>
          <cell r="AQ53">
            <v>371.86666666666679</v>
          </cell>
        </row>
        <row r="54">
          <cell r="F54">
            <v>0</v>
          </cell>
          <cell r="G54">
            <v>0</v>
          </cell>
          <cell r="H54">
            <v>0</v>
          </cell>
          <cell r="S54">
            <v>16.8</v>
          </cell>
          <cell r="T54">
            <v>16.8</v>
          </cell>
          <cell r="U54">
            <v>0</v>
          </cell>
          <cell r="X54">
            <v>777.6</v>
          </cell>
          <cell r="Y54">
            <v>241</v>
          </cell>
          <cell r="Z54">
            <v>536.6</v>
          </cell>
          <cell r="AC54">
            <v>11.200000000000001</v>
          </cell>
          <cell r="AD54">
            <v>4</v>
          </cell>
          <cell r="AE54">
            <v>7.2000000000000011</v>
          </cell>
          <cell r="AH54">
            <v>0</v>
          </cell>
          <cell r="AK54">
            <v>805.6</v>
          </cell>
          <cell r="AL54">
            <v>245</v>
          </cell>
          <cell r="AM54">
            <v>560.6</v>
          </cell>
          <cell r="AN54">
            <v>245</v>
          </cell>
          <cell r="AO54">
            <v>550</v>
          </cell>
          <cell r="AP54">
            <v>0</v>
          </cell>
          <cell r="AQ54">
            <v>10.600000000000023</v>
          </cell>
        </row>
        <row r="55">
          <cell r="F55">
            <v>0</v>
          </cell>
          <cell r="G55">
            <v>0</v>
          </cell>
          <cell r="H55">
            <v>0</v>
          </cell>
          <cell r="S55">
            <v>18925</v>
          </cell>
          <cell r="T55">
            <v>18925</v>
          </cell>
          <cell r="U55">
            <v>0</v>
          </cell>
          <cell r="X55">
            <v>22509</v>
          </cell>
          <cell r="Y55">
            <v>8375.0975609756097</v>
          </cell>
          <cell r="Z55">
            <v>14133.90243902439</v>
          </cell>
          <cell r="AC55">
            <v>20437</v>
          </cell>
          <cell r="AD55">
            <v>8330.4774346793329</v>
          </cell>
          <cell r="AE55">
            <v>12106.522565320667</v>
          </cell>
          <cell r="AH55">
            <v>0</v>
          </cell>
          <cell r="AK55">
            <v>61871</v>
          </cell>
          <cell r="AL55">
            <v>16705.574995654941</v>
          </cell>
          <cell r="AM55">
            <v>45165.425004345059</v>
          </cell>
          <cell r="AN55">
            <v>16705.574995654941</v>
          </cell>
          <cell r="AO55">
            <v>45165</v>
          </cell>
          <cell r="AP55">
            <v>0</v>
          </cell>
          <cell r="AQ55">
            <v>0.42500434505927842</v>
          </cell>
        </row>
        <row r="56">
          <cell r="F56">
            <v>0</v>
          </cell>
          <cell r="G56">
            <v>0</v>
          </cell>
          <cell r="H56">
            <v>0</v>
          </cell>
          <cell r="P56">
            <v>0</v>
          </cell>
          <cell r="S56">
            <v>18925</v>
          </cell>
          <cell r="T56">
            <v>18925</v>
          </cell>
          <cell r="U56">
            <v>0</v>
          </cell>
          <cell r="X56">
            <v>22509</v>
          </cell>
          <cell r="Y56">
            <v>8375.0975609756097</v>
          </cell>
          <cell r="Z56">
            <v>14133.90243902439</v>
          </cell>
          <cell r="AC56">
            <v>20437</v>
          </cell>
          <cell r="AD56">
            <v>8330.4774346793329</v>
          </cell>
          <cell r="AE56">
            <v>12106.522565320667</v>
          </cell>
          <cell r="AF56">
            <v>0</v>
          </cell>
          <cell r="AG56">
            <v>0</v>
          </cell>
          <cell r="AH56">
            <v>0</v>
          </cell>
          <cell r="AI56">
            <v>0</v>
          </cell>
          <cell r="AK56">
            <v>61871</v>
          </cell>
          <cell r="AL56">
            <v>16705.574995654941</v>
          </cell>
          <cell r="AM56">
            <v>45165.425004345059</v>
          </cell>
          <cell r="AN56">
            <v>16705.574995654941</v>
          </cell>
          <cell r="AO56">
            <v>45165</v>
          </cell>
          <cell r="AP56">
            <v>0</v>
          </cell>
          <cell r="AQ56">
            <v>0.42500434505927842</v>
          </cell>
        </row>
        <row r="57">
          <cell r="F57">
            <v>0</v>
          </cell>
          <cell r="G57">
            <v>0</v>
          </cell>
          <cell r="H57">
            <v>0</v>
          </cell>
          <cell r="T57">
            <v>0</v>
          </cell>
          <cell r="U57">
            <v>0</v>
          </cell>
          <cell r="AF57">
            <v>0</v>
          </cell>
          <cell r="AH57">
            <v>0</v>
          </cell>
          <cell r="AK57">
            <v>0</v>
          </cell>
          <cell r="AL57">
            <v>0</v>
          </cell>
          <cell r="AM57">
            <v>0</v>
          </cell>
          <cell r="AO57">
            <v>0</v>
          </cell>
        </row>
        <row r="58">
          <cell r="F58">
            <v>2.4000000000000004</v>
          </cell>
          <cell r="G58">
            <v>1</v>
          </cell>
          <cell r="H58">
            <v>1.4000000000000004</v>
          </cell>
          <cell r="P58">
            <v>72.8</v>
          </cell>
          <cell r="S58">
            <v>2599.8000000000002</v>
          </cell>
          <cell r="T58">
            <v>2599.8000000000002</v>
          </cell>
          <cell r="U58">
            <v>0</v>
          </cell>
          <cell r="X58">
            <v>0</v>
          </cell>
          <cell r="Y58">
            <v>0</v>
          </cell>
          <cell r="Z58">
            <v>0</v>
          </cell>
          <cell r="AC58">
            <v>0</v>
          </cell>
          <cell r="AD58">
            <v>0</v>
          </cell>
          <cell r="AE58">
            <v>0</v>
          </cell>
          <cell r="AF58">
            <v>723.2</v>
          </cell>
          <cell r="AG58">
            <v>253.12</v>
          </cell>
          <cell r="AH58">
            <v>470.08000000000004</v>
          </cell>
          <cell r="AK58">
            <v>2928.12</v>
          </cell>
          <cell r="AL58">
            <v>73.8</v>
          </cell>
          <cell r="AM58">
            <v>2854.3199999999997</v>
          </cell>
          <cell r="AN58">
            <v>0</v>
          </cell>
          <cell r="AO58">
            <v>884</v>
          </cell>
          <cell r="AP58">
            <v>73.8</v>
          </cell>
          <cell r="AQ58">
            <v>1970.3199999999997</v>
          </cell>
        </row>
        <row r="59">
          <cell r="F59">
            <v>281</v>
          </cell>
          <cell r="G59">
            <v>62</v>
          </cell>
          <cell r="H59">
            <v>219</v>
          </cell>
          <cell r="P59">
            <v>477</v>
          </cell>
          <cell r="S59">
            <v>928.27272727272725</v>
          </cell>
          <cell r="T59">
            <v>454.85363636363633</v>
          </cell>
          <cell r="U59">
            <v>473.41909090909093</v>
          </cell>
          <cell r="X59">
            <v>272.81818181818181</v>
          </cell>
          <cell r="Y59">
            <v>85</v>
          </cell>
          <cell r="Z59">
            <v>187.81818181818181</v>
          </cell>
          <cell r="AC59">
            <v>242</v>
          </cell>
          <cell r="AD59">
            <v>79</v>
          </cell>
          <cell r="AE59">
            <v>163</v>
          </cell>
          <cell r="AF59">
            <v>959</v>
          </cell>
          <cell r="AG59">
            <v>906</v>
          </cell>
          <cell r="AH59">
            <v>53</v>
          </cell>
          <cell r="AI59">
            <v>202.90909090909091</v>
          </cell>
          <cell r="AK59">
            <v>3552</v>
          </cell>
          <cell r="AL59">
            <v>862</v>
          </cell>
          <cell r="AM59">
            <v>2690</v>
          </cell>
          <cell r="AN59">
            <v>164</v>
          </cell>
          <cell r="AO59">
            <v>666</v>
          </cell>
          <cell r="AP59">
            <v>698</v>
          </cell>
          <cell r="AQ59">
            <v>2024</v>
          </cell>
        </row>
        <row r="60">
          <cell r="F60">
            <v>15</v>
          </cell>
          <cell r="G60">
            <v>3</v>
          </cell>
          <cell r="H60">
            <v>12</v>
          </cell>
          <cell r="P60">
            <v>26</v>
          </cell>
          <cell r="S60">
            <v>51</v>
          </cell>
          <cell r="T60">
            <v>25</v>
          </cell>
          <cell r="U60">
            <v>26</v>
          </cell>
          <cell r="X60">
            <v>15</v>
          </cell>
          <cell r="Y60">
            <v>5</v>
          </cell>
          <cell r="Z60">
            <v>10</v>
          </cell>
          <cell r="AC60">
            <v>13</v>
          </cell>
          <cell r="AD60">
            <v>4</v>
          </cell>
          <cell r="AE60">
            <v>9</v>
          </cell>
          <cell r="AF60">
            <v>53</v>
          </cell>
          <cell r="AG60">
            <v>50</v>
          </cell>
          <cell r="AH60">
            <v>3</v>
          </cell>
          <cell r="AI60">
            <v>11</v>
          </cell>
          <cell r="AK60">
            <v>195</v>
          </cell>
          <cell r="AL60">
            <v>47</v>
          </cell>
          <cell r="AM60">
            <v>148</v>
          </cell>
          <cell r="AN60">
            <v>9</v>
          </cell>
          <cell r="AO60">
            <v>28</v>
          </cell>
          <cell r="AP60">
            <v>38</v>
          </cell>
          <cell r="AQ60">
            <v>120</v>
          </cell>
        </row>
        <row r="61">
          <cell r="F61">
            <v>88</v>
          </cell>
          <cell r="G61">
            <v>19</v>
          </cell>
          <cell r="H61">
            <v>69</v>
          </cell>
          <cell r="P61">
            <v>153</v>
          </cell>
          <cell r="S61">
            <v>297</v>
          </cell>
          <cell r="T61">
            <v>146</v>
          </cell>
          <cell r="U61">
            <v>151</v>
          </cell>
          <cell r="X61">
            <v>87</v>
          </cell>
          <cell r="Y61">
            <v>27</v>
          </cell>
          <cell r="Z61">
            <v>60</v>
          </cell>
          <cell r="AC61">
            <v>77</v>
          </cell>
          <cell r="AD61">
            <v>25</v>
          </cell>
          <cell r="AE61">
            <v>52</v>
          </cell>
          <cell r="AF61">
            <v>307</v>
          </cell>
          <cell r="AG61">
            <v>290</v>
          </cell>
          <cell r="AH61">
            <v>17</v>
          </cell>
          <cell r="AI61">
            <v>65</v>
          </cell>
          <cell r="AK61">
            <v>1135</v>
          </cell>
          <cell r="AL61">
            <v>276</v>
          </cell>
          <cell r="AM61">
            <v>859</v>
          </cell>
          <cell r="AN61">
            <v>0</v>
          </cell>
          <cell r="AO61">
            <v>0</v>
          </cell>
          <cell r="AP61">
            <v>0</v>
          </cell>
          <cell r="AQ61">
            <v>0</v>
          </cell>
        </row>
        <row r="62">
          <cell r="F62">
            <v>0</v>
          </cell>
          <cell r="G62">
            <v>0</v>
          </cell>
          <cell r="H62" t="str">
            <v xml:space="preserve"> Т/Е</v>
          </cell>
          <cell r="P62">
            <v>0</v>
          </cell>
          <cell r="S62" t="str">
            <v xml:space="preserve">ТМ </v>
          </cell>
          <cell r="T62" t="str">
            <v>ВИРОБН</v>
          </cell>
          <cell r="U62" t="str">
            <v>ПЕРЕД</v>
          </cell>
          <cell r="X62">
            <v>0</v>
          </cell>
          <cell r="Y62" t="str">
            <v>Е/Е</v>
          </cell>
          <cell r="Z62" t="str">
            <v xml:space="preserve"> Т/Е</v>
          </cell>
          <cell r="AC62" t="str">
            <v>ТЕЦ-6 ВСЬОГО</v>
          </cell>
          <cell r="AD62" t="str">
            <v>Е/Е</v>
          </cell>
          <cell r="AE62" t="str">
            <v xml:space="preserve"> Т/Е</v>
          </cell>
          <cell r="AF62" t="str">
            <v>ТРМ ВСЬОГО</v>
          </cell>
          <cell r="AG62" t="str">
            <v>ТРМ  АК КЕ</v>
          </cell>
          <cell r="AH62">
            <v>0</v>
          </cell>
          <cell r="AJ62" t="str">
            <v>ДОП.ВИР. СТ.ОРГ.</v>
          </cell>
          <cell r="AK62">
            <v>0</v>
          </cell>
          <cell r="AL62" t="str">
            <v xml:space="preserve"> Т/Е</v>
          </cell>
        </row>
        <row r="63">
          <cell r="F63">
            <v>87.333333333333329</v>
          </cell>
          <cell r="G63">
            <v>19</v>
          </cell>
          <cell r="H63">
            <v>68.333333333333329</v>
          </cell>
          <cell r="P63">
            <v>586</v>
          </cell>
          <cell r="S63">
            <v>1295</v>
          </cell>
          <cell r="T63">
            <v>207.20000000000002</v>
          </cell>
          <cell r="U63">
            <v>1087.8</v>
          </cell>
          <cell r="X63">
            <v>752</v>
          </cell>
          <cell r="Y63">
            <v>233</v>
          </cell>
          <cell r="Z63">
            <v>519</v>
          </cell>
          <cell r="AC63">
            <v>734</v>
          </cell>
          <cell r="AD63">
            <v>240</v>
          </cell>
          <cell r="AE63">
            <v>494</v>
          </cell>
          <cell r="AF63">
            <v>553</v>
          </cell>
          <cell r="AG63">
            <v>538</v>
          </cell>
          <cell r="AH63">
            <v>15</v>
          </cell>
          <cell r="AK63">
            <v>4002.3333333333335</v>
          </cell>
          <cell r="AL63">
            <v>1086</v>
          </cell>
          <cell r="AM63">
            <v>2916.3333333333335</v>
          </cell>
          <cell r="AN63">
            <v>473</v>
          </cell>
          <cell r="AO63">
            <v>1453</v>
          </cell>
          <cell r="AP63">
            <v>613</v>
          </cell>
          <cell r="AQ63">
            <v>1463.3333333333335</v>
          </cell>
        </row>
        <row r="64">
          <cell r="G64">
            <v>0</v>
          </cell>
          <cell r="T64">
            <v>21</v>
          </cell>
          <cell r="U64">
            <v>109</v>
          </cell>
          <cell r="AH64">
            <v>0</v>
          </cell>
          <cell r="AI64">
            <v>0</v>
          </cell>
          <cell r="AJ64">
            <v>0</v>
          </cell>
          <cell r="AK64">
            <v>0</v>
          </cell>
          <cell r="AN64">
            <v>47</v>
          </cell>
          <cell r="AO64">
            <v>145</v>
          </cell>
          <cell r="AP64">
            <v>61</v>
          </cell>
          <cell r="AQ64">
            <v>146</v>
          </cell>
        </row>
        <row r="65">
          <cell r="F65">
            <v>87</v>
          </cell>
          <cell r="G65">
            <v>19</v>
          </cell>
          <cell r="H65">
            <v>68</v>
          </cell>
          <cell r="P65">
            <v>627.20000000000005</v>
          </cell>
          <cell r="S65">
            <v>1365.6</v>
          </cell>
          <cell r="T65">
            <v>0</v>
          </cell>
          <cell r="U65">
            <v>0</v>
          </cell>
          <cell r="X65">
            <v>175.20000000000002</v>
          </cell>
          <cell r="Y65">
            <v>0</v>
          </cell>
          <cell r="Z65">
            <v>0</v>
          </cell>
          <cell r="AC65">
            <v>159.20000000000002</v>
          </cell>
          <cell r="AD65">
            <v>0</v>
          </cell>
          <cell r="AE65">
            <v>0</v>
          </cell>
          <cell r="AF65">
            <v>444.2</v>
          </cell>
          <cell r="AG65">
            <v>367.2</v>
          </cell>
          <cell r="AH65">
            <v>0</v>
          </cell>
          <cell r="AK65">
            <v>2781.3999999999996</v>
          </cell>
          <cell r="AL65">
            <v>646.20000000000005</v>
          </cell>
          <cell r="AM65">
            <v>2135.1999999999998</v>
          </cell>
          <cell r="AO65">
            <v>376</v>
          </cell>
        </row>
        <row r="66">
          <cell r="F66">
            <v>0</v>
          </cell>
          <cell r="G66">
            <v>0</v>
          </cell>
          <cell r="H66" t="e">
            <v>#DIV/0!</v>
          </cell>
          <cell r="P66">
            <v>0</v>
          </cell>
          <cell r="S66">
            <v>0</v>
          </cell>
          <cell r="T66">
            <v>0</v>
          </cell>
          <cell r="U66">
            <v>0</v>
          </cell>
          <cell r="X66">
            <v>0</v>
          </cell>
          <cell r="Y66">
            <v>0</v>
          </cell>
          <cell r="Z66">
            <v>0</v>
          </cell>
          <cell r="AC66">
            <v>0</v>
          </cell>
          <cell r="AD66">
            <v>0</v>
          </cell>
          <cell r="AE66">
            <v>0</v>
          </cell>
          <cell r="AF66">
            <v>0</v>
          </cell>
          <cell r="AG66">
            <v>0</v>
          </cell>
          <cell r="AH66">
            <v>0</v>
          </cell>
          <cell r="AK66">
            <v>0</v>
          </cell>
          <cell r="AL66">
            <v>0</v>
          </cell>
          <cell r="AM66">
            <v>0</v>
          </cell>
          <cell r="AO66">
            <v>0</v>
          </cell>
        </row>
        <row r="67">
          <cell r="F67">
            <v>0</v>
          </cell>
          <cell r="G67">
            <v>0</v>
          </cell>
          <cell r="H67">
            <v>0.3333333333333286</v>
          </cell>
          <cell r="P67">
            <v>-41.200000000000045</v>
          </cell>
          <cell r="S67">
            <v>-70.599999999999909</v>
          </cell>
          <cell r="T67">
            <v>186.20000000000002</v>
          </cell>
          <cell r="U67">
            <v>978.8</v>
          </cell>
          <cell r="X67">
            <v>576.79999999999995</v>
          </cell>
          <cell r="Y67">
            <v>233</v>
          </cell>
          <cell r="Z67">
            <v>519</v>
          </cell>
          <cell r="AC67">
            <v>574.79999999999995</v>
          </cell>
          <cell r="AD67">
            <v>240</v>
          </cell>
          <cell r="AE67">
            <v>494</v>
          </cell>
          <cell r="AF67">
            <v>108.80000000000001</v>
          </cell>
          <cell r="AG67">
            <v>170.8</v>
          </cell>
          <cell r="AH67">
            <v>-62</v>
          </cell>
          <cell r="AI67">
            <v>0</v>
          </cell>
          <cell r="AJ67">
            <v>0</v>
          </cell>
          <cell r="AK67">
            <v>1220.5999999999999</v>
          </cell>
          <cell r="AN67">
            <v>426</v>
          </cell>
          <cell r="AO67">
            <v>932</v>
          </cell>
          <cell r="AP67">
            <v>552</v>
          </cell>
          <cell r="AQ67">
            <v>1317.3333333333335</v>
          </cell>
        </row>
        <row r="68">
          <cell r="F68">
            <v>133.60000000000002</v>
          </cell>
          <cell r="G68">
            <v>29</v>
          </cell>
          <cell r="H68">
            <v>104.60000000000002</v>
          </cell>
          <cell r="P68">
            <v>699.4</v>
          </cell>
          <cell r="S68">
            <v>1291.1454545454546</v>
          </cell>
          <cell r="T68">
            <v>322.78636363636366</v>
          </cell>
          <cell r="U68">
            <v>968.35909090909104</v>
          </cell>
          <cell r="X68">
            <v>661.0363636363636</v>
          </cell>
          <cell r="Y68">
            <v>205</v>
          </cell>
          <cell r="Z68">
            <v>456.0363636363636</v>
          </cell>
          <cell r="AC68">
            <v>482.8</v>
          </cell>
          <cell r="AD68">
            <v>158</v>
          </cell>
          <cell r="AE68">
            <v>324.8</v>
          </cell>
          <cell r="AF68">
            <v>506</v>
          </cell>
          <cell r="AG68">
            <v>506</v>
          </cell>
          <cell r="AH68">
            <v>0</v>
          </cell>
          <cell r="AK68">
            <v>3773.9818181818182</v>
          </cell>
          <cell r="AL68">
            <v>1091.4000000000001</v>
          </cell>
          <cell r="AM68">
            <v>2682.5818181818181</v>
          </cell>
          <cell r="AN68">
            <v>363</v>
          </cell>
          <cell r="AO68">
            <v>1220</v>
          </cell>
          <cell r="AP68">
            <v>728.40000000000009</v>
          </cell>
          <cell r="AQ68">
            <v>1462.5818181818181</v>
          </cell>
        </row>
        <row r="69">
          <cell r="G69">
            <v>0</v>
          </cell>
          <cell r="H69">
            <v>0</v>
          </cell>
          <cell r="P69">
            <v>51</v>
          </cell>
          <cell r="S69">
            <v>296.72727272727275</v>
          </cell>
          <cell r="X69">
            <v>202.18181818181819</v>
          </cell>
          <cell r="Y69">
            <v>63</v>
          </cell>
          <cell r="Z69">
            <v>139.18181818181819</v>
          </cell>
          <cell r="AC69">
            <v>147</v>
          </cell>
          <cell r="AD69">
            <v>48</v>
          </cell>
          <cell r="AE69">
            <v>99</v>
          </cell>
          <cell r="AF69">
            <v>88</v>
          </cell>
          <cell r="AG69">
            <v>88</v>
          </cell>
          <cell r="AH69">
            <v>0</v>
          </cell>
          <cell r="AK69">
            <v>784.90909090909099</v>
          </cell>
          <cell r="AL69">
            <v>162</v>
          </cell>
          <cell r="AM69">
            <v>622.90909090909099</v>
          </cell>
        </row>
        <row r="70">
          <cell r="F70">
            <v>0</v>
          </cell>
          <cell r="G70">
            <v>0</v>
          </cell>
          <cell r="H70">
            <v>0</v>
          </cell>
          <cell r="P70">
            <v>3</v>
          </cell>
          <cell r="S70">
            <v>17</v>
          </cell>
          <cell r="X70">
            <v>11</v>
          </cell>
          <cell r="Y70">
            <v>3</v>
          </cell>
          <cell r="Z70">
            <v>8</v>
          </cell>
          <cell r="AC70">
            <v>8</v>
          </cell>
          <cell r="AD70">
            <v>3</v>
          </cell>
          <cell r="AE70">
            <v>5</v>
          </cell>
          <cell r="AF70">
            <v>5</v>
          </cell>
          <cell r="AG70">
            <v>5</v>
          </cell>
          <cell r="AH70">
            <v>0</v>
          </cell>
          <cell r="AK70">
            <v>44</v>
          </cell>
          <cell r="AL70">
            <v>9</v>
          </cell>
          <cell r="AM70">
            <v>35</v>
          </cell>
        </row>
        <row r="71">
          <cell r="F71">
            <v>0</v>
          </cell>
          <cell r="G71">
            <v>0</v>
          </cell>
          <cell r="H71">
            <v>0</v>
          </cell>
          <cell r="P71">
            <v>16</v>
          </cell>
          <cell r="S71">
            <v>95</v>
          </cell>
          <cell r="X71">
            <v>65</v>
          </cell>
          <cell r="Y71">
            <v>20</v>
          </cell>
          <cell r="Z71">
            <v>45</v>
          </cell>
          <cell r="AC71">
            <v>48</v>
          </cell>
          <cell r="AD71">
            <v>16</v>
          </cell>
          <cell r="AE71">
            <v>32</v>
          </cell>
          <cell r="AF71">
            <v>28</v>
          </cell>
          <cell r="AG71">
            <v>28</v>
          </cell>
          <cell r="AH71">
            <v>0</v>
          </cell>
          <cell r="AK71">
            <v>252</v>
          </cell>
          <cell r="AL71">
            <v>52</v>
          </cell>
          <cell r="AM71">
            <v>200</v>
          </cell>
        </row>
        <row r="72">
          <cell r="F72">
            <v>0</v>
          </cell>
          <cell r="G72">
            <v>0</v>
          </cell>
          <cell r="X72">
            <v>0</v>
          </cell>
          <cell r="AC72">
            <v>0</v>
          </cell>
          <cell r="AF72">
            <v>0</v>
          </cell>
          <cell r="AG72">
            <v>0</v>
          </cell>
          <cell r="AH72">
            <v>0</v>
          </cell>
          <cell r="AK72">
            <v>0</v>
          </cell>
          <cell r="AL72">
            <v>0</v>
          </cell>
          <cell r="AM72">
            <v>0</v>
          </cell>
        </row>
        <row r="73">
          <cell r="G73">
            <v>0</v>
          </cell>
          <cell r="P73">
            <v>699.4</v>
          </cell>
          <cell r="S73">
            <v>0</v>
          </cell>
          <cell r="X73">
            <v>0</v>
          </cell>
          <cell r="Y73">
            <v>0</v>
          </cell>
          <cell r="Z73">
            <v>0</v>
          </cell>
          <cell r="AC73">
            <v>0</v>
          </cell>
          <cell r="AD73">
            <v>0</v>
          </cell>
          <cell r="AE73">
            <v>0</v>
          </cell>
          <cell r="AF73">
            <v>0</v>
          </cell>
          <cell r="AG73">
            <v>0</v>
          </cell>
          <cell r="AH73">
            <v>0</v>
          </cell>
          <cell r="AK73">
            <v>699.4</v>
          </cell>
          <cell r="AL73">
            <v>699.4</v>
          </cell>
          <cell r="AM73">
            <v>0</v>
          </cell>
        </row>
        <row r="74">
          <cell r="G74">
            <v>0</v>
          </cell>
          <cell r="P74">
            <v>0</v>
          </cell>
          <cell r="S74">
            <v>0</v>
          </cell>
          <cell r="X74">
            <v>0</v>
          </cell>
          <cell r="Z74">
            <v>0</v>
          </cell>
          <cell r="AC74">
            <v>0</v>
          </cell>
          <cell r="AD74">
            <v>0</v>
          </cell>
          <cell r="AE74">
            <v>0</v>
          </cell>
          <cell r="AH74">
            <v>0</v>
          </cell>
          <cell r="AK74">
            <v>0</v>
          </cell>
          <cell r="AL74">
            <v>0</v>
          </cell>
          <cell r="AM74">
            <v>0</v>
          </cell>
        </row>
        <row r="75">
          <cell r="F75">
            <v>1431.9</v>
          </cell>
          <cell r="G75">
            <v>316</v>
          </cell>
          <cell r="H75">
            <v>1115.9000000000001</v>
          </cell>
          <cell r="P75">
            <v>91.000000000000014</v>
          </cell>
          <cell r="S75">
            <v>225.60000000000002</v>
          </cell>
          <cell r="T75">
            <v>93.456000000000003</v>
          </cell>
          <cell r="U75">
            <v>132.14400000000001</v>
          </cell>
          <cell r="X75">
            <v>92.000000000000014</v>
          </cell>
          <cell r="Y75">
            <v>29</v>
          </cell>
          <cell r="Z75">
            <v>63.000000000000014</v>
          </cell>
          <cell r="AC75">
            <v>67.2</v>
          </cell>
          <cell r="AD75">
            <v>22</v>
          </cell>
          <cell r="AE75">
            <v>45.2</v>
          </cell>
          <cell r="AF75">
            <v>180</v>
          </cell>
          <cell r="AG75">
            <v>148.96</v>
          </cell>
          <cell r="AH75">
            <v>31.039999999999992</v>
          </cell>
          <cell r="AI75">
            <v>507.20000000000005</v>
          </cell>
          <cell r="AK75">
            <v>3022.5266666666666</v>
          </cell>
          <cell r="AL75">
            <v>667.6</v>
          </cell>
          <cell r="AM75">
            <v>2354.9266666666667</v>
          </cell>
          <cell r="AN75">
            <v>51</v>
          </cell>
          <cell r="AO75">
            <v>185</v>
          </cell>
          <cell r="AP75">
            <v>616.6</v>
          </cell>
          <cell r="AQ75">
            <v>2169.9266666666667</v>
          </cell>
        </row>
        <row r="76">
          <cell r="F76">
            <v>105</v>
          </cell>
          <cell r="G76">
            <v>23</v>
          </cell>
          <cell r="H76">
            <v>82</v>
          </cell>
          <cell r="T76">
            <v>0</v>
          </cell>
          <cell r="U76">
            <v>0</v>
          </cell>
          <cell r="Y76">
            <v>0</v>
          </cell>
          <cell r="Z76">
            <v>0</v>
          </cell>
          <cell r="AE76">
            <v>0</v>
          </cell>
          <cell r="AH76">
            <v>0</v>
          </cell>
          <cell r="AK76">
            <v>105</v>
          </cell>
          <cell r="AL76">
            <v>23</v>
          </cell>
          <cell r="AM76">
            <v>82</v>
          </cell>
          <cell r="AN76">
            <v>0</v>
          </cell>
          <cell r="AO76">
            <v>0</v>
          </cell>
          <cell r="AP76">
            <v>23</v>
          </cell>
          <cell r="AQ76">
            <v>82</v>
          </cell>
        </row>
        <row r="77">
          <cell r="F77">
            <v>1326.9</v>
          </cell>
          <cell r="G77">
            <v>293</v>
          </cell>
          <cell r="H77">
            <v>1033.9000000000001</v>
          </cell>
          <cell r="P77">
            <v>91.000000000000014</v>
          </cell>
          <cell r="S77">
            <v>225.60000000000002</v>
          </cell>
          <cell r="T77">
            <v>93.456000000000003</v>
          </cell>
          <cell r="U77">
            <v>132.14400000000001</v>
          </cell>
          <cell r="X77">
            <v>92.000000000000014</v>
          </cell>
          <cell r="Y77">
            <v>29</v>
          </cell>
          <cell r="Z77">
            <v>63.000000000000014</v>
          </cell>
          <cell r="AC77">
            <v>67.2</v>
          </cell>
          <cell r="AD77">
            <v>22</v>
          </cell>
          <cell r="AE77">
            <v>45.2</v>
          </cell>
          <cell r="AF77">
            <v>180</v>
          </cell>
          <cell r="AG77">
            <v>148.96</v>
          </cell>
          <cell r="AH77">
            <v>31.039999999999992</v>
          </cell>
          <cell r="AI77">
            <v>507.20000000000005</v>
          </cell>
          <cell r="AK77">
            <v>2917.5266666666666</v>
          </cell>
          <cell r="AL77">
            <v>644.6</v>
          </cell>
          <cell r="AM77">
            <v>2272.9266666666667</v>
          </cell>
          <cell r="AN77">
            <v>51</v>
          </cell>
          <cell r="AO77">
            <v>185</v>
          </cell>
          <cell r="AP77">
            <v>593.6</v>
          </cell>
          <cell r="AQ77">
            <v>2087.9266666666667</v>
          </cell>
        </row>
        <row r="78">
          <cell r="F78">
            <v>474.8</v>
          </cell>
          <cell r="G78">
            <v>105</v>
          </cell>
          <cell r="H78">
            <v>369.8</v>
          </cell>
          <cell r="P78">
            <v>52.800000000000004</v>
          </cell>
          <cell r="S78">
            <v>141.6</v>
          </cell>
          <cell r="T78">
            <v>93.456000000000003</v>
          </cell>
          <cell r="U78">
            <v>48.143999999999991</v>
          </cell>
          <cell r="X78">
            <v>44.800000000000004</v>
          </cell>
          <cell r="Y78">
            <v>14</v>
          </cell>
          <cell r="Z78">
            <v>30.800000000000004</v>
          </cell>
          <cell r="AC78">
            <v>34.4</v>
          </cell>
          <cell r="AD78">
            <v>22</v>
          </cell>
          <cell r="AE78">
            <v>12.399999999999999</v>
          </cell>
          <cell r="AF78">
            <v>130.4</v>
          </cell>
          <cell r="AG78">
            <v>119.2</v>
          </cell>
          <cell r="AH78">
            <v>11.200000000000003</v>
          </cell>
          <cell r="AK78">
            <v>947.59999999999991</v>
          </cell>
          <cell r="AL78">
            <v>239.4</v>
          </cell>
          <cell r="AM78">
            <v>708.19999999999993</v>
          </cell>
          <cell r="AQ78">
            <v>708.19999999999993</v>
          </cell>
        </row>
        <row r="79">
          <cell r="H79">
            <v>0</v>
          </cell>
          <cell r="S79">
            <v>0</v>
          </cell>
          <cell r="AK79">
            <v>363.66666666666663</v>
          </cell>
          <cell r="AL79">
            <v>158</v>
          </cell>
          <cell r="AM79">
            <v>205.66666666666663</v>
          </cell>
          <cell r="AQ79">
            <v>205.66666666666663</v>
          </cell>
        </row>
        <row r="80">
          <cell r="F80">
            <v>353.6</v>
          </cell>
          <cell r="G80">
            <v>78</v>
          </cell>
          <cell r="H80">
            <v>275.60000000000002</v>
          </cell>
          <cell r="P80">
            <v>19</v>
          </cell>
          <cell r="S80">
            <v>36.800000000000004</v>
          </cell>
          <cell r="X80">
            <v>38.400000000000006</v>
          </cell>
          <cell r="Y80">
            <v>12</v>
          </cell>
          <cell r="Z80">
            <v>26.400000000000006</v>
          </cell>
          <cell r="AC80">
            <v>7.2</v>
          </cell>
          <cell r="AF80">
            <v>9.6000000000000014</v>
          </cell>
          <cell r="AG80">
            <v>5.7600000000000007</v>
          </cell>
          <cell r="AH80">
            <v>3.8400000000000007</v>
          </cell>
          <cell r="AI80">
            <v>31.466666666666669</v>
          </cell>
          <cell r="AK80">
            <v>496.22666666666669</v>
          </cell>
          <cell r="AL80">
            <v>111</v>
          </cell>
          <cell r="AM80">
            <v>385.22666666666669</v>
          </cell>
        </row>
        <row r="81">
          <cell r="F81">
            <v>498.5</v>
          </cell>
          <cell r="G81">
            <v>110</v>
          </cell>
          <cell r="H81">
            <v>388.5</v>
          </cell>
          <cell r="P81">
            <v>19.200000000000003</v>
          </cell>
          <cell r="S81">
            <v>47.2</v>
          </cell>
          <cell r="X81">
            <v>8.8000000000000007</v>
          </cell>
          <cell r="Y81">
            <v>3</v>
          </cell>
          <cell r="Z81">
            <v>5.8000000000000007</v>
          </cell>
          <cell r="AC81">
            <v>25.6</v>
          </cell>
          <cell r="AF81">
            <v>40</v>
          </cell>
          <cell r="AG81">
            <v>24</v>
          </cell>
          <cell r="AH81">
            <v>16</v>
          </cell>
          <cell r="AI81">
            <v>475.73333333333335</v>
          </cell>
          <cell r="AK81">
            <v>1110.0333333333333</v>
          </cell>
          <cell r="AL81">
            <v>136.19999999999999</v>
          </cell>
          <cell r="AM81">
            <v>973.83333333333326</v>
          </cell>
        </row>
        <row r="82">
          <cell r="H82">
            <v>0</v>
          </cell>
          <cell r="Y82">
            <v>0</v>
          </cell>
          <cell r="Z82">
            <v>0</v>
          </cell>
          <cell r="AK82">
            <v>0</v>
          </cell>
          <cell r="AL82">
            <v>0</v>
          </cell>
          <cell r="AM82">
            <v>0</v>
          </cell>
        </row>
        <row r="83">
          <cell r="F83">
            <v>19.399999999999999</v>
          </cell>
          <cell r="G83">
            <v>0</v>
          </cell>
          <cell r="H83">
            <v>19.399999999999999</v>
          </cell>
          <cell r="P83">
            <v>3.1</v>
          </cell>
          <cell r="S83">
            <v>7.5</v>
          </cell>
          <cell r="X83">
            <v>3.1</v>
          </cell>
          <cell r="Y83">
            <v>1</v>
          </cell>
          <cell r="Z83">
            <v>2.1</v>
          </cell>
          <cell r="AC83">
            <v>1.7</v>
          </cell>
          <cell r="AF83">
            <v>4.8</v>
          </cell>
          <cell r="AH83">
            <v>4.8</v>
          </cell>
          <cell r="AK83">
            <v>35.800000000000004</v>
          </cell>
          <cell r="AL83">
            <v>5.0999999999999996</v>
          </cell>
          <cell r="AM83">
            <v>30.700000000000003</v>
          </cell>
        </row>
        <row r="84">
          <cell r="F84">
            <v>2252.3000000000002</v>
          </cell>
          <cell r="G84">
            <v>496</v>
          </cell>
          <cell r="H84">
            <v>1756.3000000000002</v>
          </cell>
          <cell r="P84">
            <v>2551.6</v>
          </cell>
          <cell r="Q84">
            <v>0</v>
          </cell>
          <cell r="R84">
            <v>0</v>
          </cell>
          <cell r="S84">
            <v>26545.418181818179</v>
          </cell>
          <cell r="T84">
            <v>23326.412</v>
          </cell>
          <cell r="U84">
            <v>3219.0061818181821</v>
          </cell>
          <cell r="X84">
            <v>25476.854545454546</v>
          </cell>
          <cell r="Y84">
            <v>9296.0975609756097</v>
          </cell>
          <cell r="Z84">
            <v>16180.756984478936</v>
          </cell>
          <cell r="AA84">
            <v>0</v>
          </cell>
          <cell r="AB84">
            <v>0</v>
          </cell>
          <cell r="AC84">
            <v>22303.4</v>
          </cell>
          <cell r="AD84">
            <v>8940.4774346793329</v>
          </cell>
          <cell r="AE84">
            <v>13362.922565320667</v>
          </cell>
          <cell r="AF84">
            <v>3914</v>
          </cell>
          <cell r="AG84">
            <v>3321.88</v>
          </cell>
          <cell r="AH84">
            <v>592.12</v>
          </cell>
          <cell r="AI84">
            <v>786.10909090909092</v>
          </cell>
          <cell r="AK84">
            <v>84163.028484848473</v>
          </cell>
          <cell r="AL84">
            <v>21818.574995654941</v>
          </cell>
          <cell r="AM84">
            <v>62344.453489193547</v>
          </cell>
          <cell r="AN84">
            <v>18184.574995654941</v>
          </cell>
          <cell r="AO84">
            <v>50837</v>
          </cell>
          <cell r="AP84">
            <v>3358</v>
          </cell>
          <cell r="AQ84">
            <v>10648.453489193544</v>
          </cell>
        </row>
        <row r="85">
          <cell r="F85">
            <v>281</v>
          </cell>
          <cell r="G85">
            <v>62</v>
          </cell>
          <cell r="H85">
            <v>219</v>
          </cell>
          <cell r="P85">
            <v>528</v>
          </cell>
          <cell r="Q85">
            <v>0</v>
          </cell>
          <cell r="R85">
            <v>0</v>
          </cell>
          <cell r="T85">
            <v>454.85363636363633</v>
          </cell>
          <cell r="U85">
            <v>473.41909090909093</v>
          </cell>
          <cell r="V85">
            <v>0</v>
          </cell>
          <cell r="W85">
            <v>0</v>
          </cell>
          <cell r="Y85">
            <v>148</v>
          </cell>
          <cell r="Z85">
            <v>327</v>
          </cell>
          <cell r="AA85">
            <v>0</v>
          </cell>
          <cell r="AB85">
            <v>0</v>
          </cell>
          <cell r="AD85">
            <v>127</v>
          </cell>
          <cell r="AE85">
            <v>262</v>
          </cell>
          <cell r="AH85">
            <v>53</v>
          </cell>
          <cell r="AI85">
            <v>202.90909090909091</v>
          </cell>
          <cell r="AK85">
            <v>4336.909090909091</v>
          </cell>
          <cell r="AL85">
            <v>1024</v>
          </cell>
          <cell r="AM85">
            <v>3312.909090909091</v>
          </cell>
        </row>
        <row r="86">
          <cell r="AL86">
            <v>21837.195939509984</v>
          </cell>
        </row>
        <row r="87">
          <cell r="F87">
            <v>11292</v>
          </cell>
          <cell r="G87">
            <v>11292</v>
          </cell>
          <cell r="AK87">
            <v>11292</v>
          </cell>
          <cell r="AL87">
            <v>11292</v>
          </cell>
          <cell r="AM87">
            <v>0</v>
          </cell>
          <cell r="AN87">
            <v>0</v>
          </cell>
          <cell r="AO87">
            <v>0</v>
          </cell>
          <cell r="AP87">
            <v>0</v>
          </cell>
          <cell r="AQ87">
            <v>0</v>
          </cell>
        </row>
        <row r="88">
          <cell r="F88">
            <v>13544.3</v>
          </cell>
          <cell r="G88">
            <v>11788</v>
          </cell>
          <cell r="H88">
            <v>1756.3000000000002</v>
          </cell>
          <cell r="P88">
            <v>2551.6</v>
          </cell>
          <cell r="Q88">
            <v>0</v>
          </cell>
          <cell r="R88">
            <v>0</v>
          </cell>
          <cell r="S88">
            <v>26545.418181818179</v>
          </cell>
          <cell r="T88">
            <v>23326.412</v>
          </cell>
          <cell r="U88">
            <v>3219.0061818181821</v>
          </cell>
          <cell r="V88">
            <v>0</v>
          </cell>
          <cell r="W88">
            <v>0</v>
          </cell>
          <cell r="X88">
            <v>25476.854545454546</v>
          </cell>
          <cell r="Y88">
            <v>9296.0975609756097</v>
          </cell>
          <cell r="Z88">
            <v>16180.756984478936</v>
          </cell>
          <cell r="AA88">
            <v>0</v>
          </cell>
          <cell r="AB88">
            <v>0</v>
          </cell>
          <cell r="AC88">
            <v>22303.4</v>
          </cell>
          <cell r="AD88">
            <v>8940.4774346793329</v>
          </cell>
          <cell r="AE88">
            <v>13362.922565320667</v>
          </cell>
          <cell r="AF88">
            <v>3914</v>
          </cell>
          <cell r="AG88">
            <v>3321.88</v>
          </cell>
          <cell r="AH88">
            <v>592.12</v>
          </cell>
          <cell r="AI88">
            <v>786.10909090909092</v>
          </cell>
          <cell r="AK88">
            <v>95455.028484848473</v>
          </cell>
          <cell r="AL88">
            <v>33110.574995654941</v>
          </cell>
          <cell r="AM88">
            <v>62344.453489193547</v>
          </cell>
          <cell r="AN88">
            <v>18184.574995654941</v>
          </cell>
          <cell r="AO88">
            <v>50837</v>
          </cell>
          <cell r="AP88">
            <v>3358</v>
          </cell>
          <cell r="AQ88">
            <v>10648.453489193544</v>
          </cell>
        </row>
        <row r="89">
          <cell r="F89">
            <v>0</v>
          </cell>
          <cell r="G89">
            <v>0</v>
          </cell>
          <cell r="H89">
            <v>0</v>
          </cell>
          <cell r="AH89">
            <v>0</v>
          </cell>
          <cell r="AM89">
            <v>0</v>
          </cell>
          <cell r="AN89">
            <v>0</v>
          </cell>
          <cell r="AO89">
            <v>0</v>
          </cell>
          <cell r="AP89">
            <v>0</v>
          </cell>
          <cell r="AQ89">
            <v>-1</v>
          </cell>
        </row>
        <row r="90">
          <cell r="F90">
            <v>1390</v>
          </cell>
          <cell r="G90">
            <v>810</v>
          </cell>
          <cell r="H90">
            <v>580</v>
          </cell>
          <cell r="AH90">
            <v>0</v>
          </cell>
          <cell r="AK90">
            <v>1390</v>
          </cell>
          <cell r="AL90">
            <v>810</v>
          </cell>
          <cell r="AM90">
            <v>580</v>
          </cell>
          <cell r="AN90">
            <v>0</v>
          </cell>
          <cell r="AO90">
            <v>0</v>
          </cell>
          <cell r="AP90">
            <v>225.18812577924132</v>
          </cell>
          <cell r="AQ90">
            <v>41.283220704629741</v>
          </cell>
        </row>
        <row r="91">
          <cell r="F91">
            <v>600</v>
          </cell>
          <cell r="G91">
            <v>128</v>
          </cell>
          <cell r="H91">
            <v>472</v>
          </cell>
          <cell r="S91">
            <v>0</v>
          </cell>
          <cell r="T91">
            <v>0</v>
          </cell>
          <cell r="U91">
            <v>0</v>
          </cell>
          <cell r="X91">
            <v>0</v>
          </cell>
          <cell r="Y91">
            <v>0</v>
          </cell>
          <cell r="Z91">
            <v>0</v>
          </cell>
          <cell r="AA91">
            <v>0</v>
          </cell>
          <cell r="AB91">
            <v>0</v>
          </cell>
          <cell r="AC91">
            <v>0</v>
          </cell>
          <cell r="AD91">
            <v>0</v>
          </cell>
          <cell r="AE91">
            <v>0</v>
          </cell>
          <cell r="AH91">
            <v>0</v>
          </cell>
          <cell r="AK91">
            <v>600</v>
          </cell>
          <cell r="AL91">
            <v>128</v>
          </cell>
          <cell r="AM91">
            <v>472</v>
          </cell>
          <cell r="AN91">
            <v>0</v>
          </cell>
          <cell r="AO91">
            <v>0</v>
          </cell>
          <cell r="AP91">
            <v>0</v>
          </cell>
          <cell r="AQ91">
            <v>0</v>
          </cell>
        </row>
        <row r="92">
          <cell r="F92">
            <v>18.666666666666664</v>
          </cell>
          <cell r="G92">
            <v>4</v>
          </cell>
          <cell r="H92">
            <v>14.666666666666664</v>
          </cell>
          <cell r="P92">
            <v>48.800000000000004</v>
          </cell>
          <cell r="S92">
            <v>5.6000000000000005</v>
          </cell>
          <cell r="X92">
            <v>13.600000000000001</v>
          </cell>
          <cell r="Y92">
            <v>4</v>
          </cell>
          <cell r="Z92">
            <v>9.6000000000000014</v>
          </cell>
          <cell r="AC92">
            <v>21.6</v>
          </cell>
          <cell r="AD92">
            <v>9</v>
          </cell>
          <cell r="AE92">
            <v>12.600000000000001</v>
          </cell>
          <cell r="AF92">
            <v>12</v>
          </cell>
          <cell r="AG92">
            <v>11</v>
          </cell>
          <cell r="AH92">
            <v>1</v>
          </cell>
          <cell r="AK92">
            <v>119.26666666666665</v>
          </cell>
          <cell r="AL92">
            <v>65.800000000000011</v>
          </cell>
          <cell r="AM92">
            <v>53.46666666666664</v>
          </cell>
          <cell r="AN92">
            <v>13</v>
          </cell>
          <cell r="AO92">
            <v>24</v>
          </cell>
          <cell r="AP92">
            <v>52.800000000000011</v>
          </cell>
          <cell r="AQ92">
            <v>29.46666666666664</v>
          </cell>
        </row>
        <row r="95">
          <cell r="F95">
            <v>15552.966666666665</v>
          </cell>
          <cell r="G95">
            <v>12730</v>
          </cell>
          <cell r="H95">
            <v>2822.9666666666667</v>
          </cell>
          <cell r="P95">
            <v>2600.4</v>
          </cell>
          <cell r="Q95">
            <v>0</v>
          </cell>
          <cell r="R95">
            <v>0</v>
          </cell>
          <cell r="S95">
            <v>26551.018181818177</v>
          </cell>
          <cell r="T95">
            <v>23326.412</v>
          </cell>
          <cell r="U95">
            <v>3219.0061818181821</v>
          </cell>
          <cell r="V95">
            <v>0</v>
          </cell>
          <cell r="W95">
            <v>0</v>
          </cell>
          <cell r="X95">
            <v>25490.454545454544</v>
          </cell>
          <cell r="Y95">
            <v>9300.0975609756097</v>
          </cell>
          <cell r="Z95">
            <v>16190.356984478936</v>
          </cell>
          <cell r="AA95">
            <v>0</v>
          </cell>
          <cell r="AB95">
            <v>0</v>
          </cell>
          <cell r="AC95">
            <v>22325</v>
          </cell>
          <cell r="AD95">
            <v>8949.4774346793329</v>
          </cell>
          <cell r="AE95">
            <v>13375.522565320667</v>
          </cell>
          <cell r="AF95">
            <v>3925</v>
          </cell>
          <cell r="AG95">
            <v>3332.88</v>
          </cell>
          <cell r="AH95">
            <v>593.12</v>
          </cell>
          <cell r="AI95">
            <v>786.10909090909092</v>
          </cell>
          <cell r="AJ95">
            <v>0</v>
          </cell>
          <cell r="AK95">
            <v>97564.295151515136</v>
          </cell>
          <cell r="AL95">
            <v>34114.374995654944</v>
          </cell>
          <cell r="AM95">
            <v>63449.920155860214</v>
          </cell>
          <cell r="AN95">
            <v>18197.574995654941</v>
          </cell>
          <cell r="AO95">
            <v>50861</v>
          </cell>
          <cell r="AP95">
            <v>3635.9881257792413</v>
          </cell>
          <cell r="AQ95">
            <v>10718.203376564841</v>
          </cell>
        </row>
        <row r="96">
          <cell r="F96">
            <v>4260.9666666666653</v>
          </cell>
          <cell r="G96">
            <v>1438</v>
          </cell>
          <cell r="H96">
            <v>2822.9666666666667</v>
          </cell>
          <cell r="P96">
            <v>2600.4</v>
          </cell>
          <cell r="Q96">
            <v>0</v>
          </cell>
          <cell r="R96">
            <v>0</v>
          </cell>
          <cell r="S96">
            <v>7626.0181818181773</v>
          </cell>
          <cell r="T96">
            <v>4401.4120000000003</v>
          </cell>
          <cell r="U96">
            <v>3219.0061818181821</v>
          </cell>
          <cell r="V96">
            <v>0</v>
          </cell>
          <cell r="W96">
            <v>0</v>
          </cell>
          <cell r="X96">
            <v>2981.4545454545441</v>
          </cell>
          <cell r="Y96">
            <v>925</v>
          </cell>
          <cell r="Z96">
            <v>2056.454545454546</v>
          </cell>
          <cell r="AA96">
            <v>0</v>
          </cell>
          <cell r="AB96">
            <v>0</v>
          </cell>
          <cell r="AC96">
            <v>1888</v>
          </cell>
          <cell r="AD96">
            <v>619</v>
          </cell>
          <cell r="AE96">
            <v>1269</v>
          </cell>
          <cell r="AF96">
            <v>3925</v>
          </cell>
          <cell r="AG96">
            <v>3332.88</v>
          </cell>
          <cell r="AH96">
            <v>593.12</v>
          </cell>
          <cell r="AI96">
            <v>786.10909090909092</v>
          </cell>
          <cell r="AJ96">
            <v>0</v>
          </cell>
          <cell r="AK96">
            <v>24401.295151515136</v>
          </cell>
          <cell r="AL96">
            <v>6116.8000000000029</v>
          </cell>
          <cell r="AM96">
            <v>18284.495151515155</v>
          </cell>
          <cell r="AN96">
            <v>1492</v>
          </cell>
          <cell r="AO96">
            <v>5696</v>
          </cell>
          <cell r="AP96">
            <v>3635.9881257792413</v>
          </cell>
          <cell r="AQ96">
            <v>10717.778372219782</v>
          </cell>
        </row>
        <row r="97">
          <cell r="F97">
            <v>684.2</v>
          </cell>
          <cell r="G97">
            <v>15552.966666666667</v>
          </cell>
          <cell r="P97">
            <v>627.20000000000005</v>
          </cell>
          <cell r="S97">
            <v>1365.6</v>
          </cell>
          <cell r="X97">
            <v>175.20000000000002</v>
          </cell>
          <cell r="Y97">
            <v>25490.454545454544</v>
          </cell>
          <cell r="AC97">
            <v>159.20000000000002</v>
          </cell>
          <cell r="AD97">
            <v>22325</v>
          </cell>
          <cell r="AF97">
            <v>444.2</v>
          </cell>
          <cell r="AG97">
            <v>367.2</v>
          </cell>
          <cell r="AH97">
            <v>77</v>
          </cell>
          <cell r="AI97">
            <v>54.400000000000006</v>
          </cell>
          <cell r="AJ97">
            <v>0</v>
          </cell>
          <cell r="AK97">
            <v>3450.5999999999995</v>
          </cell>
          <cell r="AL97">
            <v>97564.295151515151</v>
          </cell>
        </row>
        <row r="98">
          <cell r="F98">
            <v>87</v>
          </cell>
          <cell r="P98">
            <v>627.20000000000005</v>
          </cell>
          <cell r="S98">
            <v>1365.6</v>
          </cell>
          <cell r="X98">
            <v>175.20000000000002</v>
          </cell>
          <cell r="AC98">
            <v>159.20000000000002</v>
          </cell>
          <cell r="AF98">
            <v>444.2</v>
          </cell>
          <cell r="AG98">
            <v>367.2</v>
          </cell>
          <cell r="AH98">
            <v>0</v>
          </cell>
          <cell r="AI98">
            <v>54.400000000000006</v>
          </cell>
          <cell r="AK98">
            <v>2853.3999999999996</v>
          </cell>
          <cell r="AL98">
            <v>97564.295151515165</v>
          </cell>
          <cell r="AM98">
            <v>34132.995939509987</v>
          </cell>
        </row>
        <row r="99">
          <cell r="F99">
            <v>0</v>
          </cell>
          <cell r="P99">
            <v>0</v>
          </cell>
          <cell r="X99">
            <v>0</v>
          </cell>
          <cell r="AK99">
            <v>0</v>
          </cell>
        </row>
        <row r="100">
          <cell r="F100">
            <v>597.20000000000005</v>
          </cell>
          <cell r="P100">
            <v>0</v>
          </cell>
          <cell r="S100">
            <v>0</v>
          </cell>
          <cell r="X100">
            <v>0</v>
          </cell>
          <cell r="AC100">
            <v>0</v>
          </cell>
          <cell r="AF100">
            <v>0</v>
          </cell>
          <cell r="AG100">
            <v>0</v>
          </cell>
          <cell r="AH100">
            <v>77</v>
          </cell>
          <cell r="AI100">
            <v>0</v>
          </cell>
          <cell r="AK100">
            <v>597.20000000000005</v>
          </cell>
        </row>
        <row r="101">
          <cell r="P101">
            <v>0</v>
          </cell>
          <cell r="S101">
            <v>0</v>
          </cell>
        </row>
        <row r="102">
          <cell r="S102">
            <v>0</v>
          </cell>
          <cell r="X102">
            <v>0</v>
          </cell>
        </row>
        <row r="104">
          <cell r="AK104">
            <v>0</v>
          </cell>
        </row>
        <row r="105">
          <cell r="AK105">
            <v>0</v>
          </cell>
        </row>
        <row r="106">
          <cell r="F106">
            <v>1047.2</v>
          </cell>
          <cell r="P106">
            <v>0</v>
          </cell>
          <cell r="S106">
            <v>0</v>
          </cell>
          <cell r="X106">
            <v>0</v>
          </cell>
          <cell r="AC106">
            <v>0</v>
          </cell>
          <cell r="AF106">
            <v>0</v>
          </cell>
          <cell r="AG106">
            <v>0</v>
          </cell>
          <cell r="AH106">
            <v>0</v>
          </cell>
          <cell r="AI106">
            <v>0</v>
          </cell>
          <cell r="AK106">
            <v>1047.2</v>
          </cell>
        </row>
        <row r="107">
          <cell r="F107">
            <v>597.20000000000005</v>
          </cell>
          <cell r="S107">
            <v>0</v>
          </cell>
          <cell r="AC107">
            <v>0</v>
          </cell>
          <cell r="AF107">
            <v>0</v>
          </cell>
          <cell r="AG107">
            <v>0</v>
          </cell>
          <cell r="AH107">
            <v>0</v>
          </cell>
          <cell r="AI107">
            <v>0</v>
          </cell>
          <cell r="AK107">
            <v>597.20000000000005</v>
          </cell>
        </row>
        <row r="108">
          <cell r="F108">
            <v>450</v>
          </cell>
          <cell r="P108">
            <v>0</v>
          </cell>
          <cell r="S108">
            <v>0</v>
          </cell>
          <cell r="AC108">
            <v>0</v>
          </cell>
          <cell r="AF108">
            <v>0</v>
          </cell>
          <cell r="AG108">
            <v>0</v>
          </cell>
          <cell r="AH108">
            <v>0</v>
          </cell>
          <cell r="AI108">
            <v>0</v>
          </cell>
          <cell r="AK108">
            <v>450</v>
          </cell>
        </row>
        <row r="109">
          <cell r="F109">
            <v>0</v>
          </cell>
          <cell r="P109">
            <v>0</v>
          </cell>
          <cell r="S109">
            <v>0</v>
          </cell>
          <cell r="X109">
            <v>0</v>
          </cell>
          <cell r="AC109">
            <v>0</v>
          </cell>
          <cell r="AF109">
            <v>0</v>
          </cell>
          <cell r="AG109">
            <v>0</v>
          </cell>
          <cell r="AH109">
            <v>0</v>
          </cell>
          <cell r="AK109">
            <v>0</v>
          </cell>
        </row>
        <row r="110">
          <cell r="F110">
            <v>0</v>
          </cell>
          <cell r="P110">
            <v>0</v>
          </cell>
          <cell r="S110">
            <v>79.800000000000011</v>
          </cell>
          <cell r="X110">
            <v>0</v>
          </cell>
          <cell r="AC110">
            <v>0</v>
          </cell>
          <cell r="AF110">
            <v>0</v>
          </cell>
          <cell r="AG110">
            <v>0</v>
          </cell>
          <cell r="AH110">
            <v>0</v>
          </cell>
          <cell r="AI110">
            <v>64</v>
          </cell>
          <cell r="AK110">
            <v>143.80000000000001</v>
          </cell>
        </row>
        <row r="111">
          <cell r="F111">
            <v>0</v>
          </cell>
          <cell r="P111">
            <v>0</v>
          </cell>
          <cell r="S111">
            <v>79.800000000000011</v>
          </cell>
          <cell r="AC111">
            <v>0</v>
          </cell>
          <cell r="AF111">
            <v>0</v>
          </cell>
          <cell r="AG111">
            <v>0</v>
          </cell>
          <cell r="AH111">
            <v>0</v>
          </cell>
          <cell r="AI111">
            <v>64</v>
          </cell>
          <cell r="AK111">
            <v>143.80000000000001</v>
          </cell>
        </row>
        <row r="112">
          <cell r="F112">
            <v>0</v>
          </cell>
          <cell r="P112">
            <v>0</v>
          </cell>
          <cell r="S112">
            <v>0</v>
          </cell>
          <cell r="X112">
            <v>0</v>
          </cell>
          <cell r="AC112">
            <v>0</v>
          </cell>
          <cell r="AF112">
            <v>0</v>
          </cell>
          <cell r="AG112">
            <v>0</v>
          </cell>
          <cell r="AH112">
            <v>0</v>
          </cell>
          <cell r="AK112">
            <v>0</v>
          </cell>
        </row>
        <row r="113">
          <cell r="F113">
            <v>0</v>
          </cell>
          <cell r="P113">
            <v>0</v>
          </cell>
          <cell r="S113">
            <v>264.8</v>
          </cell>
          <cell r="AC113">
            <v>0</v>
          </cell>
          <cell r="AG113">
            <v>0</v>
          </cell>
          <cell r="AH113">
            <v>0</v>
          </cell>
          <cell r="AK113">
            <v>264.8</v>
          </cell>
          <cell r="AM113">
            <v>0</v>
          </cell>
        </row>
        <row r="114">
          <cell r="F114">
            <v>0</v>
          </cell>
          <cell r="P114">
            <v>0</v>
          </cell>
          <cell r="S114">
            <v>264.8</v>
          </cell>
          <cell r="AH114">
            <v>0</v>
          </cell>
          <cell r="AK114">
            <v>264.8</v>
          </cell>
        </row>
        <row r="115">
          <cell r="F115">
            <v>0</v>
          </cell>
          <cell r="P115">
            <v>0</v>
          </cell>
          <cell r="S115">
            <v>0</v>
          </cell>
          <cell r="AC115">
            <v>0</v>
          </cell>
          <cell r="AG115">
            <v>0</v>
          </cell>
          <cell r="AH115">
            <v>0</v>
          </cell>
          <cell r="AK115">
            <v>0</v>
          </cell>
          <cell r="AL115">
            <v>0</v>
          </cell>
          <cell r="AM115">
            <v>0</v>
          </cell>
        </row>
        <row r="116">
          <cell r="P116">
            <v>0</v>
          </cell>
          <cell r="S116">
            <v>0</v>
          </cell>
          <cell r="AC116">
            <v>0</v>
          </cell>
          <cell r="AG116">
            <v>0</v>
          </cell>
          <cell r="AH116">
            <v>0</v>
          </cell>
          <cell r="AK116">
            <v>0</v>
          </cell>
        </row>
        <row r="117">
          <cell r="F117">
            <v>0</v>
          </cell>
          <cell r="P117">
            <v>0</v>
          </cell>
          <cell r="S117">
            <v>0</v>
          </cell>
          <cell r="AC117">
            <v>0</v>
          </cell>
          <cell r="AF117">
            <v>0</v>
          </cell>
          <cell r="AG117">
            <v>0</v>
          </cell>
          <cell r="AH117">
            <v>0</v>
          </cell>
          <cell r="AK117">
            <v>0</v>
          </cell>
        </row>
        <row r="118">
          <cell r="P118">
            <v>0</v>
          </cell>
          <cell r="X118">
            <v>0</v>
          </cell>
          <cell r="AC118">
            <v>0</v>
          </cell>
          <cell r="AG118">
            <v>0</v>
          </cell>
          <cell r="AH118">
            <v>0</v>
          </cell>
          <cell r="AK118">
            <v>0</v>
          </cell>
        </row>
        <row r="119">
          <cell r="F119">
            <v>250.66666666666666</v>
          </cell>
          <cell r="AK119">
            <v>250.66666666666666</v>
          </cell>
        </row>
        <row r="120">
          <cell r="S120">
            <v>0</v>
          </cell>
          <cell r="X120">
            <v>0</v>
          </cell>
          <cell r="AF120">
            <v>0</v>
          </cell>
          <cell r="AK120">
            <v>0</v>
          </cell>
        </row>
        <row r="121">
          <cell r="F121">
            <v>8992</v>
          </cell>
          <cell r="AK121">
            <v>8992</v>
          </cell>
        </row>
        <row r="122">
          <cell r="AK122">
            <v>0</v>
          </cell>
        </row>
        <row r="123">
          <cell r="AK123">
            <v>-4642</v>
          </cell>
          <cell r="AL123">
            <v>-6716.1982727272625</v>
          </cell>
        </row>
        <row r="124">
          <cell r="F124">
            <v>0</v>
          </cell>
        </row>
        <row r="125">
          <cell r="F125">
            <v>10289.866666666667</v>
          </cell>
          <cell r="G125">
            <v>0</v>
          </cell>
          <cell r="H125">
            <v>0</v>
          </cell>
          <cell r="P125">
            <v>0</v>
          </cell>
          <cell r="Q125">
            <v>0</v>
          </cell>
          <cell r="R125">
            <v>0</v>
          </cell>
          <cell r="S125">
            <v>344.6</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64</v>
          </cell>
          <cell r="AJ125">
            <v>0</v>
          </cell>
          <cell r="AK125">
            <v>10698.466666666667</v>
          </cell>
          <cell r="AN125">
            <v>0</v>
          </cell>
          <cell r="AO125">
            <v>0</v>
          </cell>
          <cell r="AP125">
            <v>0</v>
          </cell>
          <cell r="AQ125">
            <v>0</v>
          </cell>
        </row>
        <row r="126">
          <cell r="F126">
            <v>10289.866666666667</v>
          </cell>
          <cell r="G126">
            <v>0</v>
          </cell>
          <cell r="H126">
            <v>0</v>
          </cell>
          <cell r="P126">
            <v>0</v>
          </cell>
          <cell r="S126">
            <v>344.6</v>
          </cell>
          <cell r="X126">
            <v>0</v>
          </cell>
          <cell r="Y126">
            <v>0</v>
          </cell>
          <cell r="Z126">
            <v>0</v>
          </cell>
          <cell r="AC126">
            <v>0</v>
          </cell>
          <cell r="AD126">
            <v>0</v>
          </cell>
          <cell r="AE126">
            <v>0</v>
          </cell>
          <cell r="AF126">
            <v>0</v>
          </cell>
          <cell r="AG126">
            <v>0</v>
          </cell>
          <cell r="AH126">
            <v>77</v>
          </cell>
          <cell r="AI126">
            <v>64</v>
          </cell>
          <cell r="AJ126">
            <v>0</v>
          </cell>
          <cell r="AK126">
            <v>6056.4666666666672</v>
          </cell>
        </row>
        <row r="127">
          <cell r="AK127">
            <v>3982.2683939394046</v>
          </cell>
          <cell r="AL127">
            <v>10698.466666666667</v>
          </cell>
        </row>
        <row r="128">
          <cell r="AK128">
            <v>3982.2683939394046</v>
          </cell>
        </row>
        <row r="129">
          <cell r="AK129">
            <v>5688.9548484848638</v>
          </cell>
          <cell r="AL129">
            <v>12271.625004345056</v>
          </cell>
          <cell r="AM129">
            <v>-7447.9201558602144</v>
          </cell>
        </row>
        <row r="131">
          <cell r="AK131">
            <v>1706.6864545454591</v>
          </cell>
          <cell r="AN131">
            <v>0</v>
          </cell>
        </row>
        <row r="134">
          <cell r="AK134">
            <v>56002</v>
          </cell>
          <cell r="AM134">
            <v>56002</v>
          </cell>
          <cell r="AN134">
            <v>0</v>
          </cell>
          <cell r="AP134">
            <v>0</v>
          </cell>
        </row>
        <row r="135">
          <cell r="AK135">
            <v>-7447.9201558602144</v>
          </cell>
          <cell r="AN135">
            <v>0</v>
          </cell>
        </row>
        <row r="136">
          <cell r="AK136">
            <v>35.44</v>
          </cell>
          <cell r="AN136" t="e">
            <v>#DIV/0!</v>
          </cell>
        </row>
        <row r="137">
          <cell r="AK137">
            <v>40.159999999999997</v>
          </cell>
          <cell r="AN137" t="e">
            <v>#DIV/0!</v>
          </cell>
        </row>
        <row r="138">
          <cell r="AK138">
            <v>0</v>
          </cell>
          <cell r="AN138">
            <v>0</v>
          </cell>
        </row>
        <row r="140">
          <cell r="AK140">
            <v>10.96</v>
          </cell>
          <cell r="AN140" t="e">
            <v>#DIV/0!</v>
          </cell>
        </row>
        <row r="142">
          <cell r="AJ142">
            <v>0</v>
          </cell>
          <cell r="AK142">
            <v>8.6199999999999992</v>
          </cell>
          <cell r="AN142" t="e">
            <v>#DIV/0!</v>
          </cell>
        </row>
        <row r="143">
          <cell r="AK143">
            <v>43363</v>
          </cell>
          <cell r="AL143">
            <v>43363</v>
          </cell>
        </row>
        <row r="145">
          <cell r="AJ145">
            <v>300</v>
          </cell>
        </row>
        <row r="146">
          <cell r="AK146">
            <v>15283.523809523811</v>
          </cell>
          <cell r="AL146">
            <v>-34114.374995654944</v>
          </cell>
          <cell r="AM146">
            <v>-63449.920155860214</v>
          </cell>
        </row>
        <row r="147">
          <cell r="S147">
            <v>0</v>
          </cell>
          <cell r="AK147">
            <v>865.25</v>
          </cell>
        </row>
        <row r="149">
          <cell r="AJ149">
            <v>0</v>
          </cell>
          <cell r="AK149">
            <v>99365</v>
          </cell>
          <cell r="AL149">
            <v>43363</v>
          </cell>
          <cell r="AM149">
            <v>56002</v>
          </cell>
          <cell r="AN149">
            <v>0</v>
          </cell>
        </row>
        <row r="150">
          <cell r="AK150">
            <v>0</v>
          </cell>
        </row>
        <row r="151">
          <cell r="AK151">
            <v>102388</v>
          </cell>
          <cell r="AL151">
            <v>46386</v>
          </cell>
          <cell r="AM151">
            <v>56002</v>
          </cell>
        </row>
        <row r="152">
          <cell r="AK152">
            <v>0</v>
          </cell>
          <cell r="AN152">
            <v>1492</v>
          </cell>
          <cell r="AO152">
            <v>5696</v>
          </cell>
          <cell r="AP152">
            <v>3635.9881257792413</v>
          </cell>
          <cell r="AQ152">
            <v>10717.778372219782</v>
          </cell>
        </row>
        <row r="153">
          <cell r="AK153">
            <v>5.8</v>
          </cell>
          <cell r="AL153">
            <v>36</v>
          </cell>
          <cell r="AM153">
            <v>-11.7</v>
          </cell>
        </row>
        <row r="154">
          <cell r="AK154">
            <v>15.66507889570549</v>
          </cell>
          <cell r="AL154">
            <v>-100</v>
          </cell>
          <cell r="AM154">
            <v>-100</v>
          </cell>
        </row>
        <row r="155">
          <cell r="AL155">
            <v>0</v>
          </cell>
          <cell r="AM155">
            <v>0</v>
          </cell>
        </row>
        <row r="157">
          <cell r="F157">
            <v>0</v>
          </cell>
          <cell r="P157">
            <v>0</v>
          </cell>
          <cell r="S157">
            <v>0</v>
          </cell>
          <cell r="X157">
            <v>0</v>
          </cell>
          <cell r="AC157">
            <v>0</v>
          </cell>
          <cell r="AI157">
            <v>0</v>
          </cell>
          <cell r="AJ157">
            <v>142</v>
          </cell>
          <cell r="AK157">
            <v>0</v>
          </cell>
        </row>
        <row r="158">
          <cell r="F158">
            <v>583.6</v>
          </cell>
          <cell r="P158">
            <v>699.4</v>
          </cell>
          <cell r="S158">
            <v>1291.1454545454546</v>
          </cell>
          <cell r="X158">
            <v>661.0363636363636</v>
          </cell>
          <cell r="AC158">
            <v>482.8</v>
          </cell>
          <cell r="AF158">
            <v>506</v>
          </cell>
          <cell r="AG158">
            <v>506</v>
          </cell>
          <cell r="AH158">
            <v>0</v>
          </cell>
          <cell r="AK158">
            <v>4223.9818181818182</v>
          </cell>
        </row>
        <row r="159">
          <cell r="F159">
            <v>583.6</v>
          </cell>
          <cell r="P159">
            <v>538.20000000000005</v>
          </cell>
          <cell r="S159">
            <v>737</v>
          </cell>
          <cell r="X159">
            <v>351</v>
          </cell>
          <cell r="AC159">
            <v>184.8</v>
          </cell>
          <cell r="AF159">
            <v>67.2</v>
          </cell>
          <cell r="AG159">
            <v>67.2</v>
          </cell>
          <cell r="AH159">
            <v>0</v>
          </cell>
          <cell r="AK159">
            <v>2394.6000000000004</v>
          </cell>
        </row>
        <row r="160">
          <cell r="F160">
            <v>583.6</v>
          </cell>
          <cell r="P160">
            <v>56</v>
          </cell>
          <cell r="S160">
            <v>130.4</v>
          </cell>
          <cell r="X160">
            <v>72.760000000000019</v>
          </cell>
          <cell r="AC160">
            <v>72.8</v>
          </cell>
          <cell r="AF160">
            <v>56</v>
          </cell>
          <cell r="AG160">
            <v>56</v>
          </cell>
          <cell r="AH160">
            <v>0</v>
          </cell>
          <cell r="AI160">
            <v>525.04000000000008</v>
          </cell>
          <cell r="AK160">
            <v>1496.6</v>
          </cell>
        </row>
        <row r="161">
          <cell r="AK161">
            <v>0</v>
          </cell>
        </row>
        <row r="162">
          <cell r="AK162">
            <v>0</v>
          </cell>
        </row>
        <row r="163">
          <cell r="F163">
            <v>14.170833333333334</v>
          </cell>
          <cell r="AK163">
            <v>14.170833333333334</v>
          </cell>
        </row>
        <row r="164">
          <cell r="P164">
            <v>70</v>
          </cell>
          <cell r="S164">
            <v>408.72727272727275</v>
          </cell>
          <cell r="X164">
            <v>278.18181818181819</v>
          </cell>
          <cell r="AC164">
            <v>203</v>
          </cell>
          <cell r="AG164">
            <v>121</v>
          </cell>
          <cell r="AK164">
            <v>959.90909090909099</v>
          </cell>
        </row>
        <row r="165">
          <cell r="F165">
            <v>124.60000000000002</v>
          </cell>
          <cell r="S165">
            <v>882.41818181818189</v>
          </cell>
          <cell r="X165">
            <v>382.85454545454542</v>
          </cell>
          <cell r="AC165">
            <v>279.8</v>
          </cell>
          <cell r="AK165">
            <v>1669.6727272727273</v>
          </cell>
        </row>
        <row r="166">
          <cell r="S166">
            <v>1291.1454545454546</v>
          </cell>
          <cell r="X166">
            <v>661.0363636363636</v>
          </cell>
          <cell r="AC166">
            <v>482.8</v>
          </cell>
        </row>
        <row r="167">
          <cell r="F167">
            <v>459</v>
          </cell>
          <cell r="P167">
            <v>0</v>
          </cell>
          <cell r="S167">
            <v>0</v>
          </cell>
          <cell r="X167">
            <v>0</v>
          </cell>
          <cell r="AC167">
            <v>0</v>
          </cell>
          <cell r="AK167">
            <v>459</v>
          </cell>
        </row>
        <row r="168">
          <cell r="S168">
            <v>0</v>
          </cell>
          <cell r="X168">
            <v>0</v>
          </cell>
          <cell r="AC168">
            <v>0</v>
          </cell>
          <cell r="AF168">
            <v>0</v>
          </cell>
          <cell r="AG168">
            <v>0</v>
          </cell>
          <cell r="AH168">
            <v>0</v>
          </cell>
          <cell r="AK168">
            <v>0</v>
          </cell>
        </row>
        <row r="169">
          <cell r="F169">
            <v>684.2</v>
          </cell>
          <cell r="G169">
            <v>15552.966666666667</v>
          </cell>
          <cell r="H169">
            <v>0</v>
          </cell>
          <cell r="P169">
            <v>627.20000000000005</v>
          </cell>
          <cell r="Q169">
            <v>0</v>
          </cell>
          <cell r="R169">
            <v>0</v>
          </cell>
          <cell r="S169">
            <v>1710.1999999999998</v>
          </cell>
          <cell r="T169">
            <v>0</v>
          </cell>
          <cell r="U169">
            <v>0</v>
          </cell>
          <cell r="V169">
            <v>0</v>
          </cell>
          <cell r="W169">
            <v>0</v>
          </cell>
          <cell r="X169">
            <v>175.20000000000002</v>
          </cell>
          <cell r="Y169">
            <v>25490.454545454544</v>
          </cell>
          <cell r="Z169">
            <v>0</v>
          </cell>
          <cell r="AA169">
            <v>0</v>
          </cell>
          <cell r="AB169">
            <v>0</v>
          </cell>
          <cell r="AC169">
            <v>159.20000000000002</v>
          </cell>
          <cell r="AD169">
            <v>22325</v>
          </cell>
          <cell r="AE169">
            <v>0</v>
          </cell>
          <cell r="AF169">
            <v>444.2</v>
          </cell>
          <cell r="AG169">
            <v>367.2</v>
          </cell>
          <cell r="AH169">
            <v>77</v>
          </cell>
          <cell r="AI169">
            <v>118.4</v>
          </cell>
          <cell r="AJ169">
            <v>0</v>
          </cell>
          <cell r="AK169">
            <v>3859.1999999999994</v>
          </cell>
        </row>
        <row r="170">
          <cell r="F170">
            <v>684.2</v>
          </cell>
          <cell r="G170">
            <v>15552.966666666667</v>
          </cell>
          <cell r="H170">
            <v>0</v>
          </cell>
          <cell r="P170">
            <v>627.20000000000005</v>
          </cell>
          <cell r="Q170">
            <v>0</v>
          </cell>
          <cell r="R170">
            <v>0</v>
          </cell>
          <cell r="S170">
            <v>1445.3999999999999</v>
          </cell>
          <cell r="T170">
            <v>0</v>
          </cell>
          <cell r="U170">
            <v>0</v>
          </cell>
          <cell r="V170">
            <v>0</v>
          </cell>
          <cell r="W170">
            <v>0</v>
          </cell>
          <cell r="X170">
            <v>175.20000000000002</v>
          </cell>
          <cell r="Y170">
            <v>25490.454545454544</v>
          </cell>
          <cell r="Z170">
            <v>0</v>
          </cell>
          <cell r="AA170">
            <v>0</v>
          </cell>
          <cell r="AB170">
            <v>0</v>
          </cell>
          <cell r="AC170">
            <v>159.20000000000002</v>
          </cell>
          <cell r="AD170">
            <v>22325</v>
          </cell>
          <cell r="AE170">
            <v>0</v>
          </cell>
          <cell r="AF170">
            <v>444.2</v>
          </cell>
          <cell r="AG170">
            <v>367.2</v>
          </cell>
          <cell r="AH170">
            <v>77</v>
          </cell>
          <cell r="AI170">
            <v>118.4</v>
          </cell>
          <cell r="AJ170">
            <v>0</v>
          </cell>
          <cell r="AK170">
            <v>3594.3999999999992</v>
          </cell>
        </row>
        <row r="171">
          <cell r="F171">
            <v>0</v>
          </cell>
          <cell r="G171">
            <v>0</v>
          </cell>
          <cell r="H171">
            <v>0</v>
          </cell>
          <cell r="P171">
            <v>0</v>
          </cell>
          <cell r="R171">
            <v>0</v>
          </cell>
          <cell r="S171">
            <v>264.8</v>
          </cell>
          <cell r="T171">
            <v>0</v>
          </cell>
          <cell r="U171">
            <v>0</v>
          </cell>
          <cell r="V171">
            <v>0</v>
          </cell>
          <cell r="W171">
            <v>0</v>
          </cell>
          <cell r="X171">
            <v>0</v>
          </cell>
          <cell r="Y171">
            <v>0</v>
          </cell>
          <cell r="Z171">
            <v>0</v>
          </cell>
          <cell r="AA171">
            <v>0</v>
          </cell>
          <cell r="AB171">
            <v>0</v>
          </cell>
          <cell r="AC171">
            <v>0</v>
          </cell>
          <cell r="AE171">
            <v>0</v>
          </cell>
          <cell r="AF171">
            <v>0</v>
          </cell>
          <cell r="AG171">
            <v>0</v>
          </cell>
          <cell r="AH171">
            <v>0</v>
          </cell>
          <cell r="AI171">
            <v>0</v>
          </cell>
          <cell r="AJ171">
            <v>0</v>
          </cell>
          <cell r="AK171">
            <v>264.8</v>
          </cell>
        </row>
        <row r="172">
          <cell r="F172">
            <v>0</v>
          </cell>
          <cell r="AG172">
            <v>0</v>
          </cell>
          <cell r="AK172">
            <v>0</v>
          </cell>
        </row>
        <row r="173">
          <cell r="AK173">
            <v>0</v>
          </cell>
        </row>
        <row r="174">
          <cell r="F174">
            <v>8992</v>
          </cell>
          <cell r="AK174">
            <v>8992</v>
          </cell>
        </row>
        <row r="175">
          <cell r="F175">
            <v>384</v>
          </cell>
          <cell r="P175">
            <v>726</v>
          </cell>
          <cell r="Q175">
            <v>0</v>
          </cell>
          <cell r="R175">
            <v>0</v>
          </cell>
          <cell r="S175">
            <v>1685</v>
          </cell>
          <cell r="T175">
            <v>625.85363636363627</v>
          </cell>
          <cell r="U175">
            <v>650.41909090909098</v>
          </cell>
          <cell r="V175">
            <v>0</v>
          </cell>
          <cell r="W175">
            <v>0</v>
          </cell>
          <cell r="X175">
            <v>653</v>
          </cell>
          <cell r="AA175">
            <v>0</v>
          </cell>
          <cell r="AB175">
            <v>0</v>
          </cell>
          <cell r="AC175">
            <v>535</v>
          </cell>
          <cell r="AF175">
            <v>1440</v>
          </cell>
          <cell r="AG175">
            <v>1367</v>
          </cell>
          <cell r="AH175">
            <v>73</v>
          </cell>
          <cell r="AJ175">
            <v>0</v>
          </cell>
          <cell r="AK175">
            <v>5684</v>
          </cell>
          <cell r="AN175">
            <v>173</v>
          </cell>
          <cell r="AO175">
            <v>694</v>
          </cell>
          <cell r="AP175">
            <v>736</v>
          </cell>
          <cell r="AQ175">
            <v>2144</v>
          </cell>
        </row>
        <row r="176">
          <cell r="F176">
            <v>0</v>
          </cell>
          <cell r="G176">
            <v>0</v>
          </cell>
          <cell r="H176">
            <v>0</v>
          </cell>
          <cell r="P176">
            <v>70</v>
          </cell>
          <cell r="Q176">
            <v>0</v>
          </cell>
          <cell r="R176">
            <v>0</v>
          </cell>
          <cell r="S176">
            <v>408.72727272727275</v>
          </cell>
          <cell r="T176">
            <v>0</v>
          </cell>
          <cell r="U176">
            <v>0</v>
          </cell>
          <cell r="V176">
            <v>0</v>
          </cell>
          <cell r="W176">
            <v>0</v>
          </cell>
          <cell r="X176">
            <v>278.18181818181819</v>
          </cell>
          <cell r="Y176">
            <v>86</v>
          </cell>
          <cell r="Z176">
            <v>192.18181818181819</v>
          </cell>
          <cell r="AA176">
            <v>0</v>
          </cell>
          <cell r="AB176">
            <v>0</v>
          </cell>
          <cell r="AC176">
            <v>203</v>
          </cell>
          <cell r="AD176">
            <v>67</v>
          </cell>
          <cell r="AE176">
            <v>136</v>
          </cell>
          <cell r="AF176">
            <v>121</v>
          </cell>
          <cell r="AG176">
            <v>121</v>
          </cell>
          <cell r="AH176">
            <v>0</v>
          </cell>
        </row>
        <row r="177">
          <cell r="F177">
            <v>18.666666666666664</v>
          </cell>
          <cell r="P177">
            <v>48.800000000000004</v>
          </cell>
          <cell r="Q177">
            <v>0</v>
          </cell>
          <cell r="R177">
            <v>0</v>
          </cell>
          <cell r="S177">
            <v>22.400000000000002</v>
          </cell>
          <cell r="T177">
            <v>16.8</v>
          </cell>
          <cell r="U177">
            <v>0</v>
          </cell>
          <cell r="V177">
            <v>0</v>
          </cell>
          <cell r="W177">
            <v>0</v>
          </cell>
          <cell r="X177">
            <v>791.2</v>
          </cell>
          <cell r="AA177">
            <v>0</v>
          </cell>
          <cell r="AB177">
            <v>0</v>
          </cell>
          <cell r="AC177">
            <v>32.800000000000004</v>
          </cell>
          <cell r="AF177">
            <v>12</v>
          </cell>
          <cell r="AG177">
            <v>11</v>
          </cell>
          <cell r="AH177">
            <v>1</v>
          </cell>
          <cell r="AI177">
            <v>0</v>
          </cell>
          <cell r="AJ177">
            <v>0</v>
          </cell>
          <cell r="AK177">
            <v>2631.5531212121259</v>
          </cell>
          <cell r="AN177">
            <v>258</v>
          </cell>
          <cell r="AO177">
            <v>574</v>
          </cell>
          <cell r="AP177">
            <v>52.800000000000011</v>
          </cell>
          <cell r="AQ177">
            <v>40.066666666666663</v>
          </cell>
        </row>
        <row r="180">
          <cell r="F180">
            <v>1542.6999999999987</v>
          </cell>
          <cell r="P180">
            <v>610.20000000000027</v>
          </cell>
          <cell r="S180">
            <v>3741.1999999999962</v>
          </cell>
          <cell r="X180">
            <v>402.39999999999844</v>
          </cell>
          <cell r="AC180">
            <v>306.40000000000003</v>
          </cell>
          <cell r="AF180">
            <v>1535</v>
          </cell>
          <cell r="AG180">
            <v>1031.8800000000001</v>
          </cell>
          <cell r="AH180">
            <v>503.12</v>
          </cell>
          <cell r="AO180">
            <v>1507.2</v>
          </cell>
        </row>
        <row r="181">
          <cell r="AN181" t="str">
            <v>ОЧИК.18.02.</v>
          </cell>
        </row>
        <row r="184">
          <cell r="F184" t="str">
            <v>АПАРАТ ВСЬОГО</v>
          </cell>
          <cell r="G184" t="str">
            <v>АПАРАТ ЕЛЕКТРО</v>
          </cell>
          <cell r="H184" t="str">
            <v>АПАРАТ ТЕПЛО</v>
          </cell>
          <cell r="P184" t="str">
            <v>ККМ</v>
          </cell>
          <cell r="S184" t="str">
            <v>КТМ</v>
          </cell>
          <cell r="X184" t="str">
            <v>ТЕЦ-5 ВСЬОГО</v>
          </cell>
          <cell r="Y184" t="str">
            <v>Е/Е</v>
          </cell>
          <cell r="Z184" t="str">
            <v xml:space="preserve"> Т/Е</v>
          </cell>
          <cell r="AC184" t="str">
            <v>ТЕЦ-6 ВСЬОГО</v>
          </cell>
          <cell r="AD184" t="str">
            <v>Е/Е</v>
          </cell>
          <cell r="AE184" t="str">
            <v xml:space="preserve"> Т/Е</v>
          </cell>
          <cell r="AF184" t="str">
            <v>Е/Е</v>
          </cell>
          <cell r="AG184" t="str">
            <v xml:space="preserve"> Т/Е</v>
          </cell>
          <cell r="AI184" t="str">
            <v xml:space="preserve">ДОП.ВИР. </v>
          </cell>
          <cell r="AJ184" t="str">
            <v>ДОП.ВИР. СТ.ОРГ.</v>
          </cell>
          <cell r="AK184" t="str">
            <v>АК КЕ ВСЬОГО</v>
          </cell>
          <cell r="AL184" t="str">
            <v>Е/Е</v>
          </cell>
          <cell r="AM184" t="str">
            <v xml:space="preserve"> Т/Е</v>
          </cell>
          <cell r="AN184" t="str">
            <v>СТАНЦІї ЕЛЕКТРО</v>
          </cell>
          <cell r="AO184" t="str">
            <v>СТАНЦІІ ТЕПЛОВІ</v>
          </cell>
          <cell r="AP184" t="str">
            <v>МЕРЕЖІ ЕЛЕКТРО</v>
          </cell>
          <cell r="AQ184" t="str">
            <v>МЕРЕЖІ ТЕПЛОВІ</v>
          </cell>
        </row>
        <row r="185">
          <cell r="F185" t="str">
            <v>АПАРАТ ВСЬОГО</v>
          </cell>
          <cell r="G185" t="str">
            <v>АПАРАТ ЕЛЕКТРО</v>
          </cell>
          <cell r="H185" t="str">
            <v>АПАРАТ ТЕПЛО</v>
          </cell>
          <cell r="P185" t="str">
            <v>ККМ</v>
          </cell>
          <cell r="S185" t="str">
            <v>КТМ</v>
          </cell>
          <cell r="X185" t="str">
            <v>ТЕЦ-5 ВСЬОГО</v>
          </cell>
          <cell r="Y185" t="str">
            <v>Е/Е</v>
          </cell>
          <cell r="Z185" t="str">
            <v xml:space="preserve"> Т/Е</v>
          </cell>
          <cell r="AC185" t="str">
            <v>ТЕЦ-6 ВСЬОГО</v>
          </cell>
          <cell r="AD185" t="str">
            <v>Е/Е</v>
          </cell>
          <cell r="AE185" t="str">
            <v xml:space="preserve"> Т/Е</v>
          </cell>
          <cell r="AF185" t="str">
            <v>Е/Е</v>
          </cell>
          <cell r="AG185" t="str">
            <v xml:space="preserve"> Т/Е</v>
          </cell>
          <cell r="AJ185" t="str">
            <v>ДОП.ВИР. СТ.ОРГ.</v>
          </cell>
          <cell r="AK185" t="str">
            <v>АК КЕ ВСЬОГО</v>
          </cell>
          <cell r="AL185" t="str">
            <v xml:space="preserve"> Т/Е</v>
          </cell>
        </row>
        <row r="187">
          <cell r="S187">
            <v>97.3</v>
          </cell>
          <cell r="X187">
            <v>89.2</v>
          </cell>
          <cell r="AC187">
            <v>73.2</v>
          </cell>
          <cell r="AK187">
            <v>259.7</v>
          </cell>
          <cell r="AN187">
            <v>221.49122807017542</v>
          </cell>
        </row>
        <row r="188">
          <cell r="S188">
            <v>111.9</v>
          </cell>
          <cell r="X188">
            <v>102.5</v>
          </cell>
          <cell r="AC188">
            <v>84.2</v>
          </cell>
          <cell r="AK188">
            <v>298.60000000000002</v>
          </cell>
          <cell r="AN188">
            <v>252.49999999999997</v>
          </cell>
        </row>
        <row r="189">
          <cell r="P189">
            <v>0</v>
          </cell>
          <cell r="S189">
            <v>0</v>
          </cell>
          <cell r="X189">
            <v>0</v>
          </cell>
          <cell r="AC189">
            <v>0</v>
          </cell>
          <cell r="AK189">
            <v>377.7</v>
          </cell>
          <cell r="AN189">
            <v>66</v>
          </cell>
        </row>
        <row r="190">
          <cell r="P190">
            <v>0</v>
          </cell>
          <cell r="S190">
            <v>194.5</v>
          </cell>
          <cell r="X190">
            <v>194.5</v>
          </cell>
          <cell r="AC190">
            <v>194.5</v>
          </cell>
          <cell r="AK190">
            <v>194.5</v>
          </cell>
          <cell r="AN190">
            <v>0</v>
          </cell>
        </row>
        <row r="191">
          <cell r="P191">
            <v>0</v>
          </cell>
          <cell r="S191">
            <v>18925</v>
          </cell>
          <cell r="X191">
            <v>17350</v>
          </cell>
          <cell r="AC191">
            <v>14237</v>
          </cell>
          <cell r="AK191">
            <v>50512</v>
          </cell>
          <cell r="AN191">
            <v>0</v>
          </cell>
        </row>
        <row r="192">
          <cell r="S192">
            <v>19500</v>
          </cell>
          <cell r="X192">
            <v>22503</v>
          </cell>
          <cell r="AC192">
            <v>21502</v>
          </cell>
          <cell r="AK192">
            <v>50512</v>
          </cell>
        </row>
        <row r="193">
          <cell r="X193">
            <v>0</v>
          </cell>
          <cell r="AC193">
            <v>0</v>
          </cell>
          <cell r="AK193">
            <v>0</v>
          </cell>
        </row>
        <row r="194">
          <cell r="X194">
            <v>0</v>
          </cell>
          <cell r="AC194">
            <v>0</v>
          </cell>
          <cell r="AK194">
            <v>0</v>
          </cell>
        </row>
        <row r="195">
          <cell r="X195">
            <v>82.5</v>
          </cell>
          <cell r="AC195">
            <v>82.5</v>
          </cell>
          <cell r="AK195">
            <v>0</v>
          </cell>
        </row>
        <row r="196">
          <cell r="X196">
            <v>0</v>
          </cell>
          <cell r="AC196">
            <v>0</v>
          </cell>
          <cell r="AK196">
            <v>0</v>
          </cell>
        </row>
        <row r="197">
          <cell r="S197">
            <v>0</v>
          </cell>
          <cell r="X197">
            <v>0</v>
          </cell>
          <cell r="AC197">
            <v>0</v>
          </cell>
          <cell r="AK197">
            <v>0</v>
          </cell>
        </row>
        <row r="198">
          <cell r="S198">
            <v>0</v>
          </cell>
          <cell r="X198">
            <v>0</v>
          </cell>
          <cell r="AC198">
            <v>0</v>
          </cell>
          <cell r="AK198">
            <v>0</v>
          </cell>
        </row>
        <row r="199">
          <cell r="X199">
            <v>13.4</v>
          </cell>
          <cell r="AC199">
            <v>16.100000000000001</v>
          </cell>
          <cell r="AK199">
            <v>29.5</v>
          </cell>
          <cell r="AN199">
            <v>75.839416058394164</v>
          </cell>
        </row>
        <row r="200">
          <cell r="X200">
            <v>18.5</v>
          </cell>
          <cell r="AC200">
            <v>22.2</v>
          </cell>
          <cell r="AK200">
            <v>40.700000000000003</v>
          </cell>
          <cell r="AN200">
            <v>103.9</v>
          </cell>
        </row>
        <row r="201">
          <cell r="F201">
            <v>75</v>
          </cell>
          <cell r="P201">
            <v>75</v>
          </cell>
          <cell r="X201">
            <v>5.7</v>
          </cell>
          <cell r="AC201">
            <v>5.9</v>
          </cell>
          <cell r="AJ201">
            <v>0</v>
          </cell>
          <cell r="AK201">
            <v>11.600000000000001</v>
          </cell>
          <cell r="AN201" t="e">
            <v>#DIV/0!</v>
          </cell>
          <cell r="AQ201">
            <v>75</v>
          </cell>
        </row>
        <row r="202">
          <cell r="F202">
            <v>75</v>
          </cell>
          <cell r="S202">
            <v>385</v>
          </cell>
          <cell r="X202">
            <v>385</v>
          </cell>
          <cell r="AC202">
            <v>385</v>
          </cell>
          <cell r="AJ202">
            <v>0</v>
          </cell>
          <cell r="AK202">
            <v>385</v>
          </cell>
          <cell r="AN202">
            <v>195.28</v>
          </cell>
        </row>
        <row r="203">
          <cell r="S203">
            <v>0</v>
          </cell>
          <cell r="X203">
            <v>5159</v>
          </cell>
          <cell r="AC203">
            <v>6200</v>
          </cell>
          <cell r="AK203">
            <v>11358</v>
          </cell>
          <cell r="AN203">
            <v>14810</v>
          </cell>
        </row>
        <row r="204">
          <cell r="S204">
            <v>0</v>
          </cell>
          <cell r="X204">
            <v>2466</v>
          </cell>
          <cell r="AC204">
            <v>2526</v>
          </cell>
          <cell r="AK204">
            <v>11359</v>
          </cell>
        </row>
        <row r="205">
          <cell r="S205">
            <v>111.9</v>
          </cell>
          <cell r="X205">
            <v>121</v>
          </cell>
          <cell r="Y205">
            <v>37.5</v>
          </cell>
          <cell r="Z205">
            <v>83.5</v>
          </cell>
          <cell r="AC205">
            <v>106.4</v>
          </cell>
          <cell r="AD205">
            <v>34.799999999999997</v>
          </cell>
          <cell r="AE205">
            <v>71.600000000000009</v>
          </cell>
          <cell r="AK205">
            <v>339.3</v>
          </cell>
          <cell r="AL205">
            <v>72.3</v>
          </cell>
          <cell r="AM205">
            <v>267</v>
          </cell>
          <cell r="AN205">
            <v>356.4</v>
          </cell>
          <cell r="AO205">
            <v>74.900000000000006</v>
          </cell>
          <cell r="AP205">
            <v>281.5</v>
          </cell>
        </row>
        <row r="206">
          <cell r="S206">
            <v>18925</v>
          </cell>
          <cell r="X206">
            <v>22509</v>
          </cell>
          <cell r="Y206">
            <v>8375.0975609756097</v>
          </cell>
          <cell r="Z206">
            <v>14133.90243902439</v>
          </cell>
          <cell r="AA206">
            <v>14133.90243902439</v>
          </cell>
          <cell r="AC206">
            <v>20437</v>
          </cell>
          <cell r="AD206">
            <v>8330.4774346793329</v>
          </cell>
          <cell r="AE206">
            <v>12106.522565320667</v>
          </cell>
          <cell r="AK206">
            <v>61870</v>
          </cell>
          <cell r="AL206">
            <v>16705.574995654941</v>
          </cell>
          <cell r="AM206">
            <v>45165.425004345059</v>
          </cell>
          <cell r="AN206">
            <v>14810</v>
          </cell>
          <cell r="AO206">
            <v>3112.427048260382</v>
          </cell>
          <cell r="AP206">
            <v>11697.572951739618</v>
          </cell>
        </row>
        <row r="207">
          <cell r="S207">
            <v>169.12</v>
          </cell>
          <cell r="X207">
            <v>186.02</v>
          </cell>
          <cell r="Y207">
            <v>223.34</v>
          </cell>
          <cell r="Z207">
            <v>169.27</v>
          </cell>
          <cell r="AA207">
            <v>13714</v>
          </cell>
          <cell r="AC207">
            <v>192.08</v>
          </cell>
          <cell r="AD207">
            <v>239.38</v>
          </cell>
          <cell r="AE207">
            <v>169.09</v>
          </cell>
          <cell r="AI207">
            <v>0</v>
          </cell>
          <cell r="AJ207">
            <v>0</v>
          </cell>
          <cell r="AK207">
            <v>182.35</v>
          </cell>
          <cell r="AL207">
            <v>231.06</v>
          </cell>
          <cell r="AM207">
            <v>169.16</v>
          </cell>
          <cell r="AN207">
            <v>41.55</v>
          </cell>
          <cell r="AO207">
            <v>41.55</v>
          </cell>
          <cell r="AP207">
            <v>41.55</v>
          </cell>
          <cell r="AQ207">
            <v>0</v>
          </cell>
        </row>
        <row r="208">
          <cell r="S208">
            <v>168.1</v>
          </cell>
          <cell r="X208">
            <v>178.86</v>
          </cell>
          <cell r="Y208">
            <v>194.05</v>
          </cell>
          <cell r="Z208">
            <v>168.06</v>
          </cell>
          <cell r="AC208">
            <v>179.72</v>
          </cell>
          <cell r="AD208">
            <v>193.34</v>
          </cell>
          <cell r="AE208">
            <v>168.25</v>
          </cell>
          <cell r="AJ208">
            <v>0</v>
          </cell>
          <cell r="AK208">
            <v>175.95</v>
          </cell>
          <cell r="AL208">
            <v>168.13</v>
          </cell>
          <cell r="AM208">
            <v>0</v>
          </cell>
          <cell r="AN208">
            <v>52</v>
          </cell>
          <cell r="AO208">
            <v>52</v>
          </cell>
        </row>
        <row r="209">
          <cell r="X209">
            <v>22509</v>
          </cell>
          <cell r="AC209">
            <v>20437</v>
          </cell>
          <cell r="AK209">
            <v>61870</v>
          </cell>
          <cell r="AL209">
            <v>16705.574995654941</v>
          </cell>
          <cell r="AM209">
            <v>45164.425004345059</v>
          </cell>
          <cell r="AN209">
            <v>14862</v>
          </cell>
          <cell r="AO209">
            <v>3164.427048260382</v>
          </cell>
          <cell r="AP209">
            <v>11697.572951739618</v>
          </cell>
        </row>
        <row r="210">
          <cell r="X210">
            <v>24969</v>
          </cell>
          <cell r="AC210">
            <v>24028</v>
          </cell>
          <cell r="AK210">
            <v>68498</v>
          </cell>
          <cell r="AL210" t="e">
            <v>#REF!</v>
          </cell>
        </row>
        <row r="211">
          <cell r="AK211">
            <v>61871</v>
          </cell>
        </row>
        <row r="218">
          <cell r="G218" t="str">
            <v>Б.В.ЯЩЕНКО</v>
          </cell>
        </row>
        <row r="219">
          <cell r="G219" t="str">
            <v>М.В.ТЕРПИЛО</v>
          </cell>
        </row>
        <row r="220">
          <cell r="G220" t="str">
            <v xml:space="preserve">В.І.МИРГОРОДСЬКИЙ                                  </v>
          </cell>
        </row>
        <row r="221">
          <cell r="G221" t="str">
            <v xml:space="preserve">М.І.ШЕВЧЕНКО                                 </v>
          </cell>
        </row>
        <row r="222">
          <cell r="G222" t="str">
            <v>В.Ю.МОНТЬЕВ</v>
          </cell>
        </row>
        <row r="223">
          <cell r="G223" t="str">
            <v xml:space="preserve">О.М.НИКОЛЕНКО      </v>
          </cell>
        </row>
        <row r="224">
          <cell r="G224" t="str">
            <v xml:space="preserve">М.І.ШЕВЧЕНКО                                 </v>
          </cell>
        </row>
        <row r="225">
          <cell r="G225" t="str">
            <v>В.Ю.МОНТЬЕВ</v>
          </cell>
        </row>
        <row r="226">
          <cell r="G226" t="str">
            <v xml:space="preserve">О.М.НИКОЛЕНКО      </v>
          </cell>
        </row>
        <row r="227">
          <cell r="AO227">
            <v>1507.2</v>
          </cell>
        </row>
        <row r="242">
          <cell r="AG242" t="str">
            <v xml:space="preserve">         Затверджую</v>
          </cell>
        </row>
        <row r="243">
          <cell r="AG243" t="str">
            <v xml:space="preserve"> Голова правління </v>
          </cell>
        </row>
        <row r="244">
          <cell r="AG244" t="str">
            <v xml:space="preserve">                        І.В.Плачков</v>
          </cell>
        </row>
        <row r="245">
          <cell r="AG245" t="str">
            <v xml:space="preserve">   "_____" ________2000 р.</v>
          </cell>
        </row>
        <row r="246">
          <cell r="AG246" t="str">
            <v xml:space="preserve"> Голова правління </v>
          </cell>
        </row>
        <row r="247">
          <cell r="AG247" t="str">
            <v xml:space="preserve">                        І.В.Плачков</v>
          </cell>
        </row>
        <row r="248">
          <cell r="AG248" t="str">
            <v xml:space="preserve">   "_____" ________2000 р.</v>
          </cell>
        </row>
        <row r="249">
          <cell r="F249" t="str">
            <v>РОЗРАХУНОК ФІНАНСОВИХ ПОТОКІВ НА   березень  2000 року</v>
          </cell>
        </row>
        <row r="250">
          <cell r="F250" t="str">
            <v>ПО ФІЛІАЛАХ АК КИЇВЕНЕРГО</v>
          </cell>
        </row>
        <row r="252">
          <cell r="F252" t="str">
            <v>РОЗРАХУНОК ФІНАНСОВИХ ПОТОКІВ НА   березень  2000 року</v>
          </cell>
        </row>
        <row r="253">
          <cell r="F253" t="str">
            <v>ПО ФІЛІАЛАХ АК КИЇВЕНЕРГО</v>
          </cell>
        </row>
        <row r="255">
          <cell r="AI255" t="str">
            <v>ТИС.ГРН.</v>
          </cell>
          <cell r="AK255" t="str">
            <v>тис.грн.</v>
          </cell>
        </row>
        <row r="256">
          <cell r="F256" t="str">
            <v>ВИКОН.ДИР.</v>
          </cell>
          <cell r="G256" t="str">
            <v>АПАРАТ ЕЛЕКТРО</v>
          </cell>
          <cell r="H256" t="str">
            <v>АПАРАТ ТЕПЛО</v>
          </cell>
          <cell r="P256" t="str">
            <v>КМ</v>
          </cell>
          <cell r="Q256" t="str">
            <v>ТМ</v>
          </cell>
          <cell r="S256" t="str">
            <v>КТМ</v>
          </cell>
          <cell r="T256" t="str">
            <v>ВИРОБН</v>
          </cell>
          <cell r="U256" t="str">
            <v>ПЕРЕД</v>
          </cell>
          <cell r="X256" t="str">
            <v>ТЕЦ-5 ВСЬОГО</v>
          </cell>
          <cell r="Y256" t="str">
            <v>Е/Е</v>
          </cell>
          <cell r="Z256" t="str">
            <v xml:space="preserve"> Т/Е</v>
          </cell>
          <cell r="AC256" t="str">
            <v>ТЕЦ-6 ВСЬОГО</v>
          </cell>
          <cell r="AD256" t="str">
            <v>Е/Е</v>
          </cell>
          <cell r="AE256" t="str">
            <v xml:space="preserve"> Т/Е</v>
          </cell>
          <cell r="AF256" t="str">
            <v>ТРМ ВСЬОГО</v>
          </cell>
          <cell r="AG256" t="str">
            <v>ТРМ  АК КЕ</v>
          </cell>
          <cell r="AH256" t="str">
            <v>ТРМ СТОР</v>
          </cell>
          <cell r="AI256" t="str">
            <v xml:space="preserve">ДОП.ВИР. </v>
          </cell>
          <cell r="AJ256" t="str">
            <v>ДОП.ВИР. СТ.ОРГ.</v>
          </cell>
          <cell r="AK256" t="str">
            <v>АК КЕ осн.вир.</v>
          </cell>
          <cell r="AL256" t="str">
            <v>АК КЕ ВСЬОГО</v>
          </cell>
          <cell r="AM256" t="str">
            <v xml:space="preserve"> Т/Е</v>
          </cell>
          <cell r="AN256" t="str">
            <v>СТАНЦІї ЕЛЕКТРО</v>
          </cell>
          <cell r="AO256" t="str">
            <v>СТАНЦІІ ТЕПЛОВІ</v>
          </cell>
          <cell r="AP256" t="str">
            <v>МЕРЕЖІ ЕЛЕКТРО</v>
          </cell>
          <cell r="AQ256" t="str">
            <v>МЕРЕЖІ ТЕПЛОВІ</v>
          </cell>
        </row>
        <row r="257">
          <cell r="F257">
            <v>3213.1666666666652</v>
          </cell>
          <cell r="P257">
            <v>2641.6000000000004</v>
          </cell>
          <cell r="S257">
            <v>8041.218181818178</v>
          </cell>
          <cell r="X257">
            <v>2404.6545454545439</v>
          </cell>
          <cell r="AC257">
            <v>1313.2</v>
          </cell>
          <cell r="AF257">
            <v>3816.2</v>
          </cell>
          <cell r="AG257">
            <v>3162.08</v>
          </cell>
          <cell r="AH257">
            <v>655.12</v>
          </cell>
          <cell r="AJ257">
            <v>7599</v>
          </cell>
          <cell r="AK257">
            <v>22345.506060606054</v>
          </cell>
        </row>
        <row r="258">
          <cell r="AK258" t="str">
            <v>тис.грн.</v>
          </cell>
        </row>
        <row r="259">
          <cell r="F259">
            <v>22177.384761904759</v>
          </cell>
          <cell r="G259">
            <v>1438</v>
          </cell>
          <cell r="H259">
            <v>2822.6333333333332</v>
          </cell>
          <cell r="P259">
            <v>2641.6000000000004</v>
          </cell>
          <cell r="Q259">
            <v>0</v>
          </cell>
          <cell r="R259">
            <v>0</v>
          </cell>
          <cell r="S259">
            <v>8041.218181818178</v>
          </cell>
          <cell r="T259">
            <v>4194.2120000000004</v>
          </cell>
          <cell r="U259">
            <v>2131.2061818181819</v>
          </cell>
          <cell r="V259">
            <v>0</v>
          </cell>
          <cell r="W259">
            <v>0</v>
          </cell>
          <cell r="X259">
            <v>2404.6545454545439</v>
          </cell>
          <cell r="Y259">
            <v>692</v>
          </cell>
          <cell r="Z259">
            <v>1537.454545454546</v>
          </cell>
          <cell r="AA259">
            <v>0</v>
          </cell>
          <cell r="AB259">
            <v>0</v>
          </cell>
          <cell r="AC259">
            <v>1313.2</v>
          </cell>
          <cell r="AD259">
            <v>379</v>
          </cell>
          <cell r="AE259">
            <v>775</v>
          </cell>
          <cell r="AF259">
            <v>3816.2</v>
          </cell>
          <cell r="AG259">
            <v>3162.08</v>
          </cell>
          <cell r="AH259">
            <v>655.12</v>
          </cell>
          <cell r="AI259">
            <v>850.10909090909092</v>
          </cell>
          <cell r="AJ259">
            <v>0</v>
          </cell>
          <cell r="AK259">
            <v>107685.31324675324</v>
          </cell>
          <cell r="AL259" t="str">
            <v xml:space="preserve"> Т/Е</v>
          </cell>
          <cell r="AM259">
            <v>100230.25</v>
          </cell>
        </row>
        <row r="260">
          <cell r="F260">
            <v>10708.318095238095</v>
          </cell>
          <cell r="G260">
            <v>1354</v>
          </cell>
          <cell r="H260">
            <v>2522.6333333333332</v>
          </cell>
          <cell r="P260">
            <v>1021.4000000000001</v>
          </cell>
          <cell r="S260">
            <v>1606.9999999999959</v>
          </cell>
          <cell r="T260">
            <v>3361.1583636363644</v>
          </cell>
          <cell r="U260">
            <v>392.98709090909097</v>
          </cell>
          <cell r="X260">
            <v>1376.7999999999986</v>
          </cell>
          <cell r="Y260">
            <v>342</v>
          </cell>
          <cell r="Z260">
            <v>760.63636363636419</v>
          </cell>
          <cell r="AC260">
            <v>374.40000000000003</v>
          </cell>
          <cell r="AD260">
            <v>31</v>
          </cell>
          <cell r="AE260">
            <v>57</v>
          </cell>
          <cell r="AF260">
            <v>418.19999999999965</v>
          </cell>
          <cell r="AG260">
            <v>307.16000000000014</v>
          </cell>
          <cell r="AH260">
            <v>112.03999999999996</v>
          </cell>
          <cell r="AI260">
            <v>571.20000000000005</v>
          </cell>
          <cell r="AJ260">
            <v>-2455</v>
          </cell>
          <cell r="AK260">
            <v>91957.440519480515</v>
          </cell>
          <cell r="AM260">
            <v>15842.91809523809</v>
          </cell>
        </row>
        <row r="261">
          <cell r="F261">
            <v>92918.818095238108</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K261">
            <v>92918.818095238108</v>
          </cell>
        </row>
        <row r="262">
          <cell r="F262">
            <v>61871</v>
          </cell>
          <cell r="G262" t="e">
            <v>#DIV/0!</v>
          </cell>
          <cell r="H262" t="e">
            <v>#DIV/0!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J262">
            <v>0</v>
          </cell>
          <cell r="AK262">
            <v>61871</v>
          </cell>
          <cell r="AL262">
            <v>0</v>
          </cell>
        </row>
        <row r="263">
          <cell r="F263">
            <v>11292</v>
          </cell>
          <cell r="G263" t="e">
            <v>#DIV/0!</v>
          </cell>
          <cell r="H263" t="e">
            <v>#DIV/0!</v>
          </cell>
          <cell r="P263" t="e">
            <v>#REF!</v>
          </cell>
          <cell r="S263" t="e">
            <v>#REF!</v>
          </cell>
          <cell r="T263">
            <v>0</v>
          </cell>
          <cell r="U263">
            <v>0</v>
          </cell>
          <cell r="X263" t="e">
            <v>#REF!</v>
          </cell>
          <cell r="Y263">
            <v>0</v>
          </cell>
          <cell r="Z263">
            <v>0</v>
          </cell>
          <cell r="AC263" t="e">
            <v>#REF!</v>
          </cell>
          <cell r="AD263">
            <v>0</v>
          </cell>
          <cell r="AE263">
            <v>0</v>
          </cell>
          <cell r="AF263" t="e">
            <v>#REF!</v>
          </cell>
          <cell r="AG263" t="e">
            <v>#REF!</v>
          </cell>
          <cell r="AH263" t="e">
            <v>#REF!</v>
          </cell>
          <cell r="AJ263">
            <v>-2455</v>
          </cell>
          <cell r="AK263">
            <v>11292</v>
          </cell>
          <cell r="AL263" t="e">
            <v>#REF!</v>
          </cell>
        </row>
        <row r="264">
          <cell r="F264">
            <v>10408.151428571429</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K264">
            <v>10408.151428571429</v>
          </cell>
        </row>
        <row r="265">
          <cell r="F265">
            <v>791.6</v>
          </cell>
          <cell r="AK265">
            <v>791.6</v>
          </cell>
        </row>
        <row r="266">
          <cell r="F266">
            <v>0</v>
          </cell>
          <cell r="AK266">
            <v>0</v>
          </cell>
        </row>
        <row r="267">
          <cell r="F267">
            <v>4126.5514285714289</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K267">
            <v>4126.5514285714289</v>
          </cell>
        </row>
        <row r="268">
          <cell r="F268">
            <v>3500</v>
          </cell>
          <cell r="AK268">
            <v>3500</v>
          </cell>
        </row>
        <row r="269">
          <cell r="F269">
            <v>0</v>
          </cell>
          <cell r="AK269">
            <v>0</v>
          </cell>
        </row>
        <row r="270">
          <cell r="F270">
            <v>1990</v>
          </cell>
          <cell r="P270">
            <v>0</v>
          </cell>
          <cell r="S270">
            <v>0</v>
          </cell>
          <cell r="X270">
            <v>0</v>
          </cell>
          <cell r="AC270">
            <v>0</v>
          </cell>
          <cell r="AF270">
            <v>0</v>
          </cell>
          <cell r="AG270">
            <v>0</v>
          </cell>
          <cell r="AH270">
            <v>0</v>
          </cell>
          <cell r="AI270">
            <v>0</v>
          </cell>
          <cell r="AK270">
            <v>1990</v>
          </cell>
        </row>
        <row r="271">
          <cell r="F271">
            <v>9242.6666666666661</v>
          </cell>
          <cell r="AK271">
            <v>9242.6666666666661</v>
          </cell>
        </row>
        <row r="272">
          <cell r="F272">
            <v>105</v>
          </cell>
          <cell r="P272">
            <v>0</v>
          </cell>
          <cell r="S272">
            <v>0</v>
          </cell>
          <cell r="X272">
            <v>0</v>
          </cell>
          <cell r="AC272">
            <v>0</v>
          </cell>
          <cell r="AF272">
            <v>0</v>
          </cell>
          <cell r="AG272">
            <v>0</v>
          </cell>
          <cell r="AH272">
            <v>0</v>
          </cell>
          <cell r="AI272">
            <v>0</v>
          </cell>
          <cell r="AK272">
            <v>105</v>
          </cell>
        </row>
        <row r="273">
          <cell r="F273">
            <v>96131.98476190478</v>
          </cell>
          <cell r="P273">
            <v>2641.6000000000004</v>
          </cell>
          <cell r="Q273">
            <v>0</v>
          </cell>
          <cell r="R273">
            <v>0</v>
          </cell>
          <cell r="S273">
            <v>8041.218181818178</v>
          </cell>
          <cell r="T273">
            <v>0</v>
          </cell>
          <cell r="U273">
            <v>0</v>
          </cell>
          <cell r="V273">
            <v>0</v>
          </cell>
          <cell r="W273">
            <v>0</v>
          </cell>
          <cell r="X273">
            <v>2404.6545454545439</v>
          </cell>
          <cell r="Y273">
            <v>0</v>
          </cell>
          <cell r="Z273">
            <v>0</v>
          </cell>
          <cell r="AA273">
            <v>0</v>
          </cell>
          <cell r="AB273">
            <v>0</v>
          </cell>
          <cell r="AC273">
            <v>1313.2</v>
          </cell>
          <cell r="AD273">
            <v>0</v>
          </cell>
          <cell r="AE273">
            <v>0</v>
          </cell>
          <cell r="AF273">
            <v>3816.2</v>
          </cell>
          <cell r="AG273">
            <v>3162.08</v>
          </cell>
          <cell r="AH273">
            <v>655.12</v>
          </cell>
          <cell r="AI273">
            <v>0</v>
          </cell>
          <cell r="AK273">
            <v>115264.32415584417</v>
          </cell>
        </row>
        <row r="274">
          <cell r="F274">
            <v>1434.8000000000002</v>
          </cell>
          <cell r="P274">
            <v>1120.8</v>
          </cell>
          <cell r="Q274">
            <v>0</v>
          </cell>
          <cell r="R274">
            <v>0</v>
          </cell>
          <cell r="S274">
            <v>5914.6</v>
          </cell>
          <cell r="T274">
            <v>642.65363636363622</v>
          </cell>
          <cell r="U274">
            <v>650.41909090909098</v>
          </cell>
          <cell r="V274">
            <v>0</v>
          </cell>
          <cell r="W274">
            <v>0</v>
          </cell>
          <cell r="X274">
            <v>1624.6</v>
          </cell>
          <cell r="Y274">
            <v>358</v>
          </cell>
          <cell r="Z274">
            <v>794.41818181818189</v>
          </cell>
          <cell r="AA274">
            <v>0</v>
          </cell>
          <cell r="AB274">
            <v>0</v>
          </cell>
          <cell r="AC274">
            <v>742.2</v>
          </cell>
          <cell r="AD274">
            <v>112</v>
          </cell>
          <cell r="AE274">
            <v>231.2</v>
          </cell>
          <cell r="AF274">
            <v>3125</v>
          </cell>
          <cell r="AG274">
            <v>2581.92</v>
          </cell>
          <cell r="AH274">
            <v>543.08000000000004</v>
          </cell>
          <cell r="AI274">
            <v>278.90909090909088</v>
          </cell>
          <cell r="AK274">
            <v>14693.666666666668</v>
          </cell>
        </row>
        <row r="275">
          <cell r="F275">
            <v>384</v>
          </cell>
          <cell r="G275">
            <v>84</v>
          </cell>
          <cell r="H275">
            <v>300</v>
          </cell>
          <cell r="P275">
            <v>726</v>
          </cell>
          <cell r="S275">
            <v>1685</v>
          </cell>
          <cell r="T275">
            <v>625.85363636363627</v>
          </cell>
          <cell r="U275">
            <v>650.41909090909098</v>
          </cell>
          <cell r="X275">
            <v>653</v>
          </cell>
          <cell r="Y275">
            <v>117</v>
          </cell>
          <cell r="Z275">
            <v>257.81818181818181</v>
          </cell>
          <cell r="AC275">
            <v>535</v>
          </cell>
          <cell r="AD275">
            <v>108</v>
          </cell>
          <cell r="AE275">
            <v>224</v>
          </cell>
          <cell r="AF275">
            <v>1440</v>
          </cell>
          <cell r="AG275">
            <v>1367</v>
          </cell>
          <cell r="AH275">
            <v>73</v>
          </cell>
          <cell r="AI275">
            <v>278.90909090909088</v>
          </cell>
          <cell r="AK275">
            <v>5757</v>
          </cell>
        </row>
        <row r="276">
          <cell r="F276">
            <v>0</v>
          </cell>
          <cell r="P276">
            <v>0</v>
          </cell>
          <cell r="Q276">
            <v>0</v>
          </cell>
          <cell r="R276">
            <v>0</v>
          </cell>
          <cell r="S276">
            <v>16.8</v>
          </cell>
          <cell r="T276">
            <v>16.8</v>
          </cell>
          <cell r="U276">
            <v>0</v>
          </cell>
          <cell r="V276">
            <v>0</v>
          </cell>
          <cell r="W276">
            <v>0</v>
          </cell>
          <cell r="X276">
            <v>777.6</v>
          </cell>
          <cell r="Y276">
            <v>241</v>
          </cell>
          <cell r="Z276">
            <v>536.6</v>
          </cell>
          <cell r="AA276">
            <v>0</v>
          </cell>
          <cell r="AB276">
            <v>0</v>
          </cell>
          <cell r="AC276">
            <v>-2.7999999999999989</v>
          </cell>
          <cell r="AD276">
            <v>4</v>
          </cell>
          <cell r="AE276">
            <v>7.2000000000000011</v>
          </cell>
          <cell r="AF276">
            <v>0</v>
          </cell>
          <cell r="AG276">
            <v>0</v>
          </cell>
          <cell r="AH276">
            <v>0</v>
          </cell>
          <cell r="AI276">
            <v>0</v>
          </cell>
          <cell r="AK276">
            <v>791.6</v>
          </cell>
        </row>
        <row r="277">
          <cell r="F277">
            <v>1048.4000000000001</v>
          </cell>
          <cell r="P277">
            <v>321</v>
          </cell>
          <cell r="Q277">
            <v>0</v>
          </cell>
          <cell r="R277">
            <v>0</v>
          </cell>
          <cell r="S277">
            <v>1363</v>
          </cell>
          <cell r="T277">
            <v>0</v>
          </cell>
          <cell r="U277">
            <v>0</v>
          </cell>
          <cell r="V277">
            <v>0</v>
          </cell>
          <cell r="W277">
            <v>0</v>
          </cell>
          <cell r="X277">
            <v>176</v>
          </cell>
          <cell r="Y277">
            <v>0</v>
          </cell>
          <cell r="Z277">
            <v>0</v>
          </cell>
          <cell r="AA277">
            <v>0</v>
          </cell>
          <cell r="AB277">
            <v>0</v>
          </cell>
          <cell r="AC277">
            <v>163</v>
          </cell>
          <cell r="AD277">
            <v>0</v>
          </cell>
          <cell r="AE277">
            <v>0</v>
          </cell>
          <cell r="AF277">
            <v>961.8</v>
          </cell>
          <cell r="AG277">
            <v>961.8</v>
          </cell>
          <cell r="AH277">
            <v>0</v>
          </cell>
          <cell r="AI277">
            <v>0</v>
          </cell>
          <cell r="AK277">
            <v>4067.2</v>
          </cell>
        </row>
        <row r="278">
          <cell r="F278">
            <v>158</v>
          </cell>
          <cell r="G278">
            <v>0</v>
          </cell>
          <cell r="H278">
            <v>0</v>
          </cell>
          <cell r="P278">
            <v>56</v>
          </cell>
          <cell r="S278">
            <v>625</v>
          </cell>
          <cell r="T278">
            <v>0</v>
          </cell>
          <cell r="U278">
            <v>0</v>
          </cell>
          <cell r="X278">
            <v>75</v>
          </cell>
          <cell r="Y278">
            <v>0</v>
          </cell>
          <cell r="Z278">
            <v>0</v>
          </cell>
          <cell r="AC278">
            <v>40</v>
          </cell>
          <cell r="AD278">
            <v>0</v>
          </cell>
          <cell r="AE278">
            <v>0</v>
          </cell>
          <cell r="AF278">
            <v>436</v>
          </cell>
          <cell r="AG278">
            <v>436</v>
          </cell>
          <cell r="AH278">
            <v>0</v>
          </cell>
          <cell r="AI278">
            <v>0</v>
          </cell>
          <cell r="AK278">
            <v>1424</v>
          </cell>
        </row>
        <row r="279">
          <cell r="F279">
            <v>246.8</v>
          </cell>
          <cell r="P279">
            <v>10</v>
          </cell>
          <cell r="Q279" t="e">
            <v>#REF!</v>
          </cell>
          <cell r="R279" t="e">
            <v>#REF!</v>
          </cell>
          <cell r="S279">
            <v>0</v>
          </cell>
          <cell r="T279" t="e">
            <v>#REF!</v>
          </cell>
          <cell r="U279" t="e">
            <v>#REF!</v>
          </cell>
          <cell r="V279" t="e">
            <v>#REF!</v>
          </cell>
          <cell r="W279" t="e">
            <v>#REF!</v>
          </cell>
          <cell r="X279">
            <v>0</v>
          </cell>
          <cell r="Y279" t="e">
            <v>#REF!</v>
          </cell>
          <cell r="Z279" t="e">
            <v>#REF!</v>
          </cell>
          <cell r="AA279" t="e">
            <v>#REF!</v>
          </cell>
          <cell r="AB279" t="e">
            <v>#REF!</v>
          </cell>
          <cell r="AC279">
            <v>20</v>
          </cell>
          <cell r="AD279" t="e">
            <v>#REF!</v>
          </cell>
          <cell r="AE279" t="e">
            <v>#REF!</v>
          </cell>
          <cell r="AF279">
            <v>25.6</v>
          </cell>
          <cell r="AG279">
            <v>25.6</v>
          </cell>
          <cell r="AH279">
            <v>0</v>
          </cell>
          <cell r="AI279">
            <v>0</v>
          </cell>
          <cell r="AK279">
            <v>302.40000000000003</v>
          </cell>
        </row>
        <row r="280">
          <cell r="F280">
            <v>60</v>
          </cell>
          <cell r="P280">
            <v>190</v>
          </cell>
          <cell r="Q280">
            <v>0</v>
          </cell>
          <cell r="R280">
            <v>0</v>
          </cell>
          <cell r="S280">
            <v>690</v>
          </cell>
          <cell r="T280">
            <v>0</v>
          </cell>
          <cell r="U280">
            <v>0</v>
          </cell>
          <cell r="V280">
            <v>0</v>
          </cell>
          <cell r="W280">
            <v>0</v>
          </cell>
          <cell r="X280">
            <v>0</v>
          </cell>
          <cell r="Y280">
            <v>0</v>
          </cell>
          <cell r="Z280">
            <v>0</v>
          </cell>
          <cell r="AA280">
            <v>0</v>
          </cell>
          <cell r="AB280">
            <v>0</v>
          </cell>
          <cell r="AC280">
            <v>60</v>
          </cell>
          <cell r="AD280">
            <v>0</v>
          </cell>
          <cell r="AE280">
            <v>0</v>
          </cell>
          <cell r="AF280">
            <v>444.2</v>
          </cell>
          <cell r="AG280">
            <v>444.2</v>
          </cell>
          <cell r="AH280" t="e">
            <v>#REF!</v>
          </cell>
          <cell r="AK280">
            <v>1444.2</v>
          </cell>
        </row>
        <row r="281">
          <cell r="F281">
            <v>583.6</v>
          </cell>
          <cell r="P281">
            <v>65</v>
          </cell>
          <cell r="S281">
            <v>48</v>
          </cell>
          <cell r="X281">
            <v>101</v>
          </cell>
          <cell r="AC281">
            <v>43</v>
          </cell>
          <cell r="AF281">
            <v>56</v>
          </cell>
          <cell r="AG281">
            <v>56</v>
          </cell>
          <cell r="AH281">
            <v>0</v>
          </cell>
          <cell r="AK281">
            <v>896.6</v>
          </cell>
        </row>
        <row r="282">
          <cell r="F282">
            <v>2.4000000000000004</v>
          </cell>
          <cell r="P282">
            <v>73.8</v>
          </cell>
          <cell r="Q282">
            <v>0</v>
          </cell>
          <cell r="R282">
            <v>0</v>
          </cell>
          <cell r="S282">
            <v>2599.8000000000002</v>
          </cell>
          <cell r="T282">
            <v>0</v>
          </cell>
          <cell r="U282">
            <v>0</v>
          </cell>
          <cell r="V282">
            <v>0</v>
          </cell>
          <cell r="W282">
            <v>0</v>
          </cell>
          <cell r="X282">
            <v>18</v>
          </cell>
          <cell r="Y282">
            <v>0</v>
          </cell>
          <cell r="Z282">
            <v>0</v>
          </cell>
          <cell r="AA282">
            <v>0</v>
          </cell>
          <cell r="AB282">
            <v>0</v>
          </cell>
          <cell r="AC282">
            <v>47</v>
          </cell>
          <cell r="AD282">
            <v>0</v>
          </cell>
          <cell r="AE282">
            <v>0</v>
          </cell>
          <cell r="AF282">
            <v>723.2</v>
          </cell>
          <cell r="AG282">
            <v>253.12</v>
          </cell>
          <cell r="AH282">
            <v>470.08000000000004</v>
          </cell>
          <cell r="AI282">
            <v>0</v>
          </cell>
          <cell r="AK282">
            <v>3827.8666666666668</v>
          </cell>
        </row>
        <row r="283">
          <cell r="F283">
            <v>0</v>
          </cell>
          <cell r="P283">
            <v>1</v>
          </cell>
          <cell r="S283">
            <v>0</v>
          </cell>
          <cell r="X283">
            <v>18</v>
          </cell>
          <cell r="AC283">
            <v>47</v>
          </cell>
          <cell r="AF283">
            <v>0</v>
          </cell>
          <cell r="AG283">
            <v>0</v>
          </cell>
          <cell r="AH283">
            <v>0</v>
          </cell>
          <cell r="AI283">
            <v>0</v>
          </cell>
          <cell r="AK283">
            <v>66</v>
          </cell>
        </row>
        <row r="284">
          <cell r="F284">
            <v>2.4000000000000004</v>
          </cell>
          <cell r="P284">
            <v>72.8</v>
          </cell>
          <cell r="Q284">
            <v>0</v>
          </cell>
          <cell r="R284">
            <v>0</v>
          </cell>
          <cell r="S284">
            <v>2599.8000000000002</v>
          </cell>
          <cell r="T284">
            <v>0</v>
          </cell>
          <cell r="U284">
            <v>0</v>
          </cell>
          <cell r="V284">
            <v>0</v>
          </cell>
          <cell r="W284">
            <v>0</v>
          </cell>
          <cell r="X284">
            <v>0</v>
          </cell>
          <cell r="Y284">
            <v>0</v>
          </cell>
          <cell r="Z284">
            <v>0</v>
          </cell>
          <cell r="AA284">
            <v>0</v>
          </cell>
          <cell r="AB284">
            <v>0</v>
          </cell>
          <cell r="AC284">
            <v>0</v>
          </cell>
          <cell r="AD284">
            <v>0</v>
          </cell>
          <cell r="AE284">
            <v>0</v>
          </cell>
          <cell r="AF284">
            <v>723.2</v>
          </cell>
          <cell r="AG284">
            <v>253.12</v>
          </cell>
          <cell r="AH284">
            <v>470.08000000000004</v>
          </cell>
          <cell r="AI284">
            <v>0</v>
          </cell>
          <cell r="AJ284">
            <v>0</v>
          </cell>
          <cell r="AK284">
            <v>3398.2</v>
          </cell>
        </row>
        <row r="285">
          <cell r="F285" t="e">
            <v>#REF!</v>
          </cell>
          <cell r="P285" t="e">
            <v>#REF!</v>
          </cell>
          <cell r="Q285">
            <v>0</v>
          </cell>
          <cell r="R285">
            <v>0</v>
          </cell>
          <cell r="S285" t="e">
            <v>#REF!</v>
          </cell>
          <cell r="T285">
            <v>0</v>
          </cell>
          <cell r="U285">
            <v>0</v>
          </cell>
          <cell r="V285">
            <v>0</v>
          </cell>
          <cell r="W285">
            <v>0</v>
          </cell>
          <cell r="X285" t="e">
            <v>#REF!</v>
          </cell>
          <cell r="Y285">
            <v>0</v>
          </cell>
          <cell r="Z285">
            <v>0</v>
          </cell>
          <cell r="AA285">
            <v>0</v>
          </cell>
          <cell r="AB285">
            <v>0</v>
          </cell>
          <cell r="AC285" t="e">
            <v>#REF!</v>
          </cell>
          <cell r="AD285">
            <v>0</v>
          </cell>
          <cell r="AE285">
            <v>0</v>
          </cell>
          <cell r="AF285" t="e">
            <v>#REF!</v>
          </cell>
          <cell r="AG285" t="e">
            <v>#REF!</v>
          </cell>
          <cell r="AH285" t="e">
            <v>#REF!</v>
          </cell>
          <cell r="AK285">
            <v>363.66666666666663</v>
          </cell>
        </row>
        <row r="286">
          <cell r="F286" t="e">
            <v>#REF!</v>
          </cell>
          <cell r="P286" t="e">
            <v>#REF!</v>
          </cell>
          <cell r="S286">
            <v>250</v>
          </cell>
          <cell r="X286" t="e">
            <v>#REF!</v>
          </cell>
          <cell r="AC286" t="e">
            <v>#REF!</v>
          </cell>
          <cell r="AF286" t="e">
            <v>#REF!</v>
          </cell>
          <cell r="AG286" t="e">
            <v>#REF!</v>
          </cell>
          <cell r="AH286">
            <v>0</v>
          </cell>
          <cell r="AI286">
            <v>0</v>
          </cell>
          <cell r="AK286">
            <v>250</v>
          </cell>
        </row>
        <row r="287">
          <cell r="F287">
            <v>94697.184761904777</v>
          </cell>
          <cell r="P287">
            <v>1520.8000000000004</v>
          </cell>
          <cell r="Q287">
            <v>0</v>
          </cell>
          <cell r="R287">
            <v>0</v>
          </cell>
          <cell r="S287">
            <v>2126.6181818181776</v>
          </cell>
          <cell r="T287">
            <v>-642.65363636363622</v>
          </cell>
          <cell r="U287">
            <v>-650.41909090909098</v>
          </cell>
          <cell r="V287">
            <v>0</v>
          </cell>
          <cell r="W287">
            <v>0</v>
          </cell>
          <cell r="X287">
            <v>780.05454545454404</v>
          </cell>
          <cell r="Y287">
            <v>-358</v>
          </cell>
          <cell r="Z287">
            <v>-794.41818181818189</v>
          </cell>
          <cell r="AA287">
            <v>0</v>
          </cell>
          <cell r="AB287">
            <v>0</v>
          </cell>
          <cell r="AC287">
            <v>571</v>
          </cell>
          <cell r="AD287">
            <v>-112</v>
          </cell>
          <cell r="AE287">
            <v>-231.2</v>
          </cell>
          <cell r="AF287">
            <v>691.19999999999982</v>
          </cell>
          <cell r="AG287">
            <v>580.15999999999985</v>
          </cell>
          <cell r="AH287">
            <v>112.03999999999996</v>
          </cell>
          <cell r="AI287">
            <v>-278.90909090909088</v>
          </cell>
          <cell r="AK287">
            <v>100570.65748917751</v>
          </cell>
        </row>
        <row r="288">
          <cell r="AK288">
            <v>0</v>
          </cell>
        </row>
        <row r="289">
          <cell r="F289">
            <v>2621.6333333333337</v>
          </cell>
          <cell r="P289">
            <v>1520.8</v>
          </cell>
          <cell r="Q289">
            <v>0</v>
          </cell>
          <cell r="R289">
            <v>0</v>
          </cell>
          <cell r="S289">
            <v>2126.6181818181817</v>
          </cell>
          <cell r="T289">
            <v>0</v>
          </cell>
          <cell r="U289">
            <v>0</v>
          </cell>
          <cell r="V289">
            <v>0</v>
          </cell>
          <cell r="W289">
            <v>0</v>
          </cell>
          <cell r="X289">
            <v>780.05454545454552</v>
          </cell>
          <cell r="Y289">
            <v>0</v>
          </cell>
          <cell r="Z289">
            <v>0</v>
          </cell>
          <cell r="AA289">
            <v>0</v>
          </cell>
          <cell r="AB289">
            <v>0</v>
          </cell>
          <cell r="AC289">
            <v>568.20000000000005</v>
          </cell>
          <cell r="AD289">
            <v>0</v>
          </cell>
          <cell r="AE289">
            <v>0</v>
          </cell>
          <cell r="AF289">
            <v>692.2</v>
          </cell>
          <cell r="AG289">
            <v>580.16000000000008</v>
          </cell>
          <cell r="AH289">
            <v>112.03999999999999</v>
          </cell>
          <cell r="AI289">
            <v>625.6</v>
          </cell>
          <cell r="AK289">
            <v>8510.9060606060611</v>
          </cell>
        </row>
        <row r="290">
          <cell r="F290">
            <v>684.2</v>
          </cell>
          <cell r="P290">
            <v>437.20000000000005</v>
          </cell>
          <cell r="Q290" t="e">
            <v>#REF!</v>
          </cell>
          <cell r="R290" t="e">
            <v>#REF!</v>
          </cell>
          <cell r="S290">
            <v>770.19999999999982</v>
          </cell>
          <cell r="T290" t="e">
            <v>#REF!</v>
          </cell>
          <cell r="U290" t="e">
            <v>#REF!</v>
          </cell>
          <cell r="V290" t="e">
            <v>#REF!</v>
          </cell>
          <cell r="W290" t="e">
            <v>#REF!</v>
          </cell>
          <cell r="X290">
            <v>175.20000000000002</v>
          </cell>
          <cell r="Y290" t="e">
            <v>#REF!</v>
          </cell>
          <cell r="Z290" t="e">
            <v>#REF!</v>
          </cell>
          <cell r="AA290" t="e">
            <v>#REF!</v>
          </cell>
          <cell r="AB290" t="e">
            <v>#REF!</v>
          </cell>
          <cell r="AC290">
            <v>99.200000000000017</v>
          </cell>
          <cell r="AD290" t="e">
            <v>#REF!</v>
          </cell>
          <cell r="AE290" t="e">
            <v>#REF!</v>
          </cell>
          <cell r="AF290">
            <v>0</v>
          </cell>
          <cell r="AG290">
            <v>-77</v>
          </cell>
          <cell r="AH290">
            <v>77</v>
          </cell>
          <cell r="AI290">
            <v>118.4</v>
          </cell>
          <cell r="AK290">
            <v>2183.5999999999995</v>
          </cell>
        </row>
        <row r="291">
          <cell r="F291">
            <v>583.6</v>
          </cell>
          <cell r="P291">
            <v>564.4</v>
          </cell>
          <cell r="Q291">
            <v>0</v>
          </cell>
          <cell r="R291">
            <v>0</v>
          </cell>
          <cell r="S291">
            <v>834.41818181818189</v>
          </cell>
          <cell r="T291">
            <v>0</v>
          </cell>
          <cell r="U291">
            <v>0</v>
          </cell>
          <cell r="V291">
            <v>0</v>
          </cell>
          <cell r="W291">
            <v>0</v>
          </cell>
          <cell r="X291">
            <v>281.85454545454542</v>
          </cell>
          <cell r="Y291">
            <v>0</v>
          </cell>
          <cell r="Z291">
            <v>0</v>
          </cell>
          <cell r="AA291">
            <v>0</v>
          </cell>
          <cell r="AB291">
            <v>0</v>
          </cell>
          <cell r="AC291">
            <v>236.8</v>
          </cell>
          <cell r="AD291">
            <v>0</v>
          </cell>
          <cell r="AE291">
            <v>0</v>
          </cell>
          <cell r="AF291">
            <v>329</v>
          </cell>
          <cell r="AG291">
            <v>329</v>
          </cell>
          <cell r="AH291">
            <v>0</v>
          </cell>
          <cell r="AI291">
            <v>0</v>
          </cell>
          <cell r="AK291">
            <v>2830.0727272727277</v>
          </cell>
        </row>
        <row r="292">
          <cell r="F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K292">
            <v>0</v>
          </cell>
        </row>
        <row r="293">
          <cell r="F293">
            <v>0</v>
          </cell>
          <cell r="P293">
            <v>0</v>
          </cell>
          <cell r="S293">
            <v>0</v>
          </cell>
          <cell r="X293">
            <v>0</v>
          </cell>
          <cell r="AC293">
            <v>0</v>
          </cell>
          <cell r="AF293">
            <v>0</v>
          </cell>
          <cell r="AG293">
            <v>0</v>
          </cell>
          <cell r="AH293">
            <v>0</v>
          </cell>
          <cell r="AI293">
            <v>0</v>
          </cell>
          <cell r="AK293">
            <v>0</v>
          </cell>
        </row>
        <row r="294">
          <cell r="F294">
            <v>1335.1666666666667</v>
          </cell>
          <cell r="P294">
            <v>470.40000000000003</v>
          </cell>
          <cell r="Q294">
            <v>0</v>
          </cell>
          <cell r="R294">
            <v>0</v>
          </cell>
          <cell r="S294">
            <v>516.40000000000009</v>
          </cell>
          <cell r="T294">
            <v>0</v>
          </cell>
          <cell r="U294">
            <v>0</v>
          </cell>
          <cell r="V294">
            <v>0</v>
          </cell>
          <cell r="W294">
            <v>0</v>
          </cell>
          <cell r="X294">
            <v>309.40000000000003</v>
          </cell>
          <cell r="Y294">
            <v>0</v>
          </cell>
          <cell r="Z294">
            <v>0</v>
          </cell>
          <cell r="AA294">
            <v>0</v>
          </cell>
          <cell r="AB294">
            <v>0</v>
          </cell>
          <cell r="AC294">
            <v>210.60000000000002</v>
          </cell>
          <cell r="AD294">
            <v>0</v>
          </cell>
          <cell r="AE294">
            <v>0</v>
          </cell>
          <cell r="AF294">
            <v>351.20000000000005</v>
          </cell>
          <cell r="AG294">
            <v>317.16000000000003</v>
          </cell>
          <cell r="AH294">
            <v>34.039999999999992</v>
          </cell>
          <cell r="AI294">
            <v>507.20000000000005</v>
          </cell>
          <cell r="AK294">
            <v>3376.9666666666672</v>
          </cell>
        </row>
        <row r="295">
          <cell r="F295">
            <v>0</v>
          </cell>
          <cell r="P295">
            <v>334.6</v>
          </cell>
          <cell r="S295">
            <v>0.40000000000009095</v>
          </cell>
          <cell r="X295">
            <v>113.4</v>
          </cell>
          <cell r="AC295">
            <v>67.400000000000006</v>
          </cell>
          <cell r="AF295">
            <v>7.2000000000000099</v>
          </cell>
          <cell r="AG295">
            <v>7.3999999999999986</v>
          </cell>
          <cell r="AH295">
            <v>-0.19999999999998863</v>
          </cell>
          <cell r="AI295">
            <v>0</v>
          </cell>
          <cell r="AK295">
            <v>607.40000000000009</v>
          </cell>
        </row>
        <row r="296">
          <cell r="F296">
            <v>8.2666666666666675</v>
          </cell>
          <cell r="P296">
            <v>44.800000000000004</v>
          </cell>
          <cell r="S296">
            <v>290.40000000000003</v>
          </cell>
          <cell r="X296">
            <v>104</v>
          </cell>
          <cell r="AC296">
            <v>76</v>
          </cell>
          <cell r="AF296">
            <v>164</v>
          </cell>
          <cell r="AG296">
            <v>160.80000000000001</v>
          </cell>
          <cell r="AH296">
            <v>3.1999999999999886</v>
          </cell>
          <cell r="AI296">
            <v>0</v>
          </cell>
          <cell r="AK296">
            <v>691.86666666666667</v>
          </cell>
        </row>
        <row r="297">
          <cell r="F297">
            <v>1326.9</v>
          </cell>
          <cell r="P297">
            <v>91.000000000000014</v>
          </cell>
          <cell r="Q297">
            <v>0</v>
          </cell>
          <cell r="R297">
            <v>0</v>
          </cell>
          <cell r="S297">
            <v>225.60000000000002</v>
          </cell>
          <cell r="T297">
            <v>0</v>
          </cell>
          <cell r="U297">
            <v>0</v>
          </cell>
          <cell r="V297">
            <v>0</v>
          </cell>
          <cell r="W297">
            <v>0</v>
          </cell>
          <cell r="X297">
            <v>92.000000000000014</v>
          </cell>
          <cell r="Y297">
            <v>0</v>
          </cell>
          <cell r="Z297">
            <v>0</v>
          </cell>
          <cell r="AA297">
            <v>0</v>
          </cell>
          <cell r="AB297">
            <v>0</v>
          </cell>
          <cell r="AC297">
            <v>67.2</v>
          </cell>
          <cell r="AD297">
            <v>0</v>
          </cell>
          <cell r="AE297">
            <v>0</v>
          </cell>
          <cell r="AF297">
            <v>180</v>
          </cell>
          <cell r="AG297">
            <v>148.96</v>
          </cell>
          <cell r="AH297">
            <v>31.039999999999992</v>
          </cell>
          <cell r="AI297">
            <v>507.20000000000005</v>
          </cell>
          <cell r="AK297">
            <v>2077.6999999999998</v>
          </cell>
        </row>
        <row r="298">
          <cell r="F298" t="e">
            <v>#REF!</v>
          </cell>
          <cell r="P298">
            <v>0</v>
          </cell>
          <cell r="S298" t="e">
            <v>#REF!</v>
          </cell>
          <cell r="X298" t="e">
            <v>#REF!</v>
          </cell>
          <cell r="AC298" t="e">
            <v>#REF!</v>
          </cell>
          <cell r="AF298">
            <v>0</v>
          </cell>
          <cell r="AG298">
            <v>0</v>
          </cell>
          <cell r="AH298">
            <v>0</v>
          </cell>
          <cell r="AI298">
            <v>0</v>
          </cell>
          <cell r="AK298">
            <v>0</v>
          </cell>
        </row>
        <row r="299">
          <cell r="F299">
            <v>18.666666666666664</v>
          </cell>
          <cell r="P299">
            <v>48.800000000000004</v>
          </cell>
          <cell r="S299">
            <v>5.6000000000000005</v>
          </cell>
          <cell r="X299">
            <v>13.600000000000001</v>
          </cell>
          <cell r="AC299">
            <v>21.6</v>
          </cell>
          <cell r="AF299">
            <v>12</v>
          </cell>
          <cell r="AG299">
            <v>11</v>
          </cell>
          <cell r="AH299">
            <v>1</v>
          </cell>
          <cell r="AI299">
            <v>0</v>
          </cell>
          <cell r="AK299">
            <v>120.26666666666665</v>
          </cell>
        </row>
        <row r="300">
          <cell r="F300">
            <v>94697.184761904777</v>
          </cell>
          <cell r="P300">
            <v>1520.8000000000004</v>
          </cell>
          <cell r="Q300">
            <v>0</v>
          </cell>
          <cell r="R300">
            <v>0</v>
          </cell>
          <cell r="S300">
            <v>2126.6181818181776</v>
          </cell>
          <cell r="T300">
            <v>-642.65363636363622</v>
          </cell>
          <cell r="U300">
            <v>-650.41909090909098</v>
          </cell>
          <cell r="V300">
            <v>0</v>
          </cell>
          <cell r="W300">
            <v>0</v>
          </cell>
          <cell r="X300">
            <v>780.05454545454404</v>
          </cell>
          <cell r="Y300">
            <v>-358</v>
          </cell>
          <cell r="Z300">
            <v>-794.41818181818189</v>
          </cell>
          <cell r="AA300">
            <v>0</v>
          </cell>
          <cell r="AB300">
            <v>0</v>
          </cell>
          <cell r="AC300">
            <v>571</v>
          </cell>
          <cell r="AD300">
            <v>-112</v>
          </cell>
          <cell r="AE300">
            <v>-231.2</v>
          </cell>
          <cell r="AF300">
            <v>691.19999999999982</v>
          </cell>
          <cell r="AG300">
            <v>580.15999999999985</v>
          </cell>
          <cell r="AH300">
            <v>112.03999999999996</v>
          </cell>
          <cell r="AI300">
            <v>-278.90909090909088</v>
          </cell>
          <cell r="AK300">
            <v>100570.65748917751</v>
          </cell>
        </row>
        <row r="301">
          <cell r="P301">
            <v>0</v>
          </cell>
          <cell r="AF301">
            <v>0</v>
          </cell>
          <cell r="AG301">
            <v>0</v>
          </cell>
          <cell r="AH301">
            <v>191</v>
          </cell>
          <cell r="AK301">
            <v>0</v>
          </cell>
        </row>
        <row r="302">
          <cell r="F302">
            <v>0</v>
          </cell>
          <cell r="P302">
            <v>0</v>
          </cell>
          <cell r="S302">
            <v>0</v>
          </cell>
          <cell r="X302">
            <v>0</v>
          </cell>
          <cell r="AC302">
            <v>0</v>
          </cell>
          <cell r="AF302">
            <v>0</v>
          </cell>
          <cell r="AG302">
            <v>0</v>
          </cell>
          <cell r="AH302">
            <v>0</v>
          </cell>
          <cell r="AK302">
            <v>0</v>
          </cell>
        </row>
        <row r="303">
          <cell r="F303">
            <v>94697.184761904777</v>
          </cell>
          <cell r="G303">
            <v>0</v>
          </cell>
          <cell r="H303">
            <v>0</v>
          </cell>
          <cell r="P303">
            <v>1520.8000000000004</v>
          </cell>
          <cell r="Q303">
            <v>0</v>
          </cell>
          <cell r="R303">
            <v>0</v>
          </cell>
          <cell r="S303">
            <v>2126.6181818181776</v>
          </cell>
          <cell r="T303">
            <v>-642.65363636363622</v>
          </cell>
          <cell r="U303">
            <v>-650.41909090909098</v>
          </cell>
          <cell r="V303">
            <v>0</v>
          </cell>
          <cell r="W303">
            <v>0</v>
          </cell>
          <cell r="X303">
            <v>780.05454545454404</v>
          </cell>
          <cell r="Y303">
            <v>-358</v>
          </cell>
          <cell r="Z303">
            <v>-794.41818181818189</v>
          </cell>
          <cell r="AA303">
            <v>0</v>
          </cell>
          <cell r="AB303">
            <v>0</v>
          </cell>
          <cell r="AC303">
            <v>571</v>
          </cell>
          <cell r="AD303" t="e">
            <v>#REF!</v>
          </cell>
          <cell r="AE303" t="e">
            <v>#REF!</v>
          </cell>
          <cell r="AF303">
            <v>691.19999999999982</v>
          </cell>
          <cell r="AG303">
            <v>388.15999999999985</v>
          </cell>
          <cell r="AH303">
            <v>303.03999999999996</v>
          </cell>
          <cell r="AK303">
            <v>100570.65748917751</v>
          </cell>
        </row>
        <row r="304">
          <cell r="F304">
            <v>0</v>
          </cell>
          <cell r="AH304">
            <v>191</v>
          </cell>
          <cell r="AK304">
            <v>0</v>
          </cell>
        </row>
        <row r="305">
          <cell r="F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K305">
            <v>0</v>
          </cell>
        </row>
        <row r="306">
          <cell r="F306">
            <v>0</v>
          </cell>
          <cell r="G306">
            <v>0</v>
          </cell>
          <cell r="H306">
            <v>0</v>
          </cell>
          <cell r="P306">
            <v>0</v>
          </cell>
          <cell r="Q306" t="e">
            <v>#REF!</v>
          </cell>
          <cell r="R306" t="e">
            <v>#REF!</v>
          </cell>
          <cell r="S306">
            <v>0</v>
          </cell>
          <cell r="T306" t="e">
            <v>#REF!</v>
          </cell>
          <cell r="U306" t="e">
            <v>#REF!</v>
          </cell>
          <cell r="V306" t="e">
            <v>#REF!</v>
          </cell>
          <cell r="W306" t="e">
            <v>#REF!</v>
          </cell>
          <cell r="X306">
            <v>0</v>
          </cell>
          <cell r="Y306" t="e">
            <v>#REF!</v>
          </cell>
          <cell r="Z306" t="e">
            <v>#REF!</v>
          </cell>
          <cell r="AA306" t="e">
            <v>#REF!</v>
          </cell>
          <cell r="AB306" t="e">
            <v>#REF!</v>
          </cell>
          <cell r="AC306">
            <v>0</v>
          </cell>
          <cell r="AF306">
            <v>0</v>
          </cell>
          <cell r="AG306">
            <v>0</v>
          </cell>
          <cell r="AH306">
            <v>0</v>
          </cell>
          <cell r="AI306">
            <v>0</v>
          </cell>
          <cell r="AK306">
            <v>0</v>
          </cell>
        </row>
        <row r="307">
          <cell r="F307">
            <v>0</v>
          </cell>
          <cell r="AK307">
            <v>0</v>
          </cell>
        </row>
        <row r="308">
          <cell r="F308">
            <v>94697.184761904777</v>
          </cell>
          <cell r="P308">
            <v>1520.8000000000004</v>
          </cell>
          <cell r="Q308">
            <v>0</v>
          </cell>
          <cell r="R308">
            <v>0</v>
          </cell>
          <cell r="S308">
            <v>2126.6181818181776</v>
          </cell>
          <cell r="T308">
            <v>-642.65363636363622</v>
          </cell>
          <cell r="U308">
            <v>-650.41909090909098</v>
          </cell>
          <cell r="V308">
            <v>0</v>
          </cell>
          <cell r="W308">
            <v>0</v>
          </cell>
          <cell r="X308">
            <v>780.05454545454404</v>
          </cell>
          <cell r="Y308">
            <v>-358</v>
          </cell>
          <cell r="Z308">
            <v>-794.41818181818189</v>
          </cell>
          <cell r="AA308">
            <v>0</v>
          </cell>
          <cell r="AB308">
            <v>0</v>
          </cell>
          <cell r="AC308">
            <v>571</v>
          </cell>
          <cell r="AD308">
            <v>-112</v>
          </cell>
          <cell r="AE308">
            <v>-231.2</v>
          </cell>
          <cell r="AF308">
            <v>691.19999999999982</v>
          </cell>
          <cell r="AG308">
            <v>388.15999999999985</v>
          </cell>
          <cell r="AH308">
            <v>303.03999999999996</v>
          </cell>
          <cell r="AI308">
            <v>-278.90909090909088</v>
          </cell>
          <cell r="AK308">
            <v>100570.65748917751</v>
          </cell>
        </row>
        <row r="309">
          <cell r="F309">
            <v>0</v>
          </cell>
          <cell r="P309">
            <v>0</v>
          </cell>
          <cell r="S309">
            <v>0</v>
          </cell>
          <cell r="X309">
            <v>0</v>
          </cell>
          <cell r="AC309">
            <v>0</v>
          </cell>
          <cell r="AF309">
            <v>0</v>
          </cell>
          <cell r="AG309">
            <v>0</v>
          </cell>
          <cell r="AH309">
            <v>0</v>
          </cell>
          <cell r="AK309">
            <v>0</v>
          </cell>
        </row>
        <row r="310">
          <cell r="P310">
            <v>0</v>
          </cell>
          <cell r="AK310">
            <v>0</v>
          </cell>
        </row>
        <row r="311">
          <cell r="F311" t="e">
            <v>#REF!</v>
          </cell>
          <cell r="P311" t="e">
            <v>#REF!</v>
          </cell>
          <cell r="Q311" t="e">
            <v>#REF!</v>
          </cell>
          <cell r="R311" t="e">
            <v>#REF!</v>
          </cell>
          <cell r="S311">
            <v>0</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K311">
            <v>0</v>
          </cell>
        </row>
        <row r="312">
          <cell r="F312">
            <v>8992</v>
          </cell>
          <cell r="AK312">
            <v>8992</v>
          </cell>
        </row>
        <row r="313">
          <cell r="P313">
            <v>0</v>
          </cell>
          <cell r="S313">
            <v>0</v>
          </cell>
          <cell r="AK313">
            <v>0</v>
          </cell>
        </row>
        <row r="314">
          <cell r="F314">
            <v>0</v>
          </cell>
          <cell r="S314">
            <v>0</v>
          </cell>
          <cell r="AK314">
            <v>0</v>
          </cell>
        </row>
        <row r="315">
          <cell r="F315">
            <v>0</v>
          </cell>
          <cell r="AK315">
            <v>0</v>
          </cell>
        </row>
        <row r="316">
          <cell r="S316">
            <v>0</v>
          </cell>
        </row>
        <row r="317">
          <cell r="F317">
            <v>0</v>
          </cell>
          <cell r="AK317">
            <v>0</v>
          </cell>
        </row>
        <row r="318">
          <cell r="S318">
            <v>0</v>
          </cell>
          <cell r="AK318">
            <v>0</v>
          </cell>
        </row>
        <row r="319">
          <cell r="F319">
            <v>94697.184761904777</v>
          </cell>
          <cell r="P319">
            <v>1520.8000000000004</v>
          </cell>
          <cell r="Q319">
            <v>0</v>
          </cell>
          <cell r="R319">
            <v>0</v>
          </cell>
          <cell r="S319">
            <v>2126.6181818181776</v>
          </cell>
          <cell r="T319">
            <v>-642.65363636363622</v>
          </cell>
          <cell r="U319">
            <v>-650.41909090909098</v>
          </cell>
          <cell r="V319">
            <v>0</v>
          </cell>
          <cell r="W319">
            <v>0</v>
          </cell>
          <cell r="X319">
            <v>780.05454545454404</v>
          </cell>
          <cell r="Y319">
            <v>-358</v>
          </cell>
          <cell r="Z319">
            <v>-794.41818181818189</v>
          </cell>
          <cell r="AA319">
            <v>0</v>
          </cell>
          <cell r="AB319">
            <v>0</v>
          </cell>
          <cell r="AC319">
            <v>571</v>
          </cell>
          <cell r="AD319">
            <v>-112</v>
          </cell>
          <cell r="AE319">
            <v>-231.2</v>
          </cell>
          <cell r="AF319">
            <v>691.19999999999982</v>
          </cell>
          <cell r="AG319">
            <v>388.15999999999985</v>
          </cell>
          <cell r="AH319">
            <v>303.03999999999996</v>
          </cell>
          <cell r="AI319">
            <v>-278.90909090909088</v>
          </cell>
          <cell r="AK319">
            <v>100570.65748917751</v>
          </cell>
        </row>
        <row r="320">
          <cell r="AK320">
            <v>0</v>
          </cell>
        </row>
        <row r="321">
          <cell r="S321">
            <v>0</v>
          </cell>
        </row>
        <row r="322">
          <cell r="F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K322" t="e">
            <v>#REF!</v>
          </cell>
        </row>
        <row r="328">
          <cell r="AJ328">
            <v>2455</v>
          </cell>
          <cell r="AK328">
            <v>5757</v>
          </cell>
          <cell r="AM328">
            <v>4595.909090909091</v>
          </cell>
        </row>
        <row r="329">
          <cell r="F329">
            <v>103</v>
          </cell>
          <cell r="P329">
            <v>198</v>
          </cell>
          <cell r="S329">
            <v>460</v>
          </cell>
          <cell r="X329">
            <v>178</v>
          </cell>
          <cell r="AC329">
            <v>146</v>
          </cell>
          <cell r="AF329">
            <v>393</v>
          </cell>
          <cell r="AG329">
            <v>373</v>
          </cell>
          <cell r="AH329">
            <v>20</v>
          </cell>
          <cell r="AI329">
            <v>76</v>
          </cell>
          <cell r="AK329">
            <v>1570</v>
          </cell>
          <cell r="AM329">
            <v>1253</v>
          </cell>
        </row>
        <row r="330">
          <cell r="AJ330">
            <v>36</v>
          </cell>
          <cell r="AK330">
            <v>10408.151428571429</v>
          </cell>
          <cell r="AM330">
            <v>10408.151428571429</v>
          </cell>
        </row>
        <row r="331">
          <cell r="AJ331">
            <v>2455</v>
          </cell>
          <cell r="AK331">
            <v>791.6</v>
          </cell>
          <cell r="AL331">
            <v>0</v>
          </cell>
          <cell r="AM331">
            <v>791.6</v>
          </cell>
        </row>
        <row r="332">
          <cell r="F332">
            <v>0</v>
          </cell>
          <cell r="P332">
            <v>0</v>
          </cell>
          <cell r="S332">
            <v>0</v>
          </cell>
          <cell r="X332">
            <v>0</v>
          </cell>
          <cell r="AC332">
            <v>0</v>
          </cell>
          <cell r="AF332">
            <v>0</v>
          </cell>
          <cell r="AG332">
            <v>0</v>
          </cell>
          <cell r="AH332">
            <v>0</v>
          </cell>
          <cell r="AJ332">
            <v>36</v>
          </cell>
          <cell r="AK332">
            <v>120.26666666666665</v>
          </cell>
          <cell r="AL332">
            <v>0</v>
          </cell>
          <cell r="AM332">
            <v>108.26666666666667</v>
          </cell>
        </row>
        <row r="333">
          <cell r="AJ333">
            <v>36</v>
          </cell>
          <cell r="AK333">
            <v>4126.5514285714289</v>
          </cell>
          <cell r="AL333" t="e">
            <v>#REF!</v>
          </cell>
          <cell r="AM333">
            <v>4126.5514285714289</v>
          </cell>
        </row>
        <row r="334">
          <cell r="AK334">
            <v>3500</v>
          </cell>
          <cell r="AL334" t="e">
            <v>#REF!</v>
          </cell>
          <cell r="AM334">
            <v>3500</v>
          </cell>
        </row>
        <row r="335">
          <cell r="AJ335">
            <v>36</v>
          </cell>
          <cell r="AK335">
            <v>0</v>
          </cell>
          <cell r="AL335">
            <v>0</v>
          </cell>
        </row>
        <row r="336">
          <cell r="AK336">
            <v>1990</v>
          </cell>
          <cell r="AL336">
            <v>0</v>
          </cell>
          <cell r="AM336">
            <v>1990</v>
          </cell>
        </row>
        <row r="337">
          <cell r="AK337">
            <v>9242.6666666666661</v>
          </cell>
          <cell r="AL337">
            <v>3500</v>
          </cell>
        </row>
        <row r="338">
          <cell r="AK338">
            <v>0</v>
          </cell>
          <cell r="AM338">
            <v>0</v>
          </cell>
        </row>
        <row r="339">
          <cell r="AK339">
            <v>2183.5999999999995</v>
          </cell>
          <cell r="AL339">
            <v>0</v>
          </cell>
          <cell r="AM339">
            <v>2302</v>
          </cell>
        </row>
        <row r="340">
          <cell r="AK340">
            <v>2830.0727272727277</v>
          </cell>
          <cell r="AM340">
            <v>2501.0727272727272</v>
          </cell>
        </row>
        <row r="341">
          <cell r="AK341">
            <v>0</v>
          </cell>
          <cell r="AL341">
            <v>0</v>
          </cell>
          <cell r="AM341">
            <v>0</v>
          </cell>
        </row>
        <row r="342">
          <cell r="AK342">
            <v>0</v>
          </cell>
          <cell r="AL342">
            <v>-1300</v>
          </cell>
          <cell r="AM342">
            <v>0</v>
          </cell>
        </row>
        <row r="343">
          <cell r="AK343">
            <v>0</v>
          </cell>
          <cell r="AL343">
            <v>0</v>
          </cell>
          <cell r="AM343">
            <v>0</v>
          </cell>
        </row>
        <row r="344">
          <cell r="AK344">
            <v>4067.2</v>
          </cell>
          <cell r="AL344">
            <v>0</v>
          </cell>
          <cell r="AM344">
            <v>3105.4</v>
          </cell>
        </row>
        <row r="345">
          <cell r="AK345">
            <v>1424</v>
          </cell>
          <cell r="AL345">
            <v>0</v>
          </cell>
          <cell r="AM345">
            <v>988</v>
          </cell>
        </row>
        <row r="346">
          <cell r="AK346">
            <v>302.40000000000003</v>
          </cell>
          <cell r="AL346">
            <v>0</v>
          </cell>
          <cell r="AM346">
            <v>276.8</v>
          </cell>
        </row>
        <row r="347">
          <cell r="AK347">
            <v>1444.2</v>
          </cell>
          <cell r="AL347" t="e">
            <v>#REF!</v>
          </cell>
        </row>
        <row r="348">
          <cell r="AK348">
            <v>896.6</v>
          </cell>
          <cell r="AL348" t="e">
            <v>#REF!</v>
          </cell>
        </row>
        <row r="349">
          <cell r="AK349">
            <v>0</v>
          </cell>
          <cell r="AL349" t="e">
            <v>#REF!</v>
          </cell>
          <cell r="AM349">
            <v>0</v>
          </cell>
        </row>
        <row r="350">
          <cell r="AK350">
            <v>66</v>
          </cell>
          <cell r="AM350">
            <v>66</v>
          </cell>
        </row>
        <row r="351">
          <cell r="AK351">
            <v>3398.2</v>
          </cell>
          <cell r="AM351">
            <v>2675</v>
          </cell>
        </row>
        <row r="352">
          <cell r="P352">
            <v>225</v>
          </cell>
          <cell r="S352">
            <v>296</v>
          </cell>
          <cell r="X352">
            <v>56</v>
          </cell>
          <cell r="AC352">
            <v>95</v>
          </cell>
          <cell r="AF352">
            <v>317.8</v>
          </cell>
          <cell r="AG352">
            <v>317.8</v>
          </cell>
          <cell r="AH352">
            <v>0</v>
          </cell>
          <cell r="AK352">
            <v>989.8</v>
          </cell>
          <cell r="AL352">
            <v>0</v>
          </cell>
        </row>
        <row r="353">
          <cell r="AK353">
            <v>0</v>
          </cell>
          <cell r="AL353" t="e">
            <v>#REF!</v>
          </cell>
        </row>
        <row r="354">
          <cell r="F354">
            <v>0</v>
          </cell>
          <cell r="P354">
            <v>0</v>
          </cell>
          <cell r="S354">
            <v>0</v>
          </cell>
          <cell r="X354">
            <v>0</v>
          </cell>
          <cell r="AC354">
            <v>0</v>
          </cell>
          <cell r="AF354">
            <v>0</v>
          </cell>
          <cell r="AG354">
            <v>0</v>
          </cell>
          <cell r="AH354">
            <v>0</v>
          </cell>
          <cell r="AI354">
            <v>0</v>
          </cell>
          <cell r="AK354">
            <v>363.66666666666663</v>
          </cell>
          <cell r="AL354">
            <v>0</v>
          </cell>
          <cell r="AM354">
            <v>363.66666666666663</v>
          </cell>
        </row>
        <row r="355">
          <cell r="P355">
            <v>225</v>
          </cell>
          <cell r="S355">
            <v>296</v>
          </cell>
          <cell r="X355">
            <v>56</v>
          </cell>
          <cell r="AC355">
            <v>0</v>
          </cell>
          <cell r="AF355">
            <v>0</v>
          </cell>
          <cell r="AG355">
            <v>0</v>
          </cell>
          <cell r="AH355">
            <v>0</v>
          </cell>
          <cell r="AK355">
            <v>105</v>
          </cell>
          <cell r="AM355">
            <v>105</v>
          </cell>
        </row>
        <row r="356">
          <cell r="AK356">
            <v>0</v>
          </cell>
          <cell r="AM356">
            <v>0</v>
          </cell>
        </row>
        <row r="357">
          <cell r="F357">
            <v>0</v>
          </cell>
          <cell r="P357">
            <v>0</v>
          </cell>
          <cell r="S357">
            <v>0</v>
          </cell>
          <cell r="X357">
            <v>0</v>
          </cell>
          <cell r="AC357">
            <v>0</v>
          </cell>
          <cell r="AF357">
            <v>0</v>
          </cell>
          <cell r="AG357">
            <v>0</v>
          </cell>
          <cell r="AH357">
            <v>0</v>
          </cell>
          <cell r="AK357">
            <v>0</v>
          </cell>
          <cell r="AL357">
            <v>0</v>
          </cell>
          <cell r="AM357">
            <v>0</v>
          </cell>
        </row>
        <row r="358">
          <cell r="AJ358">
            <v>-2491</v>
          </cell>
          <cell r="AK358">
            <v>3376.9666666666672</v>
          </cell>
          <cell r="AL358">
            <v>0</v>
          </cell>
          <cell r="AM358" t="e">
            <v>#REF!</v>
          </cell>
        </row>
        <row r="359">
          <cell r="AK359">
            <v>607.40000000000009</v>
          </cell>
          <cell r="AL359">
            <v>0</v>
          </cell>
        </row>
        <row r="360">
          <cell r="AK360">
            <v>691.86666666666667</v>
          </cell>
          <cell r="AL360">
            <v>0</v>
          </cell>
        </row>
        <row r="361">
          <cell r="AJ361">
            <v>-2491</v>
          </cell>
          <cell r="AK361">
            <v>2077.6999999999998</v>
          </cell>
          <cell r="AL361" t="e">
            <v>#REF!</v>
          </cell>
        </row>
        <row r="362">
          <cell r="F362">
            <v>0</v>
          </cell>
          <cell r="P362">
            <v>-41.200000000000045</v>
          </cell>
          <cell r="S362">
            <v>-70.599999999999909</v>
          </cell>
          <cell r="T362">
            <v>207.20000000000002</v>
          </cell>
          <cell r="U362">
            <v>1087.8</v>
          </cell>
          <cell r="X362">
            <v>576.79999999999995</v>
          </cell>
          <cell r="Y362">
            <v>233</v>
          </cell>
          <cell r="Z362">
            <v>519</v>
          </cell>
          <cell r="AC362">
            <v>574.79999999999995</v>
          </cell>
          <cell r="AD362">
            <v>240</v>
          </cell>
          <cell r="AE362">
            <v>494</v>
          </cell>
          <cell r="AF362">
            <v>108.80000000000001</v>
          </cell>
          <cell r="AG362">
            <v>170.8</v>
          </cell>
          <cell r="AH362">
            <v>-62</v>
          </cell>
          <cell r="AI362">
            <v>0</v>
          </cell>
          <cell r="AK362">
            <v>1158.5999999999999</v>
          </cell>
          <cell r="AM362">
            <v>1049.8</v>
          </cell>
        </row>
        <row r="363">
          <cell r="AK363" t="e">
            <v>#REF!</v>
          </cell>
        </row>
        <row r="364">
          <cell r="AK364">
            <v>0</v>
          </cell>
        </row>
        <row r="365">
          <cell r="F365">
            <v>0</v>
          </cell>
          <cell r="P365">
            <v>0</v>
          </cell>
          <cell r="S365">
            <v>0</v>
          </cell>
          <cell r="T365">
            <v>0</v>
          </cell>
          <cell r="U365">
            <v>0</v>
          </cell>
          <cell r="X365">
            <v>0</v>
          </cell>
          <cell r="Y365">
            <v>0</v>
          </cell>
          <cell r="Z365">
            <v>0</v>
          </cell>
          <cell r="AC365">
            <v>0</v>
          </cell>
          <cell r="AD365">
            <v>0</v>
          </cell>
          <cell r="AE365">
            <v>0</v>
          </cell>
          <cell r="AF365">
            <v>0</v>
          </cell>
          <cell r="AG365">
            <v>0</v>
          </cell>
          <cell r="AH365">
            <v>0</v>
          </cell>
          <cell r="AK365">
            <v>0</v>
          </cell>
          <cell r="AL365">
            <v>0</v>
          </cell>
        </row>
        <row r="371">
          <cell r="F371">
            <v>-4642</v>
          </cell>
        </row>
        <row r="374">
          <cell r="F374">
            <v>0</v>
          </cell>
        </row>
        <row r="383">
          <cell r="F383" t="str">
            <v>лютий</v>
          </cell>
          <cell r="P383" t="str">
            <v>лютий</v>
          </cell>
          <cell r="X383" t="str">
            <v>лютий</v>
          </cell>
          <cell r="AC383" t="str">
            <v>лютий</v>
          </cell>
        </row>
        <row r="384">
          <cell r="F384" t="str">
            <v>АППАРАТ</v>
          </cell>
          <cell r="P384" t="str">
            <v>ККМ</v>
          </cell>
          <cell r="X384" t="str">
            <v>ТЕЦ5</v>
          </cell>
          <cell r="AC384" t="str">
            <v>ТЕЦ6</v>
          </cell>
          <cell r="AK384" t="str">
            <v>АК "КЕ"</v>
          </cell>
          <cell r="AL384" t="str">
            <v>Е/Е</v>
          </cell>
        </row>
        <row r="385">
          <cell r="F385" t="str">
            <v>ПЛАН</v>
          </cell>
          <cell r="P385" t="str">
            <v>ПЛАН</v>
          </cell>
          <cell r="X385" t="str">
            <v>ПЛАН</v>
          </cell>
          <cell r="AC385" t="str">
            <v>ПЛАН</v>
          </cell>
          <cell r="AK385" t="str">
            <v>ПЛАН</v>
          </cell>
          <cell r="AL385" t="str">
            <v>ПЛАН</v>
          </cell>
        </row>
        <row r="386">
          <cell r="F386">
            <v>164.3</v>
          </cell>
          <cell r="G386">
            <v>35</v>
          </cell>
          <cell r="H386">
            <v>35</v>
          </cell>
          <cell r="P386">
            <v>14.333333333333332</v>
          </cell>
          <cell r="S386">
            <v>14.333333333333332</v>
          </cell>
          <cell r="X386">
            <v>182</v>
          </cell>
          <cell r="Y386">
            <v>56</v>
          </cell>
          <cell r="Z386">
            <v>56</v>
          </cell>
          <cell r="AC386">
            <v>323.66666666666674</v>
          </cell>
          <cell r="AD386">
            <v>106</v>
          </cell>
          <cell r="AE386">
            <v>105</v>
          </cell>
          <cell r="AK386">
            <v>735.30000000000018</v>
          </cell>
          <cell r="AL386">
            <v>305.73333333333335</v>
          </cell>
          <cell r="AM386">
            <v>226.33333333333334</v>
          </cell>
        </row>
        <row r="387">
          <cell r="F387">
            <v>29</v>
          </cell>
          <cell r="G387">
            <v>6</v>
          </cell>
          <cell r="P387">
            <v>0</v>
          </cell>
          <cell r="X387">
            <v>0</v>
          </cell>
          <cell r="Y387">
            <v>0</v>
          </cell>
          <cell r="AC387">
            <v>3.6666666666666665</v>
          </cell>
          <cell r="AD387">
            <v>1</v>
          </cell>
          <cell r="AK387">
            <v>46</v>
          </cell>
          <cell r="AL387">
            <v>10</v>
          </cell>
        </row>
        <row r="388">
          <cell r="F388">
            <v>0</v>
          </cell>
          <cell r="G388">
            <v>0</v>
          </cell>
          <cell r="P388">
            <v>0.66666666666666663</v>
          </cell>
          <cell r="X388">
            <v>146.66666666666666</v>
          </cell>
          <cell r="Y388">
            <v>45</v>
          </cell>
          <cell r="AC388">
            <v>280.66666666666669</v>
          </cell>
          <cell r="AD388">
            <v>92</v>
          </cell>
          <cell r="AK388">
            <v>428</v>
          </cell>
          <cell r="AL388">
            <v>137.66666666666666</v>
          </cell>
        </row>
        <row r="389">
          <cell r="F389">
            <v>0</v>
          </cell>
          <cell r="G389">
            <v>0</v>
          </cell>
          <cell r="H389" t="e">
            <v>#REF!</v>
          </cell>
          <cell r="P389">
            <v>2</v>
          </cell>
          <cell r="S389">
            <v>14.333333333333332</v>
          </cell>
          <cell r="X389">
            <v>0</v>
          </cell>
          <cell r="Y389">
            <v>0</v>
          </cell>
          <cell r="Z389">
            <v>76</v>
          </cell>
          <cell r="AC389">
            <v>25</v>
          </cell>
          <cell r="AD389">
            <v>8</v>
          </cell>
          <cell r="AE389">
            <v>147</v>
          </cell>
          <cell r="AK389">
            <v>33.666666666666671</v>
          </cell>
          <cell r="AL389">
            <v>13</v>
          </cell>
        </row>
        <row r="390">
          <cell r="F390">
            <v>0</v>
          </cell>
          <cell r="G390">
            <v>0</v>
          </cell>
          <cell r="P390">
            <v>0</v>
          </cell>
          <cell r="X390">
            <v>25.333333333333332</v>
          </cell>
          <cell r="Y390">
            <v>8</v>
          </cell>
          <cell r="AC390">
            <v>0.66666666666666663</v>
          </cell>
          <cell r="AD390">
            <v>0</v>
          </cell>
          <cell r="AK390">
            <v>26</v>
          </cell>
          <cell r="AL390">
            <v>8</v>
          </cell>
        </row>
        <row r="391">
          <cell r="F391">
            <v>120.63333333333333</v>
          </cell>
          <cell r="G391">
            <v>26</v>
          </cell>
          <cell r="P391">
            <v>0</v>
          </cell>
          <cell r="X391">
            <v>0</v>
          </cell>
          <cell r="Y391">
            <v>0</v>
          </cell>
          <cell r="AC391">
            <v>0</v>
          </cell>
          <cell r="AD391">
            <v>0</v>
          </cell>
          <cell r="AK391">
            <v>120.63333333333333</v>
          </cell>
          <cell r="AL391">
            <v>28</v>
          </cell>
        </row>
        <row r="392">
          <cell r="F392">
            <v>8.6666666666666661</v>
          </cell>
          <cell r="G392">
            <v>2</v>
          </cell>
          <cell r="P392">
            <v>0</v>
          </cell>
          <cell r="X392">
            <v>0</v>
          </cell>
          <cell r="Y392">
            <v>0</v>
          </cell>
          <cell r="AC392">
            <v>0</v>
          </cell>
          <cell r="AD392">
            <v>0</v>
          </cell>
          <cell r="AK392">
            <v>8.6666666666666661</v>
          </cell>
          <cell r="AL392">
            <v>0</v>
          </cell>
        </row>
        <row r="393">
          <cell r="F393">
            <v>0</v>
          </cell>
          <cell r="G393">
            <v>0</v>
          </cell>
          <cell r="P393">
            <v>5.333333333333333</v>
          </cell>
          <cell r="X393">
            <v>0</v>
          </cell>
          <cell r="Y393">
            <v>0</v>
          </cell>
          <cell r="AC393">
            <v>0</v>
          </cell>
          <cell r="AD393">
            <v>0</v>
          </cell>
          <cell r="AK393">
            <v>22</v>
          </cell>
          <cell r="AL393">
            <v>15.333333333333332</v>
          </cell>
        </row>
        <row r="394">
          <cell r="F394">
            <v>5.333333333333333</v>
          </cell>
          <cell r="G394">
            <v>1</v>
          </cell>
          <cell r="P394">
            <v>0</v>
          </cell>
          <cell r="X394">
            <v>0</v>
          </cell>
          <cell r="Y394">
            <v>0</v>
          </cell>
          <cell r="AC394">
            <v>0</v>
          </cell>
          <cell r="AD394">
            <v>0</v>
          </cell>
          <cell r="AK394">
            <v>5.333333333333333</v>
          </cell>
          <cell r="AL394">
            <v>1</v>
          </cell>
        </row>
        <row r="395">
          <cell r="F395">
            <v>0.33333333333333331</v>
          </cell>
          <cell r="G395">
            <v>0</v>
          </cell>
          <cell r="P395">
            <v>4.333333333333333</v>
          </cell>
          <cell r="X395">
            <v>0</v>
          </cell>
          <cell r="Y395">
            <v>0</v>
          </cell>
          <cell r="AC395">
            <v>0</v>
          </cell>
          <cell r="AD395">
            <v>0</v>
          </cell>
          <cell r="AK395">
            <v>4.6666666666666661</v>
          </cell>
          <cell r="AL395">
            <v>4.333333333333333</v>
          </cell>
        </row>
        <row r="396">
          <cell r="F396">
            <v>0.33333333333333331</v>
          </cell>
          <cell r="G396">
            <v>0</v>
          </cell>
          <cell r="P396">
            <v>2</v>
          </cell>
          <cell r="X396">
            <v>10</v>
          </cell>
          <cell r="Y396">
            <v>3</v>
          </cell>
          <cell r="AC396">
            <v>13.666666666666666</v>
          </cell>
          <cell r="AD396">
            <v>4</v>
          </cell>
          <cell r="AK396">
            <v>26</v>
          </cell>
          <cell r="AL396">
            <v>9</v>
          </cell>
        </row>
        <row r="397">
          <cell r="F397">
            <v>0</v>
          </cell>
          <cell r="G397">
            <v>0</v>
          </cell>
          <cell r="P397">
            <v>0</v>
          </cell>
          <cell r="X397">
            <v>0</v>
          </cell>
          <cell r="Y397">
            <v>0</v>
          </cell>
          <cell r="AC397">
            <v>0</v>
          </cell>
          <cell r="AD397">
            <v>0</v>
          </cell>
          <cell r="AK397">
            <v>0</v>
          </cell>
        </row>
        <row r="398">
          <cell r="F398">
            <v>1.1666666666666667</v>
          </cell>
          <cell r="G398">
            <v>0</v>
          </cell>
          <cell r="P398">
            <v>20.5</v>
          </cell>
          <cell r="X398">
            <v>522.33333333333337</v>
          </cell>
          <cell r="Y398">
            <v>162</v>
          </cell>
          <cell r="AC398">
            <v>43</v>
          </cell>
          <cell r="AD398">
            <v>14</v>
          </cell>
          <cell r="AK398">
            <v>587.33333333333337</v>
          </cell>
          <cell r="AL398">
            <v>196.5</v>
          </cell>
          <cell r="AM398">
            <v>196.83333333333334</v>
          </cell>
        </row>
        <row r="399">
          <cell r="F399">
            <v>0</v>
          </cell>
          <cell r="G399">
            <v>0</v>
          </cell>
          <cell r="P399">
            <v>0</v>
          </cell>
          <cell r="X399">
            <v>0</v>
          </cell>
          <cell r="Y399">
            <v>0</v>
          </cell>
          <cell r="AC399">
            <v>0</v>
          </cell>
          <cell r="AD399">
            <v>0</v>
          </cell>
          <cell r="AK399">
            <v>0</v>
          </cell>
          <cell r="AL399">
            <v>0</v>
          </cell>
        </row>
        <row r="400">
          <cell r="F400">
            <v>0</v>
          </cell>
          <cell r="G400">
            <v>0</v>
          </cell>
          <cell r="P400">
            <v>0</v>
          </cell>
          <cell r="X400">
            <v>480.66666666666669</v>
          </cell>
          <cell r="Y400">
            <v>149</v>
          </cell>
          <cell r="AC400">
            <v>11</v>
          </cell>
          <cell r="AD400">
            <v>4</v>
          </cell>
          <cell r="AK400">
            <v>491.66666666666669</v>
          </cell>
          <cell r="AL400">
            <v>153</v>
          </cell>
        </row>
        <row r="401">
          <cell r="F401">
            <v>0</v>
          </cell>
          <cell r="G401">
            <v>0</v>
          </cell>
          <cell r="P401">
            <v>0</v>
          </cell>
          <cell r="X401">
            <v>0</v>
          </cell>
          <cell r="Y401">
            <v>0</v>
          </cell>
          <cell r="AC401">
            <v>0</v>
          </cell>
          <cell r="AD401">
            <v>0</v>
          </cell>
          <cell r="AK401">
            <v>0</v>
          </cell>
          <cell r="AL401">
            <v>0</v>
          </cell>
        </row>
        <row r="402">
          <cell r="F402">
            <v>1.1666666666666667</v>
          </cell>
          <cell r="G402">
            <v>0</v>
          </cell>
          <cell r="P402">
            <v>15.833333333333334</v>
          </cell>
          <cell r="X402">
            <v>41.666666666666664</v>
          </cell>
          <cell r="Y402">
            <v>13</v>
          </cell>
          <cell r="AC402">
            <v>32</v>
          </cell>
          <cell r="AD402">
            <v>10</v>
          </cell>
          <cell r="AK402">
            <v>91</v>
          </cell>
          <cell r="AL402">
            <v>43.833333333333336</v>
          </cell>
        </row>
        <row r="403">
          <cell r="F403">
            <v>0</v>
          </cell>
          <cell r="G403">
            <v>0</v>
          </cell>
          <cell r="P403">
            <v>4.666666666666667</v>
          </cell>
          <cell r="X403">
            <v>0</v>
          </cell>
          <cell r="Y403">
            <v>0</v>
          </cell>
          <cell r="AC403">
            <v>0</v>
          </cell>
          <cell r="AD403">
            <v>0</v>
          </cell>
          <cell r="AK403">
            <v>4.666666666666667</v>
          </cell>
          <cell r="AL403">
            <v>0</v>
          </cell>
        </row>
        <row r="404">
          <cell r="F404">
            <v>0</v>
          </cell>
          <cell r="G404">
            <v>0</v>
          </cell>
          <cell r="P404">
            <v>0</v>
          </cell>
          <cell r="X404">
            <v>0</v>
          </cell>
          <cell r="Y404">
            <v>0</v>
          </cell>
          <cell r="AC404">
            <v>0</v>
          </cell>
          <cell r="AD404">
            <v>0</v>
          </cell>
          <cell r="AK404">
            <v>0</v>
          </cell>
        </row>
        <row r="405">
          <cell r="F405">
            <v>10</v>
          </cell>
          <cell r="G405">
            <v>2</v>
          </cell>
          <cell r="P405">
            <v>39</v>
          </cell>
          <cell r="X405">
            <v>0</v>
          </cell>
          <cell r="Y405">
            <v>0</v>
          </cell>
          <cell r="AC405">
            <v>0</v>
          </cell>
          <cell r="AD405">
            <v>0</v>
          </cell>
          <cell r="AK405">
            <v>49</v>
          </cell>
          <cell r="AL405">
            <v>41</v>
          </cell>
          <cell r="AM405">
            <v>42</v>
          </cell>
        </row>
        <row r="406">
          <cell r="F406">
            <v>2.6666666666666665</v>
          </cell>
          <cell r="G406">
            <v>1</v>
          </cell>
          <cell r="P406">
            <v>3.3333333333333335</v>
          </cell>
          <cell r="X406">
            <v>0</v>
          </cell>
          <cell r="Y406">
            <v>0</v>
          </cell>
          <cell r="AC406">
            <v>0</v>
          </cell>
          <cell r="AD406">
            <v>0</v>
          </cell>
          <cell r="AK406">
            <v>6</v>
          </cell>
          <cell r="AL406">
            <v>4.3333333333333339</v>
          </cell>
        </row>
        <row r="407">
          <cell r="F407">
            <v>7.333333333333333</v>
          </cell>
          <cell r="G407">
            <v>2</v>
          </cell>
          <cell r="P407">
            <v>35.666666666666664</v>
          </cell>
          <cell r="X407">
            <v>0</v>
          </cell>
          <cell r="Y407">
            <v>0</v>
          </cell>
          <cell r="AC407">
            <v>0</v>
          </cell>
          <cell r="AD407">
            <v>0</v>
          </cell>
          <cell r="AK407">
            <v>43</v>
          </cell>
          <cell r="AL407">
            <v>37.666666666666664</v>
          </cell>
        </row>
        <row r="408">
          <cell r="F408">
            <v>0</v>
          </cell>
          <cell r="G408">
            <v>0</v>
          </cell>
          <cell r="P408">
            <v>0</v>
          </cell>
          <cell r="X408">
            <v>0</v>
          </cell>
          <cell r="Y408">
            <v>0</v>
          </cell>
          <cell r="AC408">
            <v>0</v>
          </cell>
          <cell r="AD408">
            <v>0</v>
          </cell>
          <cell r="AK408">
            <v>0</v>
          </cell>
          <cell r="AL408" t="e">
            <v>#REF!</v>
          </cell>
        </row>
        <row r="409">
          <cell r="F409">
            <v>206.33333333333329</v>
          </cell>
          <cell r="G409">
            <v>44</v>
          </cell>
          <cell r="H409">
            <v>43</v>
          </cell>
          <cell r="P409">
            <v>50.166666666666671</v>
          </cell>
          <cell r="S409">
            <v>50.166666666666671</v>
          </cell>
          <cell r="X409">
            <v>37.833333333333343</v>
          </cell>
          <cell r="Y409">
            <v>12</v>
          </cell>
          <cell r="AC409">
            <v>26.000000000000004</v>
          </cell>
          <cell r="AD409">
            <v>9</v>
          </cell>
          <cell r="AK409">
            <v>1965.0000000000002</v>
          </cell>
          <cell r="AL409">
            <v>373.16666666666663</v>
          </cell>
          <cell r="AM409">
            <v>373.16666666666663</v>
          </cell>
        </row>
        <row r="410">
          <cell r="F410">
            <v>0</v>
          </cell>
          <cell r="G410">
            <v>0</v>
          </cell>
          <cell r="P410">
            <v>0</v>
          </cell>
          <cell r="X410">
            <v>0</v>
          </cell>
          <cell r="Y410">
            <v>0</v>
          </cell>
          <cell r="AC410">
            <v>0</v>
          </cell>
          <cell r="AD410">
            <v>0</v>
          </cell>
          <cell r="AK410">
            <v>1350</v>
          </cell>
          <cell r="AL410">
            <v>0</v>
          </cell>
        </row>
        <row r="411">
          <cell r="F411">
            <v>0</v>
          </cell>
          <cell r="G411">
            <v>0</v>
          </cell>
          <cell r="P411">
            <v>0</v>
          </cell>
          <cell r="X411">
            <v>0</v>
          </cell>
          <cell r="Y411">
            <v>0</v>
          </cell>
          <cell r="AC411">
            <v>0</v>
          </cell>
          <cell r="AD411">
            <v>0</v>
          </cell>
          <cell r="AK411">
            <v>95</v>
          </cell>
          <cell r="AL411">
            <v>95</v>
          </cell>
        </row>
        <row r="412">
          <cell r="F412">
            <v>0</v>
          </cell>
          <cell r="G412">
            <v>0</v>
          </cell>
          <cell r="H412" t="e">
            <v>#REF!</v>
          </cell>
          <cell r="P412">
            <v>0</v>
          </cell>
          <cell r="S412">
            <v>50.166666666666671</v>
          </cell>
          <cell r="X412">
            <v>0</v>
          </cell>
          <cell r="Y412">
            <v>0</v>
          </cell>
          <cell r="AC412">
            <v>0</v>
          </cell>
          <cell r="AD412">
            <v>0</v>
          </cell>
          <cell r="AK412">
            <v>0</v>
          </cell>
          <cell r="AL412">
            <v>0</v>
          </cell>
        </row>
        <row r="413">
          <cell r="F413">
            <v>0</v>
          </cell>
          <cell r="G413">
            <v>0</v>
          </cell>
          <cell r="P413">
            <v>12.333333333333334</v>
          </cell>
          <cell r="X413">
            <v>0</v>
          </cell>
          <cell r="Y413">
            <v>0</v>
          </cell>
          <cell r="AC413">
            <v>0</v>
          </cell>
          <cell r="AD413">
            <v>0</v>
          </cell>
          <cell r="AK413">
            <v>12.333333333333334</v>
          </cell>
          <cell r="AL413">
            <v>12.333333333333334</v>
          </cell>
        </row>
        <row r="414">
          <cell r="F414">
            <v>0</v>
          </cell>
          <cell r="G414">
            <v>0</v>
          </cell>
          <cell r="P414">
            <v>0</v>
          </cell>
          <cell r="X414">
            <v>0</v>
          </cell>
          <cell r="Y414">
            <v>0</v>
          </cell>
          <cell r="AC414">
            <v>0</v>
          </cell>
          <cell r="AD414">
            <v>0</v>
          </cell>
          <cell r="AK414">
            <v>0</v>
          </cell>
          <cell r="AL414">
            <v>0</v>
          </cell>
        </row>
        <row r="415">
          <cell r="F415">
            <v>1.6666666666666667</v>
          </cell>
          <cell r="G415">
            <v>0</v>
          </cell>
          <cell r="P415">
            <v>5</v>
          </cell>
          <cell r="X415">
            <v>3</v>
          </cell>
          <cell r="Y415">
            <v>1</v>
          </cell>
          <cell r="AC415">
            <v>3</v>
          </cell>
          <cell r="AD415">
            <v>1</v>
          </cell>
          <cell r="AK415">
            <v>57.666666666666664</v>
          </cell>
          <cell r="AL415">
            <v>47</v>
          </cell>
        </row>
        <row r="416">
          <cell r="F416">
            <v>0</v>
          </cell>
          <cell r="G416">
            <v>0</v>
          </cell>
          <cell r="P416">
            <v>0</v>
          </cell>
          <cell r="X416">
            <v>0</v>
          </cell>
          <cell r="Y416">
            <v>0</v>
          </cell>
          <cell r="AC416">
            <v>0</v>
          </cell>
          <cell r="AD416">
            <v>0</v>
          </cell>
          <cell r="AK416">
            <v>4</v>
          </cell>
          <cell r="AL416">
            <v>0</v>
          </cell>
        </row>
        <row r="417">
          <cell r="F417">
            <v>0</v>
          </cell>
          <cell r="G417">
            <v>0</v>
          </cell>
          <cell r="P417">
            <v>0</v>
          </cell>
          <cell r="X417">
            <v>0</v>
          </cell>
          <cell r="Y417">
            <v>0</v>
          </cell>
          <cell r="AC417">
            <v>0</v>
          </cell>
          <cell r="AD417">
            <v>0</v>
          </cell>
          <cell r="AK417">
            <v>0</v>
          </cell>
          <cell r="AL417">
            <v>0</v>
          </cell>
        </row>
        <row r="418">
          <cell r="F418">
            <v>0</v>
          </cell>
          <cell r="G418">
            <v>0</v>
          </cell>
          <cell r="P418">
            <v>18.5</v>
          </cell>
          <cell r="X418">
            <v>4.5</v>
          </cell>
          <cell r="Y418">
            <v>1</v>
          </cell>
          <cell r="AC418">
            <v>1.3333333333333333</v>
          </cell>
          <cell r="AD418">
            <v>0</v>
          </cell>
          <cell r="AK418">
            <v>28.5</v>
          </cell>
          <cell r="AL418">
            <v>23.5</v>
          </cell>
        </row>
        <row r="419">
          <cell r="F419">
            <v>0</v>
          </cell>
          <cell r="G419">
            <v>0</v>
          </cell>
          <cell r="P419">
            <v>1.3333333333333333</v>
          </cell>
          <cell r="X419">
            <v>0</v>
          </cell>
          <cell r="Y419">
            <v>0</v>
          </cell>
          <cell r="AC419">
            <v>1.6666666666666667</v>
          </cell>
          <cell r="AD419">
            <v>1</v>
          </cell>
          <cell r="AK419">
            <v>69</v>
          </cell>
          <cell r="AL419">
            <v>52.333333333333336</v>
          </cell>
        </row>
        <row r="420">
          <cell r="F420">
            <v>177</v>
          </cell>
          <cell r="G420">
            <v>38</v>
          </cell>
          <cell r="P420">
            <v>0</v>
          </cell>
          <cell r="X420">
            <v>0</v>
          </cell>
          <cell r="Y420">
            <v>0</v>
          </cell>
          <cell r="AC420">
            <v>0</v>
          </cell>
          <cell r="AD420">
            <v>0</v>
          </cell>
          <cell r="AK420">
            <v>177</v>
          </cell>
          <cell r="AL420">
            <v>38</v>
          </cell>
        </row>
        <row r="421">
          <cell r="F421">
            <v>0</v>
          </cell>
          <cell r="G421">
            <v>0</v>
          </cell>
          <cell r="P421">
            <v>0</v>
          </cell>
          <cell r="X421">
            <v>10</v>
          </cell>
          <cell r="Y421">
            <v>3</v>
          </cell>
          <cell r="AC421">
            <v>7.666666666666667</v>
          </cell>
          <cell r="AD421">
            <v>3</v>
          </cell>
          <cell r="AK421">
            <v>17.666666666666668</v>
          </cell>
          <cell r="AL421">
            <v>6</v>
          </cell>
        </row>
        <row r="422">
          <cell r="F422">
            <v>0.66666666666666663</v>
          </cell>
          <cell r="G422">
            <v>0</v>
          </cell>
          <cell r="P422">
            <v>2</v>
          </cell>
          <cell r="X422">
            <v>1.3333333333333333</v>
          </cell>
          <cell r="Y422">
            <v>0</v>
          </cell>
          <cell r="AC422">
            <v>1</v>
          </cell>
          <cell r="AD422">
            <v>0</v>
          </cell>
          <cell r="AK422">
            <v>6</v>
          </cell>
          <cell r="AL422">
            <v>2</v>
          </cell>
        </row>
        <row r="423">
          <cell r="F423">
            <v>2.6666666666666665</v>
          </cell>
          <cell r="G423">
            <v>1</v>
          </cell>
          <cell r="P423">
            <v>0.33333333333333331</v>
          </cell>
          <cell r="X423">
            <v>1</v>
          </cell>
          <cell r="Y423">
            <v>0</v>
          </cell>
          <cell r="AC423">
            <v>0.66666666666666663</v>
          </cell>
          <cell r="AD423">
            <v>0</v>
          </cell>
          <cell r="AK423">
            <v>9.3333333333333339</v>
          </cell>
          <cell r="AL423">
            <v>3.3333333333333335</v>
          </cell>
        </row>
        <row r="424">
          <cell r="F424">
            <v>0</v>
          </cell>
          <cell r="G424">
            <v>0</v>
          </cell>
          <cell r="P424">
            <v>2.3333333333333335</v>
          </cell>
          <cell r="X424">
            <v>6</v>
          </cell>
          <cell r="Y424">
            <v>2</v>
          </cell>
          <cell r="AC424">
            <v>5</v>
          </cell>
          <cell r="AD424">
            <v>2</v>
          </cell>
          <cell r="AK424">
            <v>13.333333333333334</v>
          </cell>
          <cell r="AL424">
            <v>6.3333333333333339</v>
          </cell>
        </row>
        <row r="425">
          <cell r="F425">
            <v>0</v>
          </cell>
          <cell r="G425">
            <v>0</v>
          </cell>
          <cell r="P425">
            <v>0</v>
          </cell>
          <cell r="X425">
            <v>0</v>
          </cell>
          <cell r="Y425">
            <v>0</v>
          </cell>
          <cell r="AC425">
            <v>0</v>
          </cell>
          <cell r="AD425">
            <v>0</v>
          </cell>
          <cell r="AK425">
            <v>0</v>
          </cell>
          <cell r="AL425">
            <v>0</v>
          </cell>
        </row>
        <row r="426">
          <cell r="F426">
            <v>0</v>
          </cell>
          <cell r="G426">
            <v>0</v>
          </cell>
          <cell r="P426">
            <v>0</v>
          </cell>
          <cell r="X426">
            <v>0</v>
          </cell>
          <cell r="Y426">
            <v>0</v>
          </cell>
          <cell r="AC426">
            <v>0</v>
          </cell>
          <cell r="AD426">
            <v>0</v>
          </cell>
          <cell r="AK426">
            <v>0</v>
          </cell>
          <cell r="AL426">
            <v>0</v>
          </cell>
        </row>
        <row r="427">
          <cell r="F427">
            <v>9.6666666666666661</v>
          </cell>
          <cell r="G427">
            <v>2</v>
          </cell>
          <cell r="P427">
            <v>1</v>
          </cell>
          <cell r="X427">
            <v>0</v>
          </cell>
          <cell r="Y427">
            <v>0</v>
          </cell>
          <cell r="AC427">
            <v>0</v>
          </cell>
          <cell r="AD427">
            <v>0</v>
          </cell>
          <cell r="AK427">
            <v>12</v>
          </cell>
          <cell r="AL427">
            <v>4</v>
          </cell>
        </row>
        <row r="428">
          <cell r="F428">
            <v>0</v>
          </cell>
          <cell r="G428">
            <v>0</v>
          </cell>
          <cell r="P428">
            <v>0</v>
          </cell>
          <cell r="X428">
            <v>0</v>
          </cell>
          <cell r="Y428">
            <v>0</v>
          </cell>
          <cell r="AC428">
            <v>0</v>
          </cell>
          <cell r="AD428">
            <v>0</v>
          </cell>
          <cell r="AK428">
            <v>0</v>
          </cell>
          <cell r="AL428">
            <v>0</v>
          </cell>
        </row>
        <row r="429">
          <cell r="F429">
            <v>2.3333333333333335</v>
          </cell>
          <cell r="G429">
            <v>0</v>
          </cell>
          <cell r="P429">
            <v>0.66666666666666663</v>
          </cell>
          <cell r="X429">
            <v>0.66666666666666663</v>
          </cell>
          <cell r="Y429">
            <v>0</v>
          </cell>
          <cell r="AC429">
            <v>0.66666666666666663</v>
          </cell>
          <cell r="AD429">
            <v>0</v>
          </cell>
          <cell r="AK429">
            <v>4.333333333333333</v>
          </cell>
          <cell r="AL429">
            <v>0.66666666666666663</v>
          </cell>
        </row>
        <row r="430">
          <cell r="F430">
            <v>1.6666666666666667</v>
          </cell>
          <cell r="G430">
            <v>0</v>
          </cell>
          <cell r="P430">
            <v>0.66666666666666663</v>
          </cell>
          <cell r="X430">
            <v>0.66666666666666663</v>
          </cell>
          <cell r="Y430">
            <v>0</v>
          </cell>
          <cell r="AC430">
            <v>0.66666666666666663</v>
          </cell>
          <cell r="AD430">
            <v>0</v>
          </cell>
          <cell r="AK430">
            <v>3.6666666666666665</v>
          </cell>
          <cell r="AL430">
            <v>0.66666666666666663</v>
          </cell>
        </row>
        <row r="431">
          <cell r="F431">
            <v>6.666666666666667</v>
          </cell>
          <cell r="G431">
            <v>1</v>
          </cell>
          <cell r="P431">
            <v>4.666666666666667</v>
          </cell>
          <cell r="X431">
            <v>3</v>
          </cell>
          <cell r="Y431">
            <v>1</v>
          </cell>
          <cell r="AC431">
            <v>2</v>
          </cell>
          <cell r="AD431">
            <v>1</v>
          </cell>
          <cell r="AK431">
            <v>33</v>
          </cell>
          <cell r="AL431">
            <v>17.666666666666668</v>
          </cell>
        </row>
        <row r="432">
          <cell r="F432">
            <v>0</v>
          </cell>
          <cell r="G432">
            <v>0</v>
          </cell>
          <cell r="P432">
            <v>0</v>
          </cell>
          <cell r="X432">
            <v>0</v>
          </cell>
          <cell r="Y432">
            <v>0</v>
          </cell>
          <cell r="AC432">
            <v>0</v>
          </cell>
          <cell r="AD432">
            <v>0</v>
          </cell>
          <cell r="AK432">
            <v>0</v>
          </cell>
          <cell r="AL432">
            <v>0</v>
          </cell>
        </row>
        <row r="433">
          <cell r="F433">
            <v>0</v>
          </cell>
          <cell r="G433">
            <v>0</v>
          </cell>
          <cell r="P433">
            <v>0</v>
          </cell>
          <cell r="X433">
            <v>0</v>
          </cell>
          <cell r="Y433">
            <v>0</v>
          </cell>
          <cell r="AC433">
            <v>0</v>
          </cell>
          <cell r="AD433">
            <v>0</v>
          </cell>
          <cell r="AK433">
            <v>0</v>
          </cell>
          <cell r="AL433">
            <v>53</v>
          </cell>
        </row>
        <row r="434">
          <cell r="F434">
            <v>1</v>
          </cell>
          <cell r="G434">
            <v>0</v>
          </cell>
          <cell r="P434">
            <v>0</v>
          </cell>
          <cell r="X434">
            <v>0</v>
          </cell>
          <cell r="Y434">
            <v>0</v>
          </cell>
          <cell r="AC434">
            <v>0</v>
          </cell>
          <cell r="AD434">
            <v>0</v>
          </cell>
          <cell r="AK434">
            <v>1</v>
          </cell>
          <cell r="AL434">
            <v>1</v>
          </cell>
        </row>
        <row r="435">
          <cell r="F435">
            <v>0</v>
          </cell>
          <cell r="G435">
            <v>0</v>
          </cell>
          <cell r="P435">
            <v>0</v>
          </cell>
          <cell r="X435">
            <v>0</v>
          </cell>
          <cell r="Y435">
            <v>0</v>
          </cell>
          <cell r="AC435">
            <v>0</v>
          </cell>
          <cell r="AD435">
            <v>0</v>
          </cell>
          <cell r="AK435">
            <v>0</v>
          </cell>
          <cell r="AL435">
            <v>0</v>
          </cell>
        </row>
        <row r="436">
          <cell r="F436">
            <v>0</v>
          </cell>
          <cell r="G436">
            <v>0</v>
          </cell>
          <cell r="P436">
            <v>0</v>
          </cell>
          <cell r="X436">
            <v>0</v>
          </cell>
          <cell r="Y436">
            <v>0</v>
          </cell>
          <cell r="AC436">
            <v>0</v>
          </cell>
          <cell r="AD436">
            <v>0</v>
          </cell>
          <cell r="AK436">
            <v>0</v>
          </cell>
          <cell r="AL436">
            <v>0</v>
          </cell>
        </row>
        <row r="437">
          <cell r="F437">
            <v>2.6666666666666665</v>
          </cell>
          <cell r="G437">
            <v>1</v>
          </cell>
          <cell r="P437">
            <v>1</v>
          </cell>
          <cell r="X437">
            <v>4</v>
          </cell>
          <cell r="Y437">
            <v>1</v>
          </cell>
          <cell r="AC437">
            <v>2</v>
          </cell>
          <cell r="AD437">
            <v>1</v>
          </cell>
          <cell r="AK437">
            <v>15.666666666666666</v>
          </cell>
          <cell r="AL437">
            <v>7</v>
          </cell>
        </row>
        <row r="438">
          <cell r="F438">
            <v>0</v>
          </cell>
          <cell r="G438">
            <v>0</v>
          </cell>
          <cell r="P438">
            <v>0</v>
          </cell>
          <cell r="X438">
            <v>0</v>
          </cell>
          <cell r="Y438">
            <v>0</v>
          </cell>
          <cell r="AC438">
            <v>0</v>
          </cell>
          <cell r="AD438">
            <v>0</v>
          </cell>
          <cell r="AK438">
            <v>0</v>
          </cell>
          <cell r="AL438">
            <v>0</v>
          </cell>
        </row>
        <row r="439">
          <cell r="F439">
            <v>0</v>
          </cell>
          <cell r="G439">
            <v>0</v>
          </cell>
          <cell r="P439">
            <v>0</v>
          </cell>
          <cell r="X439">
            <v>3.3333333333333335</v>
          </cell>
          <cell r="Y439">
            <v>1</v>
          </cell>
          <cell r="AC439">
            <v>0</v>
          </cell>
          <cell r="AD439">
            <v>0</v>
          </cell>
          <cell r="AK439">
            <v>3.3333333333333335</v>
          </cell>
          <cell r="AL439">
            <v>1</v>
          </cell>
        </row>
        <row r="440">
          <cell r="F440">
            <v>0.33333333333333331</v>
          </cell>
          <cell r="G440">
            <v>0</v>
          </cell>
          <cell r="P440">
            <v>0.33333333333333331</v>
          </cell>
          <cell r="X440">
            <v>0.33333333333333331</v>
          </cell>
          <cell r="Y440">
            <v>0</v>
          </cell>
          <cell r="AC440">
            <v>0.33333333333333331</v>
          </cell>
          <cell r="AD440">
            <v>0</v>
          </cell>
          <cell r="AK440">
            <v>1.9999999999999998</v>
          </cell>
          <cell r="AL440">
            <v>0.33333333333333331</v>
          </cell>
        </row>
        <row r="441">
          <cell r="F441">
            <v>0</v>
          </cell>
          <cell r="G441">
            <v>0</v>
          </cell>
          <cell r="P441">
            <v>0</v>
          </cell>
          <cell r="X441">
            <v>0</v>
          </cell>
          <cell r="Y441">
            <v>0</v>
          </cell>
          <cell r="AC441">
            <v>0</v>
          </cell>
          <cell r="AD441">
            <v>0</v>
          </cell>
          <cell r="AK441">
            <v>0</v>
          </cell>
          <cell r="AL441">
            <v>0</v>
          </cell>
        </row>
        <row r="442">
          <cell r="F442">
            <v>0</v>
          </cell>
          <cell r="G442">
            <v>0</v>
          </cell>
          <cell r="P442">
            <v>0</v>
          </cell>
          <cell r="X442">
            <v>0</v>
          </cell>
          <cell r="Y442">
            <v>0</v>
          </cell>
          <cell r="AC442">
            <v>0</v>
          </cell>
          <cell r="AD442">
            <v>0</v>
          </cell>
          <cell r="AK442">
            <v>0</v>
          </cell>
          <cell r="AL442">
            <v>0</v>
          </cell>
        </row>
        <row r="443">
          <cell r="F443">
            <v>0</v>
          </cell>
          <cell r="G443">
            <v>0</v>
          </cell>
          <cell r="P443">
            <v>0</v>
          </cell>
          <cell r="X443">
            <v>0</v>
          </cell>
          <cell r="Y443">
            <v>0</v>
          </cell>
          <cell r="AC443">
            <v>0</v>
          </cell>
          <cell r="AD443">
            <v>0</v>
          </cell>
          <cell r="AK443">
            <v>0</v>
          </cell>
          <cell r="AL443">
            <v>0</v>
          </cell>
        </row>
        <row r="444">
          <cell r="F444">
            <v>0</v>
          </cell>
          <cell r="G444">
            <v>0</v>
          </cell>
          <cell r="P444">
            <v>0</v>
          </cell>
          <cell r="X444">
            <v>0</v>
          </cell>
          <cell r="Y444">
            <v>0</v>
          </cell>
          <cell r="AC444">
            <v>0</v>
          </cell>
          <cell r="AD444">
            <v>0</v>
          </cell>
          <cell r="AK444">
            <v>0</v>
          </cell>
          <cell r="AL444">
            <v>0</v>
          </cell>
        </row>
        <row r="445">
          <cell r="F445">
            <v>0</v>
          </cell>
          <cell r="G445">
            <v>0</v>
          </cell>
          <cell r="P445">
            <v>0</v>
          </cell>
          <cell r="X445">
            <v>0</v>
          </cell>
          <cell r="Y445">
            <v>0</v>
          </cell>
          <cell r="AC445">
            <v>0</v>
          </cell>
          <cell r="AD445">
            <v>0</v>
          </cell>
          <cell r="AK445">
            <v>0</v>
          </cell>
          <cell r="AL445">
            <v>0</v>
          </cell>
        </row>
        <row r="446">
          <cell r="F446">
            <v>0</v>
          </cell>
          <cell r="G446">
            <v>0</v>
          </cell>
          <cell r="P446">
            <v>0</v>
          </cell>
          <cell r="X446">
            <v>0</v>
          </cell>
          <cell r="Y446">
            <v>0</v>
          </cell>
          <cell r="AC446">
            <v>0</v>
          </cell>
          <cell r="AD446">
            <v>0</v>
          </cell>
          <cell r="AK446">
            <v>0</v>
          </cell>
          <cell r="AL446">
            <v>0</v>
          </cell>
        </row>
        <row r="447">
          <cell r="F447">
            <v>0</v>
          </cell>
          <cell r="G447">
            <v>0</v>
          </cell>
          <cell r="P447">
            <v>0</v>
          </cell>
          <cell r="X447">
            <v>0</v>
          </cell>
          <cell r="Y447">
            <v>0</v>
          </cell>
          <cell r="AC447">
            <v>0</v>
          </cell>
          <cell r="AD447">
            <v>0</v>
          </cell>
          <cell r="AK447">
            <v>0</v>
          </cell>
          <cell r="AL447">
            <v>2</v>
          </cell>
        </row>
        <row r="448">
          <cell r="F448">
            <v>0</v>
          </cell>
          <cell r="G448" t="e">
            <v>#REF!</v>
          </cell>
          <cell r="P448">
            <v>0</v>
          </cell>
          <cell r="X448">
            <v>0</v>
          </cell>
          <cell r="Y448">
            <v>0</v>
          </cell>
          <cell r="AC448">
            <v>0</v>
          </cell>
          <cell r="AD448">
            <v>0</v>
          </cell>
          <cell r="AK448">
            <v>0</v>
          </cell>
          <cell r="AL448">
            <v>0</v>
          </cell>
        </row>
        <row r="449">
          <cell r="F449">
            <v>0</v>
          </cell>
          <cell r="G449" t="e">
            <v>#REF!</v>
          </cell>
          <cell r="P449">
            <v>0</v>
          </cell>
          <cell r="X449">
            <v>0</v>
          </cell>
          <cell r="Y449">
            <v>0</v>
          </cell>
          <cell r="AC449">
            <v>0</v>
          </cell>
          <cell r="AD449">
            <v>0</v>
          </cell>
          <cell r="AK449">
            <v>0</v>
          </cell>
        </row>
        <row r="450">
          <cell r="G450" t="e">
            <v>#REF!</v>
          </cell>
          <cell r="P450">
            <v>0</v>
          </cell>
          <cell r="X450">
            <v>0</v>
          </cell>
          <cell r="Y450">
            <v>0</v>
          </cell>
          <cell r="AC450">
            <v>0</v>
          </cell>
          <cell r="AD450">
            <v>0</v>
          </cell>
          <cell r="AK450">
            <v>0</v>
          </cell>
        </row>
        <row r="451">
          <cell r="P451">
            <v>0</v>
          </cell>
          <cell r="X451">
            <v>0</v>
          </cell>
          <cell r="Y451">
            <v>0</v>
          </cell>
          <cell r="AC451">
            <v>0</v>
          </cell>
          <cell r="AD451">
            <v>0</v>
          </cell>
          <cell r="AK451">
            <v>0</v>
          </cell>
        </row>
      </sheetData>
      <sheetData sheetId="1">
        <row r="21">
          <cell r="AI21" t="str">
            <v xml:space="preserve">         Затверджую</v>
          </cell>
        </row>
      </sheetData>
      <sheetData sheetId="2" refreshError="1"/>
      <sheetData sheetId="3">
        <row r="8">
          <cell r="AF8" t="str">
            <v>ЗАТВЕРДЖУЮ</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21">
          <cell r="AI21" t="str">
            <v xml:space="preserve">         Затверджую</v>
          </cell>
        </row>
      </sheetData>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12 (2)"/>
      <sheetName val="812"/>
      <sheetName val="0"/>
      <sheetName val="1"/>
      <sheetName val="2"/>
      <sheetName val="2 утв"/>
      <sheetName val="3 утв."/>
      <sheetName val="3 не сокр."/>
      <sheetName val="3 тар."/>
      <sheetName val="4 утв"/>
      <sheetName val="rem"/>
      <sheetName val="5"/>
      <sheetName val="6"/>
      <sheetName val="7"/>
      <sheetName val="8"/>
      <sheetName val="3кв "/>
      <sheetName val="1998"/>
      <sheetName val="9 (2)"/>
      <sheetName val="9"/>
      <sheetName val="10"/>
      <sheetName val="11"/>
      <sheetName val="12"/>
      <sheetName val="бюджет травня факт"/>
      <sheetName val="бюджет травня"/>
      <sheetName val="бюджет червня"/>
      <sheetName val="бюджет липня"/>
      <sheetName val="бюджет серпня "/>
      <sheetName val="бюджет вересня"/>
      <sheetName val="бюджет жовтня"/>
      <sheetName val="бюджет листоп."/>
      <sheetName val="бюджет грудня"/>
      <sheetName val="план підр."/>
      <sheetName val="прот."/>
      <sheetName val="1 кв"/>
      <sheetName val="2 кв"/>
      <sheetName val="1півр"/>
      <sheetName val="7 міс"/>
      <sheetName val="8 міс."/>
      <sheetName val="3кв"/>
      <sheetName val="9 міс."/>
      <sheetName val="10 міс."/>
      <sheetName val="11 міс."/>
      <sheetName val="12 міс."/>
      <sheetName val="пок.ен.1к"/>
      <sheetName val="пок.ен.2к"/>
      <sheetName val="пок.ен.3к "/>
      <sheetName val="пок.ен.4к  "/>
      <sheetName val="Лист1"/>
      <sheetName val="Лист1 (2)"/>
      <sheetName val="Лист2"/>
      <sheetName val="sm20 3кв"/>
      <sheetName val="812 _2_"/>
      <sheetName val="3 утв_"/>
      <sheetName val="3 не сокр_"/>
      <sheetName val="3 тар_"/>
      <sheetName val="9 _2_"/>
      <sheetName val="8 міс_"/>
      <sheetName val="9 міс_"/>
      <sheetName val="10 міс_"/>
      <sheetName val="11 міс_"/>
      <sheetName val="12 міс_"/>
      <sheetName val="Lead"/>
      <sheetName val="XREF"/>
      <sheetName val="Depreciation"/>
      <sheetName val="assump"/>
      <sheetName val="м_812"/>
      <sheetName val="СправСтатей"/>
      <sheetName val="СправСтатейРасхУК"/>
      <sheetName val="IAS Trial Balance"/>
      <sheetName val="DICTS"/>
      <sheetName val="Витрати 2014"/>
      <sheetName val="Години - 2014 (по месяцам)"/>
      <sheetName val="01.2014"/>
      <sheetName val="02.2014"/>
      <sheetName val="Отчет за смену - КЕМ 01.2014"/>
      <sheetName val="Справочник ЦФО"/>
      <sheetName val="справочник"/>
      <sheetName val="Протокол заседания 1"/>
      <sheetName val="tar ee 99"/>
      <sheetName val="Основн информ"/>
      <sheetName val="Dirs"/>
      <sheetName val="Total"/>
      <sheetName val="Setup"/>
    </sheetNames>
    <sheetDataSet>
      <sheetData sheetId="0" refreshError="1">
        <row r="21">
          <cell r="AI21" t="str">
            <v xml:space="preserve">         Затверджую</v>
          </cell>
        </row>
        <row r="22">
          <cell r="AI22" t="str">
            <v xml:space="preserve"> Голова правління -</v>
          </cell>
        </row>
        <row r="23">
          <cell r="AI23" t="str">
            <v xml:space="preserve"> генеральний директор</v>
          </cell>
        </row>
        <row r="25">
          <cell r="F25" t="e">
            <v>#REF!</v>
          </cell>
          <cell r="G25" t="e">
            <v>#REF!</v>
          </cell>
          <cell r="H25" t="e">
            <v>#REF!</v>
          </cell>
          <cell r="P25" t="e">
            <v>#REF!</v>
          </cell>
          <cell r="Q25" t="e">
            <v>#REF!</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cell r="AE25" t="e">
            <v>#REF!</v>
          </cell>
          <cell r="AF25" t="e">
            <v>#REF!</v>
          </cell>
          <cell r="AG25" t="e">
            <v>#REF!</v>
          </cell>
          <cell r="AH25" t="e">
            <v>#REF!</v>
          </cell>
          <cell r="AI25" t="str">
            <v xml:space="preserve">                        І.В.Плачков</v>
          </cell>
          <cell r="AJ25" t="e">
            <v>#REF!</v>
          </cell>
          <cell r="AK25" t="e">
            <v>#REF!</v>
          </cell>
          <cell r="AL25" t="e">
            <v>#REF!</v>
          </cell>
        </row>
        <row r="26">
          <cell r="AI26" t="str">
            <v xml:space="preserve">   "_____" ________2000 р.</v>
          </cell>
        </row>
        <row r="30">
          <cell r="AK30" t="str">
            <v xml:space="preserve">при діючому тарифі </v>
          </cell>
        </row>
        <row r="32">
          <cell r="Q32" t="str">
            <v>КТМ</v>
          </cell>
          <cell r="V32" t="str">
            <v xml:space="preserve">ТЕЦ-5 </v>
          </cell>
          <cell r="AA32" t="str">
            <v xml:space="preserve">ТЕЦ-6 </v>
          </cell>
        </row>
        <row r="34">
          <cell r="F34" t="str">
            <v>ВИКОН.ДИР.</v>
          </cell>
          <cell r="G34" t="str">
            <v>Е/Е</v>
          </cell>
          <cell r="H34" t="str">
            <v xml:space="preserve"> Т/Е</v>
          </cell>
          <cell r="P34" t="str">
            <v xml:space="preserve">КМ </v>
          </cell>
          <cell r="S34" t="str">
            <v xml:space="preserve">ТМ </v>
          </cell>
          <cell r="T34" t="str">
            <v>ВИРОБН</v>
          </cell>
          <cell r="U34" t="str">
            <v>ПЕРЕД</v>
          </cell>
          <cell r="X34" t="str">
            <v>ТЕЦ-5 ВСЬОГО</v>
          </cell>
          <cell r="Y34" t="str">
            <v>Е/Е</v>
          </cell>
          <cell r="Z34" t="str">
            <v xml:space="preserve"> Т/Е</v>
          </cell>
          <cell r="AC34" t="str">
            <v>ТЕЦ-6 ВСЬОГО</v>
          </cell>
          <cell r="AD34" t="str">
            <v>Е/Е</v>
          </cell>
          <cell r="AE34" t="str">
            <v xml:space="preserve"> Т/Е</v>
          </cell>
          <cell r="AF34" t="str">
            <v>ТРМ ВСЬОГО</v>
          </cell>
          <cell r="AG34" t="str">
            <v>ТРМ  АК КЕ</v>
          </cell>
          <cell r="AH34" t="str">
            <v>ТРМ СТОР</v>
          </cell>
          <cell r="AI34" t="str">
            <v xml:space="preserve">ДОП.ВИР. </v>
          </cell>
          <cell r="AJ34" t="str">
            <v>ДОП.ВИР. СТ.ОРГ.</v>
          </cell>
          <cell r="AK34" t="str">
            <v>АК КЕ ВСЬОГО</v>
          </cell>
          <cell r="AL34" t="str">
            <v xml:space="preserve"> Т/Е</v>
          </cell>
        </row>
        <row r="35">
          <cell r="AL35">
            <v>395</v>
          </cell>
        </row>
        <row r="36">
          <cell r="AL36">
            <v>336</v>
          </cell>
        </row>
        <row r="37">
          <cell r="AL37">
            <v>0</v>
          </cell>
        </row>
        <row r="39">
          <cell r="AL39">
            <v>0</v>
          </cell>
        </row>
        <row r="40">
          <cell r="AL40">
            <v>0</v>
          </cell>
        </row>
        <row r="41">
          <cell r="AL41">
            <v>395.6</v>
          </cell>
        </row>
        <row r="42">
          <cell r="P42" t="e">
            <v>#REF!</v>
          </cell>
          <cell r="AL42">
            <v>395.6</v>
          </cell>
        </row>
        <row r="43">
          <cell r="AL43">
            <v>1580</v>
          </cell>
        </row>
        <row r="44">
          <cell r="AL44">
            <v>0</v>
          </cell>
        </row>
        <row r="45">
          <cell r="AL45">
            <v>1580</v>
          </cell>
        </row>
        <row r="46">
          <cell r="F46">
            <v>3213.1666666666652</v>
          </cell>
          <cell r="P46">
            <v>2641.6000000000004</v>
          </cell>
          <cell r="S46">
            <v>8041.218181818178</v>
          </cell>
          <cell r="T46">
            <v>4194.2120000000004</v>
          </cell>
          <cell r="U46">
            <v>2131.2061818181819</v>
          </cell>
          <cell r="X46">
            <v>2404.6545454545439</v>
          </cell>
          <cell r="AC46">
            <v>1313.2</v>
          </cell>
          <cell r="AF46">
            <v>3816.2</v>
          </cell>
          <cell r="AG46">
            <v>3162.08</v>
          </cell>
          <cell r="AH46">
            <v>654.12</v>
          </cell>
        </row>
        <row r="47">
          <cell r="F47">
            <v>0.8</v>
          </cell>
          <cell r="P47">
            <v>0.8</v>
          </cell>
          <cell r="S47">
            <v>0.8</v>
          </cell>
          <cell r="X47">
            <v>0.8</v>
          </cell>
          <cell r="AC47">
            <v>0.8</v>
          </cell>
          <cell r="AF47">
            <v>0.8</v>
          </cell>
          <cell r="AG47">
            <v>0.8</v>
          </cell>
          <cell r="AH47">
            <v>0.8</v>
          </cell>
        </row>
        <row r="49">
          <cell r="F49">
            <v>0</v>
          </cell>
          <cell r="G49" t="e">
            <v>#DIV/0!</v>
          </cell>
          <cell r="H49" t="e">
            <v>#DIV/0!</v>
          </cell>
          <cell r="P49">
            <v>401.6</v>
          </cell>
          <cell r="S49">
            <v>19500</v>
          </cell>
          <cell r="T49">
            <v>19500</v>
          </cell>
          <cell r="U49">
            <v>0</v>
          </cell>
          <cell r="X49">
            <v>24969</v>
          </cell>
          <cell r="Y49">
            <v>11255</v>
          </cell>
          <cell r="Z49">
            <v>13714</v>
          </cell>
          <cell r="AC49">
            <v>24028</v>
          </cell>
          <cell r="AD49">
            <v>11813</v>
          </cell>
          <cell r="AE49">
            <v>12215</v>
          </cell>
          <cell r="AF49">
            <v>468.8</v>
          </cell>
          <cell r="AG49">
            <v>469</v>
          </cell>
          <cell r="AH49">
            <v>0</v>
          </cell>
          <cell r="AK49">
            <v>212804</v>
          </cell>
          <cell r="AL49">
            <v>212804</v>
          </cell>
        </row>
        <row r="50">
          <cell r="F50">
            <v>0</v>
          </cell>
          <cell r="G50" t="e">
            <v>#DIV/0!</v>
          </cell>
          <cell r="H50" t="e">
            <v>#DIV/0!</v>
          </cell>
          <cell r="P50">
            <v>0</v>
          </cell>
          <cell r="S50">
            <v>19500</v>
          </cell>
          <cell r="T50">
            <v>19500</v>
          </cell>
          <cell r="U50">
            <v>0</v>
          </cell>
          <cell r="X50">
            <v>24969</v>
          </cell>
          <cell r="Y50">
            <v>11255</v>
          </cell>
          <cell r="Z50">
            <v>13714</v>
          </cell>
          <cell r="AC50">
            <v>24028</v>
          </cell>
          <cell r="AD50">
            <v>11813</v>
          </cell>
          <cell r="AE50">
            <v>12215</v>
          </cell>
          <cell r="AF50">
            <v>0</v>
          </cell>
          <cell r="AG50">
            <v>0</v>
          </cell>
          <cell r="AH50">
            <v>0</v>
          </cell>
          <cell r="AK50">
            <v>1424</v>
          </cell>
          <cell r="AL50">
            <v>158</v>
          </cell>
        </row>
        <row r="51">
          <cell r="F51">
            <v>0</v>
          </cell>
          <cell r="G51" t="e">
            <v>#DIV/0!</v>
          </cell>
          <cell r="H51" t="e">
            <v>#DIV/0!</v>
          </cell>
          <cell r="P51">
            <v>1</v>
          </cell>
          <cell r="T51">
            <v>0</v>
          </cell>
          <cell r="U51">
            <v>0</v>
          </cell>
          <cell r="X51">
            <v>18</v>
          </cell>
          <cell r="Y51">
            <v>6</v>
          </cell>
          <cell r="Z51">
            <v>12</v>
          </cell>
          <cell r="AC51">
            <v>47</v>
          </cell>
          <cell r="AD51">
            <v>15</v>
          </cell>
          <cell r="AE51">
            <v>32</v>
          </cell>
          <cell r="AF51">
            <v>0</v>
          </cell>
          <cell r="AH51">
            <v>0</v>
          </cell>
          <cell r="AK51">
            <v>66</v>
          </cell>
          <cell r="AL51">
            <v>22</v>
          </cell>
        </row>
        <row r="52">
          <cell r="F52">
            <v>46.800000000000011</v>
          </cell>
          <cell r="G52">
            <v>10</v>
          </cell>
          <cell r="P52">
            <v>10</v>
          </cell>
          <cell r="X52">
            <v>0</v>
          </cell>
          <cell r="Y52">
            <v>0</v>
          </cell>
          <cell r="Z52">
            <v>0</v>
          </cell>
          <cell r="AC52">
            <v>20</v>
          </cell>
          <cell r="AD52">
            <v>7</v>
          </cell>
          <cell r="AE52">
            <v>13</v>
          </cell>
          <cell r="AF52">
            <v>25.6</v>
          </cell>
          <cell r="AG52">
            <v>25.6</v>
          </cell>
          <cell r="AH52">
            <v>0</v>
          </cell>
          <cell r="AK52">
            <v>136175</v>
          </cell>
          <cell r="AL52">
            <v>136175</v>
          </cell>
        </row>
        <row r="53">
          <cell r="F53">
            <v>8.2666666666666675</v>
          </cell>
          <cell r="G53">
            <v>2</v>
          </cell>
          <cell r="H53">
            <v>6.2666666666666675</v>
          </cell>
          <cell r="P53">
            <v>44.800000000000004</v>
          </cell>
          <cell r="S53">
            <v>307.20000000000005</v>
          </cell>
          <cell r="T53">
            <v>239.61600000000004</v>
          </cell>
          <cell r="U53">
            <v>67.584000000000003</v>
          </cell>
          <cell r="X53">
            <v>881.6</v>
          </cell>
          <cell r="Y53">
            <v>273</v>
          </cell>
          <cell r="Z53">
            <v>608.6</v>
          </cell>
          <cell r="AC53">
            <v>76</v>
          </cell>
          <cell r="AD53">
            <v>25</v>
          </cell>
          <cell r="AE53">
            <v>51</v>
          </cell>
          <cell r="AF53">
            <v>164</v>
          </cell>
          <cell r="AG53">
            <v>160.80000000000001</v>
          </cell>
          <cell r="AH53">
            <v>3.1999999999999886</v>
          </cell>
          <cell r="AK53">
            <v>836</v>
          </cell>
          <cell r="AL53">
            <v>836</v>
          </cell>
        </row>
        <row r="54">
          <cell r="F54">
            <v>0</v>
          </cell>
          <cell r="G54">
            <v>0</v>
          </cell>
          <cell r="H54">
            <v>0</v>
          </cell>
          <cell r="S54">
            <v>16.8</v>
          </cell>
          <cell r="T54">
            <v>16.8</v>
          </cell>
          <cell r="U54">
            <v>0</v>
          </cell>
          <cell r="X54">
            <v>777.6</v>
          </cell>
          <cell r="Y54">
            <v>241</v>
          </cell>
          <cell r="Z54">
            <v>536.6</v>
          </cell>
          <cell r="AC54">
            <v>11.200000000000001</v>
          </cell>
          <cell r="AD54">
            <v>4</v>
          </cell>
          <cell r="AE54">
            <v>7.2000000000000011</v>
          </cell>
          <cell r="AH54">
            <v>0</v>
          </cell>
          <cell r="AK54">
            <v>349815</v>
          </cell>
          <cell r="AL54">
            <v>349815</v>
          </cell>
        </row>
        <row r="55">
          <cell r="F55">
            <v>0</v>
          </cell>
          <cell r="G55">
            <v>0</v>
          </cell>
          <cell r="H55">
            <v>0</v>
          </cell>
          <cell r="S55">
            <v>18925</v>
          </cell>
          <cell r="T55">
            <v>18925</v>
          </cell>
          <cell r="U55">
            <v>0</v>
          </cell>
          <cell r="X55">
            <v>22509</v>
          </cell>
          <cell r="Y55">
            <v>8375.0975609756097</v>
          </cell>
          <cell r="Z55">
            <v>14133.90243902439</v>
          </cell>
          <cell r="AC55">
            <v>20437</v>
          </cell>
          <cell r="AD55">
            <v>8330.4774346793329</v>
          </cell>
          <cell r="AE55">
            <v>12106.522565320667</v>
          </cell>
          <cell r="AH55">
            <v>0</v>
          </cell>
          <cell r="AK55">
            <v>270163</v>
          </cell>
          <cell r="AL55">
            <v>270163</v>
          </cell>
        </row>
        <row r="56">
          <cell r="F56">
            <v>0</v>
          </cell>
          <cell r="G56">
            <v>0</v>
          </cell>
          <cell r="H56">
            <v>0</v>
          </cell>
          <cell r="P56">
            <v>0</v>
          </cell>
          <cell r="S56">
            <v>18925</v>
          </cell>
          <cell r="T56">
            <v>18925</v>
          </cell>
          <cell r="U56">
            <v>0</v>
          </cell>
          <cell r="X56">
            <v>22509</v>
          </cell>
          <cell r="Y56">
            <v>8375.0975609756097</v>
          </cell>
          <cell r="Z56">
            <v>14133.90243902439</v>
          </cell>
          <cell r="AC56">
            <v>20437</v>
          </cell>
          <cell r="AD56">
            <v>8330.4774346793329</v>
          </cell>
          <cell r="AE56">
            <v>12106.522565320667</v>
          </cell>
          <cell r="AF56">
            <v>0</v>
          </cell>
          <cell r="AG56">
            <v>0</v>
          </cell>
          <cell r="AH56">
            <v>0</v>
          </cell>
          <cell r="AI56">
            <v>0</v>
          </cell>
          <cell r="AK56">
            <v>-79652</v>
          </cell>
          <cell r="AL56">
            <v>-79652</v>
          </cell>
        </row>
        <row r="57">
          <cell r="F57">
            <v>0</v>
          </cell>
          <cell r="G57">
            <v>0</v>
          </cell>
          <cell r="H57">
            <v>0</v>
          </cell>
          <cell r="T57">
            <v>0</v>
          </cell>
          <cell r="U57">
            <v>0</v>
          </cell>
          <cell r="AF57">
            <v>0</v>
          </cell>
          <cell r="AH57">
            <v>0</v>
          </cell>
          <cell r="AK57">
            <v>0</v>
          </cell>
          <cell r="AL57">
            <v>0</v>
          </cell>
        </row>
        <row r="58">
          <cell r="F58">
            <v>2.4000000000000004</v>
          </cell>
          <cell r="G58">
            <v>1</v>
          </cell>
          <cell r="H58">
            <v>1.4000000000000004</v>
          </cell>
          <cell r="P58">
            <v>72.8</v>
          </cell>
          <cell r="S58">
            <v>2599.8000000000002</v>
          </cell>
          <cell r="T58">
            <v>2599.8000000000002</v>
          </cell>
          <cell r="U58">
            <v>0</v>
          </cell>
          <cell r="X58">
            <v>0</v>
          </cell>
          <cell r="Y58">
            <v>0</v>
          </cell>
          <cell r="Z58">
            <v>0</v>
          </cell>
          <cell r="AC58">
            <v>0</v>
          </cell>
          <cell r="AD58">
            <v>0</v>
          </cell>
          <cell r="AE58">
            <v>0</v>
          </cell>
          <cell r="AF58">
            <v>723.2</v>
          </cell>
          <cell r="AG58">
            <v>253.12</v>
          </cell>
          <cell r="AH58">
            <v>470.08000000000004</v>
          </cell>
          <cell r="AK58">
            <v>2928.12</v>
          </cell>
          <cell r="AL58">
            <v>73.8</v>
          </cell>
        </row>
        <row r="59">
          <cell r="F59">
            <v>281</v>
          </cell>
          <cell r="G59">
            <v>62</v>
          </cell>
          <cell r="H59">
            <v>219</v>
          </cell>
          <cell r="P59">
            <v>477</v>
          </cell>
          <cell r="S59">
            <v>928.27272727272725</v>
          </cell>
          <cell r="T59">
            <v>454.85363636363633</v>
          </cell>
          <cell r="U59">
            <v>473.41909090909093</v>
          </cell>
          <cell r="X59">
            <v>272.81818181818181</v>
          </cell>
          <cell r="Y59">
            <v>85</v>
          </cell>
          <cell r="Z59">
            <v>187.81818181818181</v>
          </cell>
          <cell r="AC59">
            <v>242</v>
          </cell>
          <cell r="AD59">
            <v>79</v>
          </cell>
          <cell r="AE59">
            <v>163</v>
          </cell>
          <cell r="AF59">
            <v>959</v>
          </cell>
          <cell r="AG59">
            <v>906</v>
          </cell>
          <cell r="AH59">
            <v>53</v>
          </cell>
          <cell r="AI59">
            <v>202.90909090909091</v>
          </cell>
          <cell r="AK59">
            <v>3552</v>
          </cell>
          <cell r="AL59">
            <v>862</v>
          </cell>
        </row>
        <row r="60">
          <cell r="F60">
            <v>15</v>
          </cell>
          <cell r="G60">
            <v>3</v>
          </cell>
          <cell r="H60">
            <v>12</v>
          </cell>
          <cell r="P60">
            <v>26</v>
          </cell>
          <cell r="S60">
            <v>51</v>
          </cell>
          <cell r="T60">
            <v>25</v>
          </cell>
          <cell r="U60">
            <v>26</v>
          </cell>
          <cell r="X60">
            <v>15</v>
          </cell>
          <cell r="Y60">
            <v>5</v>
          </cell>
          <cell r="Z60">
            <v>10</v>
          </cell>
          <cell r="AC60">
            <v>13</v>
          </cell>
          <cell r="AD60">
            <v>4</v>
          </cell>
          <cell r="AE60">
            <v>9</v>
          </cell>
          <cell r="AF60">
            <v>53</v>
          </cell>
          <cell r="AG60">
            <v>50</v>
          </cell>
          <cell r="AH60">
            <v>3</v>
          </cell>
          <cell r="AI60">
            <v>11</v>
          </cell>
          <cell r="AK60">
            <v>195</v>
          </cell>
          <cell r="AL60">
            <v>47</v>
          </cell>
        </row>
        <row r="61">
          <cell r="F61">
            <v>88</v>
          </cell>
          <cell r="G61">
            <v>19</v>
          </cell>
          <cell r="H61">
            <v>69</v>
          </cell>
          <cell r="P61">
            <v>153</v>
          </cell>
          <cell r="S61">
            <v>297</v>
          </cell>
          <cell r="T61">
            <v>146</v>
          </cell>
          <cell r="U61">
            <v>151</v>
          </cell>
          <cell r="X61">
            <v>87</v>
          </cell>
          <cell r="Y61">
            <v>27</v>
          </cell>
          <cell r="Z61">
            <v>60</v>
          </cell>
          <cell r="AC61">
            <v>77</v>
          </cell>
          <cell r="AD61">
            <v>25</v>
          </cell>
          <cell r="AE61">
            <v>52</v>
          </cell>
          <cell r="AF61">
            <v>307</v>
          </cell>
          <cell r="AG61">
            <v>290</v>
          </cell>
          <cell r="AH61">
            <v>17</v>
          </cell>
          <cell r="AI61">
            <v>65</v>
          </cell>
          <cell r="AK61">
            <v>1135</v>
          </cell>
          <cell r="AL61">
            <v>276</v>
          </cell>
        </row>
        <row r="62">
          <cell r="F62" t="str">
            <v>ВИКОН.ДИР.</v>
          </cell>
          <cell r="G62" t="str">
            <v>Е/Е</v>
          </cell>
          <cell r="H62" t="str">
            <v xml:space="preserve"> Т/Е</v>
          </cell>
          <cell r="P62" t="str">
            <v xml:space="preserve">КМ </v>
          </cell>
          <cell r="S62" t="str">
            <v xml:space="preserve">ТМ </v>
          </cell>
          <cell r="T62" t="str">
            <v>ВИРОБН</v>
          </cell>
          <cell r="U62" t="str">
            <v>ПЕРЕД</v>
          </cell>
          <cell r="X62" t="str">
            <v>ТЕЦ-5 ВСЬОГО</v>
          </cell>
          <cell r="Y62" t="str">
            <v>Е/Е</v>
          </cell>
          <cell r="Z62" t="str">
            <v xml:space="preserve"> Т/Е</v>
          </cell>
          <cell r="AC62" t="str">
            <v>ТЕЦ-6 ВСЬОГО</v>
          </cell>
          <cell r="AD62" t="str">
            <v>Е/Е</v>
          </cell>
          <cell r="AE62" t="str">
            <v xml:space="preserve"> Т/Е</v>
          </cell>
          <cell r="AF62" t="str">
            <v>ТРМ ВСЬОГО</v>
          </cell>
          <cell r="AG62" t="str">
            <v>ТРМ  АК КЕ</v>
          </cell>
          <cell r="AH62" t="str">
            <v>ТРМ СТОР</v>
          </cell>
          <cell r="AJ62" t="str">
            <v>ДОП.ВИР. СТ.ОРГ.</v>
          </cell>
          <cell r="AK62" t="str">
            <v>АК КЕ ВСЬОГО</v>
          </cell>
          <cell r="AL62" t="str">
            <v xml:space="preserve"> Т/Е</v>
          </cell>
        </row>
        <row r="63">
          <cell r="F63">
            <v>87.333333333333329</v>
          </cell>
          <cell r="G63">
            <v>19</v>
          </cell>
          <cell r="H63">
            <v>68.333333333333329</v>
          </cell>
          <cell r="P63">
            <v>586</v>
          </cell>
          <cell r="S63">
            <v>1295</v>
          </cell>
          <cell r="T63">
            <v>207.20000000000002</v>
          </cell>
          <cell r="U63">
            <v>1087.8</v>
          </cell>
          <cell r="X63">
            <v>752</v>
          </cell>
          <cell r="Y63">
            <v>233</v>
          </cell>
          <cell r="Z63">
            <v>519</v>
          </cell>
          <cell r="AC63">
            <v>734</v>
          </cell>
          <cell r="AD63">
            <v>240</v>
          </cell>
          <cell r="AE63">
            <v>494</v>
          </cell>
          <cell r="AF63">
            <v>553</v>
          </cell>
          <cell r="AG63">
            <v>538</v>
          </cell>
          <cell r="AH63">
            <v>15</v>
          </cell>
          <cell r="AK63">
            <v>4002.3333333333335</v>
          </cell>
          <cell r="AL63">
            <v>1086</v>
          </cell>
        </row>
        <row r="64">
          <cell r="G64">
            <v>0</v>
          </cell>
          <cell r="T64">
            <v>21</v>
          </cell>
          <cell r="U64">
            <v>109</v>
          </cell>
          <cell r="AH64">
            <v>0</v>
          </cell>
          <cell r="AI64">
            <v>0</v>
          </cell>
          <cell r="AJ64">
            <v>0</v>
          </cell>
          <cell r="AK64">
            <v>0</v>
          </cell>
        </row>
        <row r="65">
          <cell r="F65">
            <v>0</v>
          </cell>
          <cell r="G65" t="e">
            <v>#DIV/0!</v>
          </cell>
          <cell r="H65" t="e">
            <v>#DIV/0!</v>
          </cell>
          <cell r="P65">
            <v>627.20000000000005</v>
          </cell>
          <cell r="S65">
            <v>0</v>
          </cell>
          <cell r="T65">
            <v>0</v>
          </cell>
          <cell r="U65">
            <v>0</v>
          </cell>
          <cell r="X65">
            <v>0</v>
          </cell>
          <cell r="Y65">
            <v>0</v>
          </cell>
          <cell r="Z65">
            <v>0</v>
          </cell>
          <cell r="AC65">
            <v>0</v>
          </cell>
          <cell r="AD65">
            <v>0</v>
          </cell>
          <cell r="AE65">
            <v>0</v>
          </cell>
          <cell r="AF65">
            <v>444.2</v>
          </cell>
          <cell r="AG65">
            <v>367.2</v>
          </cell>
          <cell r="AH65">
            <v>0</v>
          </cell>
          <cell r="AK65">
            <v>212804</v>
          </cell>
          <cell r="AL65">
            <v>212804</v>
          </cell>
        </row>
        <row r="66">
          <cell r="F66">
            <v>0</v>
          </cell>
          <cell r="G66" t="e">
            <v>#DIV/0!</v>
          </cell>
          <cell r="H66" t="e">
            <v>#DIV/0!</v>
          </cell>
          <cell r="P66">
            <v>0</v>
          </cell>
          <cell r="S66">
            <v>0</v>
          </cell>
          <cell r="T66">
            <v>0</v>
          </cell>
          <cell r="U66">
            <v>0</v>
          </cell>
          <cell r="X66">
            <v>0</v>
          </cell>
          <cell r="Y66">
            <v>0</v>
          </cell>
          <cell r="Z66">
            <v>0</v>
          </cell>
          <cell r="AC66">
            <v>0</v>
          </cell>
          <cell r="AD66">
            <v>0</v>
          </cell>
          <cell r="AE66">
            <v>0</v>
          </cell>
          <cell r="AF66">
            <v>0</v>
          </cell>
          <cell r="AG66">
            <v>0</v>
          </cell>
          <cell r="AH66">
            <v>0</v>
          </cell>
          <cell r="AK66">
            <v>0</v>
          </cell>
          <cell r="AL66">
            <v>0</v>
          </cell>
        </row>
        <row r="67">
          <cell r="F67">
            <v>0</v>
          </cell>
          <cell r="G67" t="e">
            <v>#DIV/0!</v>
          </cell>
          <cell r="H67" t="e">
            <v>#DIV/0!</v>
          </cell>
          <cell r="P67">
            <v>-41.200000000000045</v>
          </cell>
          <cell r="S67">
            <v>-70.599999999999909</v>
          </cell>
          <cell r="T67">
            <v>0</v>
          </cell>
          <cell r="U67">
            <v>0</v>
          </cell>
          <cell r="X67">
            <v>576.79999999999995</v>
          </cell>
          <cell r="Y67">
            <v>233</v>
          </cell>
          <cell r="Z67">
            <v>519</v>
          </cell>
          <cell r="AC67">
            <v>574.79999999999995</v>
          </cell>
          <cell r="AD67">
            <v>240</v>
          </cell>
          <cell r="AE67">
            <v>494</v>
          </cell>
          <cell r="AF67">
            <v>0</v>
          </cell>
          <cell r="AG67">
            <v>170.8</v>
          </cell>
          <cell r="AH67">
            <v>0</v>
          </cell>
          <cell r="AI67">
            <v>0</v>
          </cell>
          <cell r="AJ67">
            <v>0</v>
          </cell>
          <cell r="AK67">
            <v>1220.5999999999999</v>
          </cell>
        </row>
        <row r="68">
          <cell r="F68">
            <v>133.60000000000002</v>
          </cell>
          <cell r="G68">
            <v>29</v>
          </cell>
          <cell r="H68">
            <v>104.60000000000002</v>
          </cell>
          <cell r="P68">
            <v>699.4</v>
          </cell>
          <cell r="S68">
            <v>1291.1454545454546</v>
          </cell>
          <cell r="T68">
            <v>322.78636363636366</v>
          </cell>
          <cell r="U68">
            <v>968.35909090909104</v>
          </cell>
          <cell r="X68">
            <v>661.0363636363636</v>
          </cell>
          <cell r="Y68">
            <v>205</v>
          </cell>
          <cell r="Z68">
            <v>456.0363636363636</v>
          </cell>
          <cell r="AC68">
            <v>482.8</v>
          </cell>
          <cell r="AD68">
            <v>158</v>
          </cell>
          <cell r="AE68">
            <v>324.8</v>
          </cell>
          <cell r="AF68">
            <v>506</v>
          </cell>
          <cell r="AG68">
            <v>506</v>
          </cell>
          <cell r="AH68">
            <v>0</v>
          </cell>
          <cell r="AK68">
            <v>136175</v>
          </cell>
          <cell r="AL68">
            <v>136175</v>
          </cell>
        </row>
        <row r="69">
          <cell r="G69">
            <v>0</v>
          </cell>
          <cell r="H69">
            <v>0</v>
          </cell>
          <cell r="P69">
            <v>51</v>
          </cell>
          <cell r="S69">
            <v>296.72727272727275</v>
          </cell>
          <cell r="X69">
            <v>202.18181818181819</v>
          </cell>
          <cell r="Y69">
            <v>63</v>
          </cell>
          <cell r="Z69">
            <v>139.18181818181819</v>
          </cell>
          <cell r="AC69">
            <v>147</v>
          </cell>
          <cell r="AD69">
            <v>48</v>
          </cell>
          <cell r="AE69">
            <v>99</v>
          </cell>
          <cell r="AF69">
            <v>88</v>
          </cell>
          <cell r="AG69">
            <v>88</v>
          </cell>
          <cell r="AH69">
            <v>0</v>
          </cell>
          <cell r="AK69">
            <v>836</v>
          </cell>
          <cell r="AL69">
            <v>836</v>
          </cell>
        </row>
        <row r="70">
          <cell r="F70">
            <v>0</v>
          </cell>
          <cell r="G70">
            <v>0</v>
          </cell>
          <cell r="H70">
            <v>0</v>
          </cell>
          <cell r="P70">
            <v>3</v>
          </cell>
          <cell r="S70">
            <v>17</v>
          </cell>
          <cell r="X70">
            <v>11</v>
          </cell>
          <cell r="Y70">
            <v>3</v>
          </cell>
          <cell r="Z70">
            <v>8</v>
          </cell>
          <cell r="AC70">
            <v>8</v>
          </cell>
          <cell r="AD70">
            <v>3</v>
          </cell>
          <cell r="AE70">
            <v>5</v>
          </cell>
          <cell r="AF70">
            <v>5</v>
          </cell>
          <cell r="AG70">
            <v>5</v>
          </cell>
          <cell r="AH70">
            <v>0</v>
          </cell>
          <cell r="AK70">
            <v>349815</v>
          </cell>
          <cell r="AL70">
            <v>349815</v>
          </cell>
        </row>
        <row r="71">
          <cell r="F71">
            <v>0</v>
          </cell>
          <cell r="G71">
            <v>0</v>
          </cell>
          <cell r="H71">
            <v>0</v>
          </cell>
          <cell r="P71">
            <v>16</v>
          </cell>
          <cell r="S71">
            <v>95</v>
          </cell>
          <cell r="X71">
            <v>65</v>
          </cell>
          <cell r="Y71">
            <v>20</v>
          </cell>
          <cell r="Z71">
            <v>45</v>
          </cell>
          <cell r="AC71">
            <v>48</v>
          </cell>
          <cell r="AD71">
            <v>16</v>
          </cell>
          <cell r="AE71">
            <v>32</v>
          </cell>
          <cell r="AF71">
            <v>28</v>
          </cell>
          <cell r="AG71">
            <v>28</v>
          </cell>
          <cell r="AH71">
            <v>0</v>
          </cell>
          <cell r="AK71">
            <v>270163</v>
          </cell>
          <cell r="AL71">
            <v>270163</v>
          </cell>
        </row>
        <row r="72">
          <cell r="F72">
            <v>0</v>
          </cell>
          <cell r="G72">
            <v>0</v>
          </cell>
          <cell r="X72">
            <v>0</v>
          </cell>
          <cell r="AC72">
            <v>0</v>
          </cell>
          <cell r="AF72">
            <v>0</v>
          </cell>
          <cell r="AG72">
            <v>0</v>
          </cell>
          <cell r="AH72">
            <v>0</v>
          </cell>
          <cell r="AK72">
            <v>-79652</v>
          </cell>
          <cell r="AL72">
            <v>-79652</v>
          </cell>
        </row>
        <row r="73">
          <cell r="G73">
            <v>0</v>
          </cell>
          <cell r="P73">
            <v>699.4</v>
          </cell>
          <cell r="S73">
            <v>0</v>
          </cell>
          <cell r="X73">
            <v>0</v>
          </cell>
          <cell r="Y73">
            <v>0</v>
          </cell>
          <cell r="Z73">
            <v>0</v>
          </cell>
          <cell r="AC73">
            <v>0</v>
          </cell>
          <cell r="AD73">
            <v>0</v>
          </cell>
          <cell r="AE73">
            <v>0</v>
          </cell>
          <cell r="AF73">
            <v>0</v>
          </cell>
          <cell r="AG73">
            <v>0</v>
          </cell>
          <cell r="AH73">
            <v>0</v>
          </cell>
          <cell r="AK73">
            <v>699.4</v>
          </cell>
          <cell r="AL73">
            <v>699.4</v>
          </cell>
        </row>
        <row r="74">
          <cell r="G74">
            <v>0</v>
          </cell>
          <cell r="P74">
            <v>0</v>
          </cell>
          <cell r="S74">
            <v>0</v>
          </cell>
          <cell r="X74">
            <v>0</v>
          </cell>
          <cell r="Z74">
            <v>0</v>
          </cell>
          <cell r="AC74">
            <v>0</v>
          </cell>
          <cell r="AD74">
            <v>0</v>
          </cell>
          <cell r="AE74">
            <v>0</v>
          </cell>
          <cell r="AH74">
            <v>0</v>
          </cell>
          <cell r="AK74">
            <v>0</v>
          </cell>
          <cell r="AL74">
            <v>0</v>
          </cell>
        </row>
        <row r="75">
          <cell r="F75">
            <v>1431.9</v>
          </cell>
          <cell r="G75">
            <v>316</v>
          </cell>
          <cell r="H75">
            <v>1115.9000000000001</v>
          </cell>
          <cell r="P75">
            <v>91.000000000000014</v>
          </cell>
          <cell r="S75">
            <v>225.60000000000002</v>
          </cell>
          <cell r="T75">
            <v>93.456000000000003</v>
          </cell>
          <cell r="U75">
            <v>132.14400000000001</v>
          </cell>
          <cell r="X75">
            <v>92.000000000000014</v>
          </cell>
          <cell r="Y75">
            <v>29</v>
          </cell>
          <cell r="Z75">
            <v>63.000000000000014</v>
          </cell>
          <cell r="AC75">
            <v>67.2</v>
          </cell>
          <cell r="AD75">
            <v>22</v>
          </cell>
          <cell r="AE75">
            <v>45.2</v>
          </cell>
          <cell r="AF75">
            <v>180</v>
          </cell>
          <cell r="AG75">
            <v>148.96</v>
          </cell>
          <cell r="AH75">
            <v>31.039999999999992</v>
          </cell>
          <cell r="AI75">
            <v>507.20000000000005</v>
          </cell>
          <cell r="AK75">
            <v>3022.5266666666666</v>
          </cell>
          <cell r="AL75">
            <v>667.6</v>
          </cell>
        </row>
        <row r="76">
          <cell r="F76">
            <v>105</v>
          </cell>
          <cell r="G76">
            <v>23</v>
          </cell>
          <cell r="H76">
            <v>82</v>
          </cell>
          <cell r="T76">
            <v>0</v>
          </cell>
          <cell r="U76">
            <v>0</v>
          </cell>
          <cell r="Y76">
            <v>0</v>
          </cell>
          <cell r="Z76">
            <v>0</v>
          </cell>
          <cell r="AE76">
            <v>0</v>
          </cell>
          <cell r="AH76">
            <v>0</v>
          </cell>
          <cell r="AK76">
            <v>105</v>
          </cell>
          <cell r="AL76">
            <v>23</v>
          </cell>
        </row>
        <row r="77">
          <cell r="F77">
            <v>1326.9</v>
          </cell>
          <cell r="G77">
            <v>293</v>
          </cell>
          <cell r="H77">
            <v>1033.9000000000001</v>
          </cell>
          <cell r="P77">
            <v>91.000000000000014</v>
          </cell>
          <cell r="S77">
            <v>225.60000000000002</v>
          </cell>
          <cell r="T77">
            <v>93.456000000000003</v>
          </cell>
          <cell r="U77">
            <v>132.14400000000001</v>
          </cell>
          <cell r="X77">
            <v>92.000000000000014</v>
          </cell>
          <cell r="Y77">
            <v>29</v>
          </cell>
          <cell r="Z77">
            <v>63.000000000000014</v>
          </cell>
          <cell r="AC77">
            <v>67.2</v>
          </cell>
          <cell r="AD77">
            <v>22</v>
          </cell>
          <cell r="AE77">
            <v>45.2</v>
          </cell>
          <cell r="AF77">
            <v>180</v>
          </cell>
          <cell r="AG77">
            <v>148.96</v>
          </cell>
          <cell r="AH77">
            <v>31.039999999999992</v>
          </cell>
          <cell r="AI77">
            <v>507.20000000000005</v>
          </cell>
          <cell r="AK77">
            <v>2917.5266666666666</v>
          </cell>
          <cell r="AL77">
            <v>644.6</v>
          </cell>
        </row>
        <row r="78">
          <cell r="F78">
            <v>474.8</v>
          </cell>
          <cell r="G78">
            <v>105</v>
          </cell>
          <cell r="H78">
            <v>369.8</v>
          </cell>
          <cell r="P78">
            <v>52.800000000000004</v>
          </cell>
          <cell r="S78">
            <v>141.6</v>
          </cell>
          <cell r="T78">
            <v>93.456000000000003</v>
          </cell>
          <cell r="U78">
            <v>48.143999999999991</v>
          </cell>
          <cell r="X78">
            <v>44.800000000000004</v>
          </cell>
          <cell r="Y78">
            <v>14</v>
          </cell>
          <cell r="Z78">
            <v>30.800000000000004</v>
          </cell>
          <cell r="AC78">
            <v>34.4</v>
          </cell>
          <cell r="AD78">
            <v>22</v>
          </cell>
          <cell r="AE78">
            <v>12.399999999999999</v>
          </cell>
          <cell r="AF78">
            <v>130.4</v>
          </cell>
          <cell r="AG78">
            <v>119.2</v>
          </cell>
          <cell r="AH78">
            <v>11.200000000000003</v>
          </cell>
          <cell r="AK78">
            <v>947.59999999999991</v>
          </cell>
          <cell r="AL78">
            <v>239.4</v>
          </cell>
        </row>
        <row r="79">
          <cell r="H79">
            <v>0</v>
          </cell>
          <cell r="S79">
            <v>0</v>
          </cell>
          <cell r="AK79">
            <v>363.66666666666663</v>
          </cell>
          <cell r="AL79">
            <v>158</v>
          </cell>
        </row>
        <row r="80">
          <cell r="F80">
            <v>353.6</v>
          </cell>
          <cell r="G80">
            <v>78</v>
          </cell>
          <cell r="H80">
            <v>275.60000000000002</v>
          </cell>
          <cell r="P80">
            <v>19</v>
          </cell>
          <cell r="S80">
            <v>36.800000000000004</v>
          </cell>
          <cell r="X80">
            <v>38.400000000000006</v>
          </cell>
          <cell r="Y80">
            <v>12</v>
          </cell>
          <cell r="Z80">
            <v>26.400000000000006</v>
          </cell>
          <cell r="AC80">
            <v>7.2</v>
          </cell>
          <cell r="AF80">
            <v>9.6000000000000014</v>
          </cell>
          <cell r="AG80">
            <v>5.7600000000000007</v>
          </cell>
          <cell r="AH80">
            <v>3.8400000000000007</v>
          </cell>
          <cell r="AI80">
            <v>31.466666666666669</v>
          </cell>
          <cell r="AK80">
            <v>496.22666666666669</v>
          </cell>
          <cell r="AL80">
            <v>111</v>
          </cell>
        </row>
        <row r="81">
          <cell r="F81">
            <v>498.5</v>
          </cell>
          <cell r="G81">
            <v>110</v>
          </cell>
          <cell r="H81">
            <v>388.5</v>
          </cell>
          <cell r="P81">
            <v>19.200000000000003</v>
          </cell>
          <cell r="S81">
            <v>47.2</v>
          </cell>
          <cell r="X81">
            <v>8.8000000000000007</v>
          </cell>
          <cell r="Y81">
            <v>3</v>
          </cell>
          <cell r="Z81">
            <v>5.8000000000000007</v>
          </cell>
          <cell r="AC81">
            <v>25.6</v>
          </cell>
          <cell r="AF81">
            <v>40</v>
          </cell>
          <cell r="AG81">
            <v>24</v>
          </cell>
          <cell r="AH81">
            <v>16</v>
          </cell>
          <cell r="AI81">
            <v>475.73333333333335</v>
          </cell>
          <cell r="AK81">
            <v>1110.0333333333333</v>
          </cell>
          <cell r="AL81">
            <v>136.19999999999999</v>
          </cell>
        </row>
        <row r="82">
          <cell r="H82">
            <v>0</v>
          </cell>
          <cell r="Y82">
            <v>0</v>
          </cell>
          <cell r="Z82">
            <v>0</v>
          </cell>
          <cell r="AK82">
            <v>0</v>
          </cell>
          <cell r="AL82">
            <v>0</v>
          </cell>
        </row>
        <row r="83">
          <cell r="F83">
            <v>19.399999999999999</v>
          </cell>
          <cell r="G83">
            <v>0</v>
          </cell>
          <cell r="H83">
            <v>19.399999999999999</v>
          </cell>
          <cell r="P83">
            <v>3.1</v>
          </cell>
          <cell r="S83">
            <v>7.5</v>
          </cell>
          <cell r="X83">
            <v>3.1</v>
          </cell>
          <cell r="Y83">
            <v>1</v>
          </cell>
          <cell r="Z83">
            <v>2.1</v>
          </cell>
          <cell r="AC83">
            <v>1.7</v>
          </cell>
          <cell r="AF83">
            <v>4.8</v>
          </cell>
          <cell r="AH83">
            <v>4.8</v>
          </cell>
          <cell r="AK83">
            <v>35.800000000000004</v>
          </cell>
          <cell r="AL83">
            <v>5.0999999999999996</v>
          </cell>
        </row>
        <row r="84">
          <cell r="F84">
            <v>2252.3000000000002</v>
          </cell>
          <cell r="G84">
            <v>496</v>
          </cell>
          <cell r="H84">
            <v>1756.3000000000002</v>
          </cell>
          <cell r="P84">
            <v>2551.6</v>
          </cell>
          <cell r="Q84">
            <v>0</v>
          </cell>
          <cell r="R84">
            <v>0</v>
          </cell>
          <cell r="S84">
            <v>26545.418181818179</v>
          </cell>
          <cell r="T84">
            <v>23326.412</v>
          </cell>
          <cell r="U84">
            <v>3219.0061818181821</v>
          </cell>
          <cell r="X84">
            <v>25476.854545454546</v>
          </cell>
          <cell r="Y84">
            <v>9296.0975609756097</v>
          </cell>
          <cell r="Z84">
            <v>16180.756984478936</v>
          </cell>
          <cell r="AA84">
            <v>0</v>
          </cell>
          <cell r="AB84">
            <v>0</v>
          </cell>
          <cell r="AC84">
            <v>22303.4</v>
          </cell>
          <cell r="AD84">
            <v>8940.4774346793329</v>
          </cell>
          <cell r="AE84">
            <v>13362.922565320667</v>
          </cell>
          <cell r="AF84">
            <v>3914</v>
          </cell>
          <cell r="AG84">
            <v>3321.88</v>
          </cell>
          <cell r="AH84">
            <v>592.12</v>
          </cell>
          <cell r="AI84">
            <v>786.10909090909092</v>
          </cell>
          <cell r="AK84">
            <v>84163.028484848473</v>
          </cell>
          <cell r="AL84">
            <v>21818.574995654941</v>
          </cell>
        </row>
        <row r="85">
          <cell r="F85">
            <v>281</v>
          </cell>
          <cell r="G85">
            <v>62</v>
          </cell>
          <cell r="H85">
            <v>219</v>
          </cell>
          <cell r="P85">
            <v>528</v>
          </cell>
          <cell r="Q85">
            <v>0</v>
          </cell>
          <cell r="R85">
            <v>0</v>
          </cell>
          <cell r="T85">
            <v>454.85363636363633</v>
          </cell>
          <cell r="U85">
            <v>473.41909090909093</v>
          </cell>
          <cell r="V85">
            <v>0</v>
          </cell>
          <cell r="W85">
            <v>0</v>
          </cell>
          <cell r="Y85">
            <v>148</v>
          </cell>
          <cell r="Z85">
            <v>327</v>
          </cell>
          <cell r="AA85">
            <v>0</v>
          </cell>
          <cell r="AB85">
            <v>0</v>
          </cell>
          <cell r="AD85">
            <v>127</v>
          </cell>
          <cell r="AE85">
            <v>262</v>
          </cell>
          <cell r="AH85">
            <v>53</v>
          </cell>
          <cell r="AI85">
            <v>202.90909090909091</v>
          </cell>
          <cell r="AK85">
            <v>4336.909090909091</v>
          </cell>
          <cell r="AL85">
            <v>1024</v>
          </cell>
        </row>
        <row r="86">
          <cell r="AL86">
            <v>21837.195939509984</v>
          </cell>
        </row>
        <row r="87">
          <cell r="F87">
            <v>11292</v>
          </cell>
          <cell r="G87">
            <v>11292</v>
          </cell>
          <cell r="AK87">
            <v>11292</v>
          </cell>
          <cell r="AL87">
            <v>11292</v>
          </cell>
        </row>
        <row r="88">
          <cell r="F88">
            <v>13544.3</v>
          </cell>
          <cell r="G88">
            <v>11788</v>
          </cell>
          <cell r="H88">
            <v>1756.3000000000002</v>
          </cell>
          <cell r="P88">
            <v>2551.6</v>
          </cell>
          <cell r="Q88">
            <v>0</v>
          </cell>
          <cell r="R88">
            <v>0</v>
          </cell>
          <cell r="S88">
            <v>26545.418181818179</v>
          </cell>
          <cell r="T88">
            <v>23326.412</v>
          </cell>
          <cell r="U88">
            <v>3219.0061818181821</v>
          </cell>
          <cell r="V88">
            <v>0</v>
          </cell>
          <cell r="W88">
            <v>0</v>
          </cell>
          <cell r="X88">
            <v>25476.854545454546</v>
          </cell>
          <cell r="Y88">
            <v>9296.0975609756097</v>
          </cell>
          <cell r="Z88">
            <v>16180.756984478936</v>
          </cell>
          <cell r="AA88">
            <v>0</v>
          </cell>
          <cell r="AB88">
            <v>0</v>
          </cell>
          <cell r="AC88">
            <v>22303.4</v>
          </cell>
          <cell r="AD88">
            <v>8940.4774346793329</v>
          </cell>
          <cell r="AE88">
            <v>13362.922565320667</v>
          </cell>
          <cell r="AF88">
            <v>3914</v>
          </cell>
          <cell r="AG88">
            <v>3321.88</v>
          </cell>
          <cell r="AH88">
            <v>592.12</v>
          </cell>
          <cell r="AI88">
            <v>786.10909090909092</v>
          </cell>
          <cell r="AK88">
            <v>95455.028484848473</v>
          </cell>
          <cell r="AL88">
            <v>33110.574995654941</v>
          </cell>
        </row>
        <row r="89">
          <cell r="F89">
            <v>0</v>
          </cell>
          <cell r="G89">
            <v>0</v>
          </cell>
          <cell r="H89">
            <v>0</v>
          </cell>
          <cell r="AH89">
            <v>0</v>
          </cell>
        </row>
        <row r="90">
          <cell r="F90">
            <v>1390</v>
          </cell>
          <cell r="G90">
            <v>810</v>
          </cell>
          <cell r="H90">
            <v>580</v>
          </cell>
          <cell r="AH90">
            <v>0</v>
          </cell>
          <cell r="AK90">
            <v>1390</v>
          </cell>
          <cell r="AL90">
            <v>810</v>
          </cell>
        </row>
        <row r="91">
          <cell r="F91">
            <v>600</v>
          </cell>
          <cell r="G91">
            <v>128</v>
          </cell>
          <cell r="H91">
            <v>472</v>
          </cell>
          <cell r="S91">
            <v>0</v>
          </cell>
          <cell r="T91">
            <v>0</v>
          </cell>
          <cell r="U91">
            <v>0</v>
          </cell>
          <cell r="X91">
            <v>0</v>
          </cell>
          <cell r="Y91">
            <v>0</v>
          </cell>
          <cell r="Z91">
            <v>0</v>
          </cell>
          <cell r="AA91">
            <v>0</v>
          </cell>
          <cell r="AB91">
            <v>0</v>
          </cell>
          <cell r="AC91">
            <v>0</v>
          </cell>
          <cell r="AD91">
            <v>0</v>
          </cell>
          <cell r="AE91">
            <v>0</v>
          </cell>
          <cell r="AH91">
            <v>0</v>
          </cell>
          <cell r="AK91">
            <v>600</v>
          </cell>
          <cell r="AL91">
            <v>128</v>
          </cell>
        </row>
        <row r="92">
          <cell r="F92">
            <v>18.666666666666664</v>
          </cell>
          <cell r="G92">
            <v>4</v>
          </cell>
          <cell r="H92">
            <v>14.666666666666664</v>
          </cell>
          <cell r="P92">
            <v>48.800000000000004</v>
          </cell>
          <cell r="S92">
            <v>5.6000000000000005</v>
          </cell>
          <cell r="X92">
            <v>13.600000000000001</v>
          </cell>
          <cell r="Y92">
            <v>4</v>
          </cell>
          <cell r="Z92">
            <v>9.6000000000000014</v>
          </cell>
          <cell r="AC92">
            <v>21.6</v>
          </cell>
          <cell r="AD92">
            <v>9</v>
          </cell>
          <cell r="AE92">
            <v>12.600000000000001</v>
          </cell>
          <cell r="AF92">
            <v>12</v>
          </cell>
          <cell r="AG92">
            <v>11</v>
          </cell>
          <cell r="AH92">
            <v>1</v>
          </cell>
          <cell r="AK92">
            <v>119.26666666666665</v>
          </cell>
          <cell r="AL92">
            <v>65.800000000000011</v>
          </cell>
        </row>
        <row r="95">
          <cell r="F95">
            <v>15552.966666666665</v>
          </cell>
          <cell r="G95">
            <v>12730</v>
          </cell>
          <cell r="H95">
            <v>2822.9666666666667</v>
          </cell>
          <cell r="P95">
            <v>2600.4</v>
          </cell>
          <cell r="Q95">
            <v>0</v>
          </cell>
          <cell r="R95">
            <v>0</v>
          </cell>
          <cell r="S95">
            <v>26551.018181818177</v>
          </cell>
          <cell r="T95">
            <v>23326.412</v>
          </cell>
          <cell r="U95">
            <v>3219.0061818181821</v>
          </cell>
          <cell r="V95">
            <v>0</v>
          </cell>
          <cell r="W95">
            <v>0</v>
          </cell>
          <cell r="X95">
            <v>25490.454545454544</v>
          </cell>
          <cell r="Y95">
            <v>9300.0975609756097</v>
          </cell>
          <cell r="Z95">
            <v>16190.356984478936</v>
          </cell>
          <cell r="AA95">
            <v>0</v>
          </cell>
          <cell r="AB95">
            <v>0</v>
          </cell>
          <cell r="AC95">
            <v>22325</v>
          </cell>
          <cell r="AD95">
            <v>8949.4774346793329</v>
          </cell>
          <cell r="AE95">
            <v>13375.522565320667</v>
          </cell>
          <cell r="AF95">
            <v>3925</v>
          </cell>
          <cell r="AG95">
            <v>3332.88</v>
          </cell>
          <cell r="AH95">
            <v>593.12</v>
          </cell>
          <cell r="AI95">
            <v>786.10909090909092</v>
          </cell>
          <cell r="AJ95">
            <v>0</v>
          </cell>
          <cell r="AK95">
            <v>97564.295151515136</v>
          </cell>
          <cell r="AL95">
            <v>34114.374995654944</v>
          </cell>
        </row>
        <row r="96">
          <cell r="F96">
            <v>4260.9666666666653</v>
          </cell>
          <cell r="G96">
            <v>1438</v>
          </cell>
          <cell r="H96">
            <v>2822.9666666666667</v>
          </cell>
          <cell r="P96">
            <v>2600.4</v>
          </cell>
          <cell r="Q96">
            <v>0</v>
          </cell>
          <cell r="R96">
            <v>0</v>
          </cell>
          <cell r="S96">
            <v>7626.0181818181773</v>
          </cell>
          <cell r="T96">
            <v>4401.4120000000003</v>
          </cell>
          <cell r="U96">
            <v>3219.0061818181821</v>
          </cell>
          <cell r="V96">
            <v>0</v>
          </cell>
          <cell r="W96">
            <v>0</v>
          </cell>
          <cell r="X96">
            <v>2981.4545454545441</v>
          </cell>
          <cell r="Y96">
            <v>925</v>
          </cell>
          <cell r="Z96">
            <v>2056.454545454546</v>
          </cell>
          <cell r="AA96">
            <v>0</v>
          </cell>
          <cell r="AB96">
            <v>0</v>
          </cell>
          <cell r="AC96">
            <v>1888</v>
          </cell>
          <cell r="AD96">
            <v>619</v>
          </cell>
          <cell r="AE96">
            <v>1269</v>
          </cell>
          <cell r="AF96">
            <v>3925</v>
          </cell>
          <cell r="AG96">
            <v>3332.88</v>
          </cell>
          <cell r="AH96">
            <v>593.12</v>
          </cell>
          <cell r="AI96">
            <v>786.10909090909092</v>
          </cell>
          <cell r="AJ96">
            <v>0</v>
          </cell>
          <cell r="AK96">
            <v>24401.295151515136</v>
          </cell>
          <cell r="AL96">
            <v>6116.8000000000029</v>
          </cell>
        </row>
        <row r="97">
          <cell r="F97">
            <v>684.2</v>
          </cell>
          <cell r="G97">
            <v>15552.966666666667</v>
          </cell>
          <cell r="P97">
            <v>627.20000000000005</v>
          </cell>
          <cell r="S97">
            <v>1365.6</v>
          </cell>
          <cell r="X97">
            <v>175.20000000000002</v>
          </cell>
          <cell r="Y97">
            <v>25490.454545454544</v>
          </cell>
          <cell r="AC97">
            <v>159.20000000000002</v>
          </cell>
          <cell r="AD97">
            <v>22325</v>
          </cell>
          <cell r="AF97">
            <v>444.2</v>
          </cell>
          <cell r="AG97">
            <v>367.2</v>
          </cell>
          <cell r="AH97">
            <v>77</v>
          </cell>
          <cell r="AI97">
            <v>54.400000000000006</v>
          </cell>
          <cell r="AJ97">
            <v>0</v>
          </cell>
          <cell r="AK97">
            <v>3450.5999999999995</v>
          </cell>
          <cell r="AL97">
            <v>97564.295151515151</v>
          </cell>
        </row>
        <row r="98">
          <cell r="F98">
            <v>87</v>
          </cell>
          <cell r="P98">
            <v>627.20000000000005</v>
          </cell>
          <cell r="S98">
            <v>1365.6</v>
          </cell>
          <cell r="X98">
            <v>175.20000000000002</v>
          </cell>
          <cell r="AC98">
            <v>159.20000000000002</v>
          </cell>
          <cell r="AF98">
            <v>444.2</v>
          </cell>
          <cell r="AG98">
            <v>367.2</v>
          </cell>
          <cell r="AH98">
            <v>0</v>
          </cell>
          <cell r="AI98">
            <v>54.400000000000006</v>
          </cell>
          <cell r="AK98">
            <v>2853.3999999999996</v>
          </cell>
          <cell r="AL98">
            <v>97564.295151515165</v>
          </cell>
        </row>
        <row r="99">
          <cell r="F99">
            <v>0</v>
          </cell>
          <cell r="P99">
            <v>0</v>
          </cell>
          <cell r="X99">
            <v>0</v>
          </cell>
          <cell r="AK99">
            <v>0</v>
          </cell>
        </row>
        <row r="100">
          <cell r="F100">
            <v>597.20000000000005</v>
          </cell>
          <cell r="P100">
            <v>0</v>
          </cell>
          <cell r="S100">
            <v>0</v>
          </cell>
          <cell r="X100">
            <v>0</v>
          </cell>
          <cell r="AC100">
            <v>0</v>
          </cell>
          <cell r="AF100">
            <v>0</v>
          </cell>
          <cell r="AG100">
            <v>0</v>
          </cell>
          <cell r="AH100">
            <v>77</v>
          </cell>
          <cell r="AI100">
            <v>0</v>
          </cell>
          <cell r="AK100">
            <v>597.20000000000005</v>
          </cell>
        </row>
        <row r="101">
          <cell r="P101">
            <v>0</v>
          </cell>
          <cell r="S101">
            <v>0</v>
          </cell>
        </row>
        <row r="102">
          <cell r="S102">
            <v>0</v>
          </cell>
          <cell r="X102">
            <v>0</v>
          </cell>
        </row>
        <row r="104">
          <cell r="AK104">
            <v>0</v>
          </cell>
        </row>
        <row r="105">
          <cell r="AK105">
            <v>0</v>
          </cell>
        </row>
        <row r="106">
          <cell r="F106">
            <v>1047.2</v>
          </cell>
          <cell r="P106">
            <v>0</v>
          </cell>
          <cell r="S106">
            <v>0</v>
          </cell>
          <cell r="X106">
            <v>0</v>
          </cell>
          <cell r="AC106">
            <v>0</v>
          </cell>
          <cell r="AF106">
            <v>0</v>
          </cell>
          <cell r="AG106">
            <v>0</v>
          </cell>
          <cell r="AH106">
            <v>0</v>
          </cell>
          <cell r="AI106">
            <v>0</v>
          </cell>
          <cell r="AK106">
            <v>1047.2</v>
          </cell>
        </row>
        <row r="107">
          <cell r="F107">
            <v>597.20000000000005</v>
          </cell>
          <cell r="S107">
            <v>0</v>
          </cell>
          <cell r="AC107">
            <v>0</v>
          </cell>
          <cell r="AF107">
            <v>0</v>
          </cell>
          <cell r="AG107">
            <v>0</v>
          </cell>
          <cell r="AH107">
            <v>0</v>
          </cell>
          <cell r="AI107">
            <v>0</v>
          </cell>
          <cell r="AK107">
            <v>597.20000000000005</v>
          </cell>
        </row>
        <row r="108">
          <cell r="F108">
            <v>450</v>
          </cell>
          <cell r="P108">
            <v>0</v>
          </cell>
          <cell r="S108">
            <v>0</v>
          </cell>
          <cell r="AC108">
            <v>0</v>
          </cell>
          <cell r="AF108">
            <v>0</v>
          </cell>
          <cell r="AG108">
            <v>0</v>
          </cell>
          <cell r="AH108">
            <v>0</v>
          </cell>
          <cell r="AI108">
            <v>0</v>
          </cell>
          <cell r="AK108">
            <v>450</v>
          </cell>
        </row>
        <row r="109">
          <cell r="F109">
            <v>0</v>
          </cell>
          <cell r="P109">
            <v>0</v>
          </cell>
          <cell r="S109">
            <v>0</v>
          </cell>
          <cell r="X109">
            <v>0</v>
          </cell>
          <cell r="AC109">
            <v>0</v>
          </cell>
          <cell r="AF109">
            <v>0</v>
          </cell>
          <cell r="AG109">
            <v>0</v>
          </cell>
          <cell r="AH109">
            <v>0</v>
          </cell>
          <cell r="AK109">
            <v>0</v>
          </cell>
        </row>
        <row r="110">
          <cell r="F110">
            <v>0</v>
          </cell>
          <cell r="P110">
            <v>0</v>
          </cell>
          <cell r="S110">
            <v>79.800000000000011</v>
          </cell>
          <cell r="X110">
            <v>0</v>
          </cell>
          <cell r="AC110">
            <v>0</v>
          </cell>
          <cell r="AF110">
            <v>0</v>
          </cell>
          <cell r="AG110">
            <v>0</v>
          </cell>
          <cell r="AH110">
            <v>0</v>
          </cell>
          <cell r="AI110">
            <v>64</v>
          </cell>
          <cell r="AK110">
            <v>143.80000000000001</v>
          </cell>
        </row>
        <row r="111">
          <cell r="F111">
            <v>0</v>
          </cell>
          <cell r="P111">
            <v>0</v>
          </cell>
          <cell r="S111">
            <v>79.800000000000011</v>
          </cell>
          <cell r="AC111">
            <v>0</v>
          </cell>
          <cell r="AF111">
            <v>0</v>
          </cell>
          <cell r="AG111">
            <v>0</v>
          </cell>
          <cell r="AH111">
            <v>0</v>
          </cell>
          <cell r="AI111">
            <v>64</v>
          </cell>
          <cell r="AK111">
            <v>143.80000000000001</v>
          </cell>
        </row>
        <row r="112">
          <cell r="F112">
            <v>0</v>
          </cell>
          <cell r="P112">
            <v>0</v>
          </cell>
          <cell r="S112">
            <v>0</v>
          </cell>
          <cell r="X112">
            <v>0</v>
          </cell>
          <cell r="AC112">
            <v>0</v>
          </cell>
          <cell r="AF112">
            <v>0</v>
          </cell>
          <cell r="AG112">
            <v>0</v>
          </cell>
          <cell r="AH112">
            <v>0</v>
          </cell>
          <cell r="AK112">
            <v>0</v>
          </cell>
        </row>
        <row r="113">
          <cell r="F113">
            <v>0</v>
          </cell>
          <cell r="P113">
            <v>0</v>
          </cell>
          <cell r="S113">
            <v>264.8</v>
          </cell>
          <cell r="AC113">
            <v>0</v>
          </cell>
          <cell r="AG113">
            <v>0</v>
          </cell>
          <cell r="AH113">
            <v>0</v>
          </cell>
          <cell r="AK113">
            <v>264.8</v>
          </cell>
        </row>
        <row r="114">
          <cell r="F114">
            <v>0</v>
          </cell>
          <cell r="P114">
            <v>0</v>
          </cell>
          <cell r="S114">
            <v>264.8</v>
          </cell>
          <cell r="AH114">
            <v>0</v>
          </cell>
          <cell r="AK114">
            <v>264.8</v>
          </cell>
        </row>
        <row r="115">
          <cell r="F115">
            <v>0</v>
          </cell>
          <cell r="P115">
            <v>0</v>
          </cell>
          <cell r="S115">
            <v>0</v>
          </cell>
          <cell r="AC115">
            <v>0</v>
          </cell>
          <cell r="AG115">
            <v>0</v>
          </cell>
          <cell r="AH115">
            <v>0</v>
          </cell>
          <cell r="AK115">
            <v>0</v>
          </cell>
          <cell r="AL115">
            <v>0</v>
          </cell>
        </row>
        <row r="116">
          <cell r="P116">
            <v>0</v>
          </cell>
          <cell r="S116">
            <v>0</v>
          </cell>
          <cell r="AC116">
            <v>0</v>
          </cell>
          <cell r="AG116">
            <v>0</v>
          </cell>
          <cell r="AH116">
            <v>0</v>
          </cell>
          <cell r="AK116">
            <v>0</v>
          </cell>
        </row>
        <row r="117">
          <cell r="F117">
            <v>0</v>
          </cell>
          <cell r="P117">
            <v>0</v>
          </cell>
          <cell r="S117">
            <v>0</v>
          </cell>
          <cell r="AC117">
            <v>0</v>
          </cell>
          <cell r="AF117">
            <v>0</v>
          </cell>
          <cell r="AG117">
            <v>0</v>
          </cell>
          <cell r="AH117">
            <v>0</v>
          </cell>
          <cell r="AK117">
            <v>0</v>
          </cell>
        </row>
        <row r="118">
          <cell r="P118">
            <v>0</v>
          </cell>
          <cell r="X118">
            <v>0</v>
          </cell>
          <cell r="AC118">
            <v>0</v>
          </cell>
          <cell r="AG118">
            <v>0</v>
          </cell>
          <cell r="AH118">
            <v>0</v>
          </cell>
          <cell r="AK118">
            <v>0</v>
          </cell>
        </row>
        <row r="119">
          <cell r="F119">
            <v>250.66666666666666</v>
          </cell>
          <cell r="AK119">
            <v>250.66666666666666</v>
          </cell>
        </row>
        <row r="120">
          <cell r="S120">
            <v>0</v>
          </cell>
          <cell r="X120">
            <v>0</v>
          </cell>
          <cell r="AF120">
            <v>0</v>
          </cell>
          <cell r="AK120">
            <v>0</v>
          </cell>
        </row>
        <row r="121">
          <cell r="F121">
            <v>8992</v>
          </cell>
          <cell r="AK121">
            <v>8992</v>
          </cell>
        </row>
        <row r="122">
          <cell r="AK122">
            <v>0</v>
          </cell>
        </row>
        <row r="123">
          <cell r="AK123">
            <v>-4642</v>
          </cell>
          <cell r="AL123">
            <v>-6716.1982727272625</v>
          </cell>
        </row>
        <row r="124">
          <cell r="F124">
            <v>0</v>
          </cell>
        </row>
        <row r="125">
          <cell r="F125">
            <v>10289.866666666667</v>
          </cell>
          <cell r="G125">
            <v>0</v>
          </cell>
          <cell r="H125">
            <v>0</v>
          </cell>
          <cell r="P125">
            <v>0</v>
          </cell>
          <cell r="Q125">
            <v>0</v>
          </cell>
          <cell r="R125">
            <v>0</v>
          </cell>
          <cell r="S125">
            <v>344.6</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64</v>
          </cell>
          <cell r="AJ125">
            <v>0</v>
          </cell>
          <cell r="AK125">
            <v>10698.466666666667</v>
          </cell>
        </row>
        <row r="126">
          <cell r="F126">
            <v>10289.866666666667</v>
          </cell>
          <cell r="G126">
            <v>0</v>
          </cell>
          <cell r="H126">
            <v>0</v>
          </cell>
          <cell r="P126">
            <v>0</v>
          </cell>
          <cell r="S126">
            <v>344.6</v>
          </cell>
          <cell r="X126">
            <v>0</v>
          </cell>
          <cell r="Y126">
            <v>0</v>
          </cell>
          <cell r="Z126">
            <v>0</v>
          </cell>
          <cell r="AC126">
            <v>0</v>
          </cell>
          <cell r="AD126">
            <v>0</v>
          </cell>
          <cell r="AE126">
            <v>0</v>
          </cell>
          <cell r="AF126">
            <v>0</v>
          </cell>
          <cell r="AG126">
            <v>0</v>
          </cell>
          <cell r="AH126">
            <v>77</v>
          </cell>
          <cell r="AI126">
            <v>64</v>
          </cell>
          <cell r="AJ126">
            <v>0</v>
          </cell>
          <cell r="AK126">
            <v>6056.4666666666672</v>
          </cell>
        </row>
        <row r="127">
          <cell r="AK127">
            <v>3982.2683939394046</v>
          </cell>
          <cell r="AL127">
            <v>10698.466666666667</v>
          </cell>
        </row>
        <row r="128">
          <cell r="AK128">
            <v>3982.2683939394046</v>
          </cell>
        </row>
        <row r="129">
          <cell r="AK129">
            <v>5688.9548484848638</v>
          </cell>
          <cell r="AL129">
            <v>12271.625004345056</v>
          </cell>
        </row>
        <row r="131">
          <cell r="AK131">
            <v>1706.6864545454591</v>
          </cell>
        </row>
        <row r="134">
          <cell r="AK134">
            <v>56002</v>
          </cell>
        </row>
        <row r="135">
          <cell r="AK135">
            <v>-7447.9201558602144</v>
          </cell>
        </row>
        <row r="136">
          <cell r="AK136">
            <v>35.44</v>
          </cell>
        </row>
        <row r="137">
          <cell r="AK137">
            <v>40.159999999999997</v>
          </cell>
        </row>
        <row r="138">
          <cell r="AK138">
            <v>0</v>
          </cell>
        </row>
        <row r="140">
          <cell r="AK140">
            <v>10.96</v>
          </cell>
        </row>
        <row r="142">
          <cell r="AJ142">
            <v>0</v>
          </cell>
          <cell r="AK142">
            <v>8.6199999999999992</v>
          </cell>
        </row>
        <row r="143">
          <cell r="AK143">
            <v>43363</v>
          </cell>
          <cell r="AL143">
            <v>43363</v>
          </cell>
        </row>
        <row r="145">
          <cell r="AJ145">
            <v>300</v>
          </cell>
        </row>
        <row r="146">
          <cell r="AK146">
            <v>15283.523809523811</v>
          </cell>
          <cell r="AL146">
            <v>-34114.374995654944</v>
          </cell>
        </row>
        <row r="147">
          <cell r="S147">
            <v>0</v>
          </cell>
          <cell r="AK147">
            <v>865.25</v>
          </cell>
        </row>
        <row r="149">
          <cell r="AJ149">
            <v>0</v>
          </cell>
          <cell r="AK149">
            <v>99365</v>
          </cell>
          <cell r="AL149">
            <v>43363</v>
          </cell>
        </row>
        <row r="150">
          <cell r="AK150">
            <v>0</v>
          </cell>
        </row>
        <row r="151">
          <cell r="AK151">
            <v>102388</v>
          </cell>
          <cell r="AL151">
            <v>46386</v>
          </cell>
        </row>
        <row r="152">
          <cell r="AK152">
            <v>0</v>
          </cell>
        </row>
        <row r="153">
          <cell r="AK153">
            <v>5.8</v>
          </cell>
          <cell r="AL153">
            <v>36</v>
          </cell>
        </row>
        <row r="154">
          <cell r="AK154">
            <v>15.66507889570549</v>
          </cell>
          <cell r="AL154">
            <v>-100</v>
          </cell>
        </row>
        <row r="155">
          <cell r="AL155">
            <v>0</v>
          </cell>
        </row>
        <row r="157">
          <cell r="F157">
            <v>0</v>
          </cell>
          <cell r="P157">
            <v>0</v>
          </cell>
          <cell r="S157">
            <v>0</v>
          </cell>
          <cell r="X157">
            <v>0</v>
          </cell>
          <cell r="AC157">
            <v>0</v>
          </cell>
          <cell r="AI157">
            <v>0</v>
          </cell>
          <cell r="AJ157">
            <v>142</v>
          </cell>
          <cell r="AK157">
            <v>0</v>
          </cell>
        </row>
        <row r="158">
          <cell r="F158">
            <v>583.6</v>
          </cell>
          <cell r="P158">
            <v>699.4</v>
          </cell>
          <cell r="S158">
            <v>1291.1454545454546</v>
          </cell>
          <cell r="X158">
            <v>661.0363636363636</v>
          </cell>
          <cell r="AC158">
            <v>482.8</v>
          </cell>
          <cell r="AF158">
            <v>506</v>
          </cell>
          <cell r="AG158">
            <v>506</v>
          </cell>
          <cell r="AH158">
            <v>0</v>
          </cell>
          <cell r="AK158">
            <v>4223.9818181818182</v>
          </cell>
        </row>
        <row r="159">
          <cell r="F159">
            <v>583.6</v>
          </cell>
          <cell r="P159">
            <v>538.20000000000005</v>
          </cell>
          <cell r="S159">
            <v>737</v>
          </cell>
          <cell r="X159">
            <v>351</v>
          </cell>
          <cell r="AC159">
            <v>184.8</v>
          </cell>
          <cell r="AF159">
            <v>67.2</v>
          </cell>
          <cell r="AG159">
            <v>67.2</v>
          </cell>
          <cell r="AH159">
            <v>0</v>
          </cell>
          <cell r="AK159">
            <v>2394.6000000000004</v>
          </cell>
        </row>
        <row r="160">
          <cell r="F160">
            <v>583.6</v>
          </cell>
          <cell r="P160">
            <v>56</v>
          </cell>
          <cell r="S160">
            <v>130.4</v>
          </cell>
          <cell r="X160">
            <v>72.760000000000019</v>
          </cell>
          <cell r="AC160">
            <v>72.8</v>
          </cell>
          <cell r="AF160">
            <v>56</v>
          </cell>
          <cell r="AG160">
            <v>56</v>
          </cell>
          <cell r="AH160">
            <v>0</v>
          </cell>
          <cell r="AI160">
            <v>525.04000000000008</v>
          </cell>
          <cell r="AK160">
            <v>1496.6</v>
          </cell>
        </row>
        <row r="161">
          <cell r="AK161">
            <v>0</v>
          </cell>
        </row>
        <row r="162">
          <cell r="AK162">
            <v>0</v>
          </cell>
        </row>
        <row r="163">
          <cell r="F163">
            <v>14.170833333333334</v>
          </cell>
          <cell r="AK163">
            <v>14.170833333333334</v>
          </cell>
        </row>
        <row r="164">
          <cell r="P164">
            <v>70</v>
          </cell>
          <cell r="S164">
            <v>408.72727272727275</v>
          </cell>
          <cell r="X164">
            <v>278.18181818181819</v>
          </cell>
          <cell r="AC164">
            <v>203</v>
          </cell>
          <cell r="AG164">
            <v>121</v>
          </cell>
          <cell r="AK164">
            <v>959.90909090909099</v>
          </cell>
        </row>
        <row r="165">
          <cell r="F165">
            <v>124.60000000000002</v>
          </cell>
          <cell r="S165">
            <v>882.41818181818189</v>
          </cell>
          <cell r="X165">
            <v>382.85454545454542</v>
          </cell>
          <cell r="AC165">
            <v>279.8</v>
          </cell>
          <cell r="AK165">
            <v>1669.6727272727273</v>
          </cell>
        </row>
        <row r="166">
          <cell r="S166">
            <v>1291.1454545454546</v>
          </cell>
          <cell r="X166">
            <v>661.0363636363636</v>
          </cell>
          <cell r="AC166">
            <v>482.8</v>
          </cell>
        </row>
        <row r="167">
          <cell r="F167">
            <v>459</v>
          </cell>
          <cell r="P167">
            <v>0</v>
          </cell>
          <cell r="S167">
            <v>0</v>
          </cell>
          <cell r="X167">
            <v>0</v>
          </cell>
          <cell r="AC167">
            <v>0</v>
          </cell>
          <cell r="AK167">
            <v>459</v>
          </cell>
        </row>
        <row r="168">
          <cell r="S168">
            <v>0</v>
          </cell>
          <cell r="X168">
            <v>0</v>
          </cell>
          <cell r="AC168">
            <v>0</v>
          </cell>
          <cell r="AF168">
            <v>0</v>
          </cell>
          <cell r="AG168">
            <v>0</v>
          </cell>
          <cell r="AH168">
            <v>0</v>
          </cell>
          <cell r="AK168">
            <v>0</v>
          </cell>
        </row>
        <row r="169">
          <cell r="F169">
            <v>684.2</v>
          </cell>
          <cell r="G169">
            <v>15552.966666666667</v>
          </cell>
          <cell r="H169">
            <v>0</v>
          </cell>
          <cell r="P169">
            <v>627.20000000000005</v>
          </cell>
          <cell r="Q169">
            <v>0</v>
          </cell>
          <cell r="R169">
            <v>0</v>
          </cell>
          <cell r="S169">
            <v>1710.1999999999998</v>
          </cell>
          <cell r="T169">
            <v>0</v>
          </cell>
          <cell r="U169">
            <v>0</v>
          </cell>
          <cell r="V169">
            <v>0</v>
          </cell>
          <cell r="W169">
            <v>0</v>
          </cell>
          <cell r="X169">
            <v>175.20000000000002</v>
          </cell>
          <cell r="Y169">
            <v>25490.454545454544</v>
          </cell>
          <cell r="Z169">
            <v>0</v>
          </cell>
          <cell r="AA169">
            <v>0</v>
          </cell>
          <cell r="AB169">
            <v>0</v>
          </cell>
          <cell r="AC169">
            <v>159.20000000000002</v>
          </cell>
          <cell r="AD169">
            <v>22325</v>
          </cell>
          <cell r="AE169">
            <v>0</v>
          </cell>
          <cell r="AF169">
            <v>444.2</v>
          </cell>
          <cell r="AG169">
            <v>367.2</v>
          </cell>
          <cell r="AH169">
            <v>77</v>
          </cell>
          <cell r="AI169">
            <v>118.4</v>
          </cell>
          <cell r="AJ169">
            <v>0</v>
          </cell>
          <cell r="AK169">
            <v>3859.1999999999994</v>
          </cell>
        </row>
        <row r="170">
          <cell r="F170">
            <v>684.2</v>
          </cell>
          <cell r="G170">
            <v>15552.966666666667</v>
          </cell>
          <cell r="H170">
            <v>0</v>
          </cell>
          <cell r="P170">
            <v>627.20000000000005</v>
          </cell>
          <cell r="Q170">
            <v>0</v>
          </cell>
          <cell r="R170">
            <v>0</v>
          </cell>
          <cell r="S170">
            <v>1445.3999999999999</v>
          </cell>
          <cell r="T170">
            <v>0</v>
          </cell>
          <cell r="U170">
            <v>0</v>
          </cell>
          <cell r="V170">
            <v>0</v>
          </cell>
          <cell r="W170">
            <v>0</v>
          </cell>
          <cell r="X170">
            <v>175.20000000000002</v>
          </cell>
          <cell r="Y170">
            <v>25490.454545454544</v>
          </cell>
          <cell r="Z170">
            <v>0</v>
          </cell>
          <cell r="AA170">
            <v>0</v>
          </cell>
          <cell r="AB170">
            <v>0</v>
          </cell>
          <cell r="AC170">
            <v>159.20000000000002</v>
          </cell>
          <cell r="AD170">
            <v>22325</v>
          </cell>
          <cell r="AE170">
            <v>0</v>
          </cell>
          <cell r="AF170">
            <v>444.2</v>
          </cell>
          <cell r="AG170">
            <v>367.2</v>
          </cell>
          <cell r="AH170">
            <v>77</v>
          </cell>
          <cell r="AI170">
            <v>118.4</v>
          </cell>
          <cell r="AJ170">
            <v>0</v>
          </cell>
          <cell r="AK170">
            <v>3594.3999999999992</v>
          </cell>
        </row>
        <row r="171">
          <cell r="F171">
            <v>0</v>
          </cell>
          <cell r="G171">
            <v>0</v>
          </cell>
          <cell r="H171">
            <v>0</v>
          </cell>
          <cell r="P171">
            <v>0</v>
          </cell>
          <cell r="R171">
            <v>0</v>
          </cell>
          <cell r="S171">
            <v>264.8</v>
          </cell>
          <cell r="T171">
            <v>0</v>
          </cell>
          <cell r="U171">
            <v>0</v>
          </cell>
          <cell r="V171">
            <v>0</v>
          </cell>
          <cell r="W171">
            <v>0</v>
          </cell>
          <cell r="X171">
            <v>0</v>
          </cell>
          <cell r="Y171">
            <v>0</v>
          </cell>
          <cell r="Z171">
            <v>0</v>
          </cell>
          <cell r="AA171">
            <v>0</v>
          </cell>
          <cell r="AB171">
            <v>0</v>
          </cell>
          <cell r="AC171">
            <v>0</v>
          </cell>
          <cell r="AE171">
            <v>0</v>
          </cell>
          <cell r="AF171">
            <v>0</v>
          </cell>
          <cell r="AG171">
            <v>0</v>
          </cell>
          <cell r="AH171">
            <v>0</v>
          </cell>
          <cell r="AI171">
            <v>0</v>
          </cell>
          <cell r="AJ171">
            <v>0</v>
          </cell>
          <cell r="AK171">
            <v>264.8</v>
          </cell>
        </row>
        <row r="172">
          <cell r="F172">
            <v>0</v>
          </cell>
          <cell r="AG172">
            <v>0</v>
          </cell>
          <cell r="AK172">
            <v>0</v>
          </cell>
        </row>
        <row r="173">
          <cell r="AK173">
            <v>0</v>
          </cell>
        </row>
        <row r="174">
          <cell r="F174">
            <v>8992</v>
          </cell>
          <cell r="AK174">
            <v>8992</v>
          </cell>
        </row>
        <row r="175">
          <cell r="F175">
            <v>384</v>
          </cell>
          <cell r="P175">
            <v>726</v>
          </cell>
          <cell r="Q175">
            <v>0</v>
          </cell>
          <cell r="R175">
            <v>0</v>
          </cell>
          <cell r="S175">
            <v>1685</v>
          </cell>
          <cell r="T175">
            <v>625.85363636363627</v>
          </cell>
          <cell r="U175">
            <v>650.41909090909098</v>
          </cell>
          <cell r="V175">
            <v>0</v>
          </cell>
          <cell r="W175">
            <v>0</v>
          </cell>
          <cell r="X175">
            <v>653</v>
          </cell>
          <cell r="AA175">
            <v>0</v>
          </cell>
          <cell r="AB175">
            <v>0</v>
          </cell>
          <cell r="AC175">
            <v>535</v>
          </cell>
          <cell r="AF175">
            <v>1440</v>
          </cell>
          <cell r="AG175">
            <v>1367</v>
          </cell>
          <cell r="AH175">
            <v>73</v>
          </cell>
          <cell r="AJ175">
            <v>0</v>
          </cell>
          <cell r="AK175">
            <v>5684</v>
          </cell>
        </row>
        <row r="176">
          <cell r="F176">
            <v>0</v>
          </cell>
          <cell r="G176">
            <v>0</v>
          </cell>
          <cell r="H176">
            <v>0</v>
          </cell>
          <cell r="P176">
            <v>70</v>
          </cell>
          <cell r="Q176">
            <v>0</v>
          </cell>
          <cell r="R176">
            <v>0</v>
          </cell>
          <cell r="S176">
            <v>408.72727272727275</v>
          </cell>
          <cell r="T176">
            <v>0</v>
          </cell>
          <cell r="U176">
            <v>0</v>
          </cell>
          <cell r="V176">
            <v>0</v>
          </cell>
          <cell r="W176">
            <v>0</v>
          </cell>
          <cell r="X176">
            <v>278.18181818181819</v>
          </cell>
          <cell r="Y176">
            <v>86</v>
          </cell>
          <cell r="Z176">
            <v>192.18181818181819</v>
          </cell>
          <cell r="AA176">
            <v>0</v>
          </cell>
          <cell r="AB176">
            <v>0</v>
          </cell>
          <cell r="AC176">
            <v>203</v>
          </cell>
          <cell r="AD176">
            <v>67</v>
          </cell>
          <cell r="AE176">
            <v>136</v>
          </cell>
          <cell r="AF176">
            <v>121</v>
          </cell>
          <cell r="AG176">
            <v>121</v>
          </cell>
          <cell r="AH176">
            <v>0</v>
          </cell>
        </row>
        <row r="177">
          <cell r="F177">
            <v>18.666666666666664</v>
          </cell>
          <cell r="P177">
            <v>48.800000000000004</v>
          </cell>
          <cell r="Q177">
            <v>0</v>
          </cell>
          <cell r="R177">
            <v>0</v>
          </cell>
          <cell r="S177">
            <v>22.400000000000002</v>
          </cell>
          <cell r="T177">
            <v>16.8</v>
          </cell>
          <cell r="U177">
            <v>0</v>
          </cell>
          <cell r="V177">
            <v>0</v>
          </cell>
          <cell r="W177">
            <v>0</v>
          </cell>
          <cell r="X177">
            <v>791.2</v>
          </cell>
          <cell r="AA177">
            <v>0</v>
          </cell>
          <cell r="AB177">
            <v>0</v>
          </cell>
          <cell r="AC177">
            <v>32.800000000000004</v>
          </cell>
          <cell r="AF177">
            <v>12</v>
          </cell>
          <cell r="AG177">
            <v>11</v>
          </cell>
          <cell r="AH177">
            <v>1</v>
          </cell>
          <cell r="AI177">
            <v>0</v>
          </cell>
          <cell r="AJ177">
            <v>0</v>
          </cell>
          <cell r="AK177">
            <v>2631.5531212121259</v>
          </cell>
        </row>
        <row r="180">
          <cell r="F180">
            <v>1542.6999999999987</v>
          </cell>
          <cell r="P180">
            <v>610.20000000000027</v>
          </cell>
          <cell r="S180">
            <v>3741.1999999999962</v>
          </cell>
          <cell r="X180">
            <v>402.39999999999844</v>
          </cell>
          <cell r="AC180">
            <v>306.40000000000003</v>
          </cell>
          <cell r="AF180">
            <v>1535</v>
          </cell>
          <cell r="AG180">
            <v>1031.8800000000001</v>
          </cell>
          <cell r="AH180">
            <v>503.12</v>
          </cell>
        </row>
        <row r="184">
          <cell r="F184" t="str">
            <v>АПАРАТ ВСЬОГО</v>
          </cell>
          <cell r="G184" t="str">
            <v>АПАРАТ ЕЛЕКТРО</v>
          </cell>
          <cell r="H184" t="str">
            <v>АПАРАТ ТЕПЛО</v>
          </cell>
          <cell r="P184" t="str">
            <v>ККМ</v>
          </cell>
          <cell r="S184" t="str">
            <v>КТМ</v>
          </cell>
          <cell r="X184" t="str">
            <v>ТЕЦ-5 ВСЬОГО</v>
          </cell>
          <cell r="Y184" t="str">
            <v>Е/Е</v>
          </cell>
          <cell r="Z184" t="str">
            <v xml:space="preserve"> Т/Е</v>
          </cell>
          <cell r="AC184" t="str">
            <v>ТЕЦ-6 ВСЬОГО</v>
          </cell>
          <cell r="AD184" t="str">
            <v>Е/Е</v>
          </cell>
          <cell r="AE184" t="str">
            <v xml:space="preserve"> Т/Е</v>
          </cell>
          <cell r="AF184" t="str">
            <v>Е/Е</v>
          </cell>
          <cell r="AG184" t="str">
            <v xml:space="preserve"> Т/Е</v>
          </cell>
          <cell r="AI184" t="str">
            <v xml:space="preserve">ДОП.ВИР. </v>
          </cell>
          <cell r="AJ184" t="str">
            <v>ДОП.ВИР. СТ.ОРГ.</v>
          </cell>
          <cell r="AK184" t="str">
            <v>АК КЕ ВСЬОГО</v>
          </cell>
          <cell r="AL184" t="str">
            <v>Е/Е</v>
          </cell>
        </row>
        <row r="185">
          <cell r="F185" t="str">
            <v>АПАРАТ ВСЬОГО</v>
          </cell>
          <cell r="G185" t="str">
            <v>АПАРАТ ЕЛЕКТРО</v>
          </cell>
          <cell r="H185" t="str">
            <v>АПАРАТ ТЕПЛО</v>
          </cell>
          <cell r="P185" t="str">
            <v>ККМ</v>
          </cell>
          <cell r="S185" t="str">
            <v>КТМ</v>
          </cell>
          <cell r="X185" t="str">
            <v>ТЕЦ-5 ВСЬОГО</v>
          </cell>
          <cell r="Y185" t="str">
            <v>Е/Е</v>
          </cell>
          <cell r="Z185" t="str">
            <v xml:space="preserve"> Т/Е</v>
          </cell>
          <cell r="AC185" t="str">
            <v>ТЕЦ-6 ВСЬОГО</v>
          </cell>
          <cell r="AD185" t="str">
            <v>Е/Е</v>
          </cell>
          <cell r="AE185" t="str">
            <v xml:space="preserve"> Т/Е</v>
          </cell>
          <cell r="AF185" t="str">
            <v>Е/Е</v>
          </cell>
          <cell r="AG185" t="str">
            <v xml:space="preserve"> Т/Е</v>
          </cell>
          <cell r="AJ185" t="str">
            <v>ДОП.ВИР. СТ.ОРГ.</v>
          </cell>
          <cell r="AK185" t="str">
            <v>АК КЕ ВСЬОГО</v>
          </cell>
          <cell r="AL185" t="str">
            <v xml:space="preserve"> Т/Е</v>
          </cell>
        </row>
        <row r="187">
          <cell r="S187">
            <v>97.3</v>
          </cell>
          <cell r="X187">
            <v>89.2</v>
          </cell>
          <cell r="AC187">
            <v>73.2</v>
          </cell>
          <cell r="AK187">
            <v>259.7</v>
          </cell>
        </row>
        <row r="188">
          <cell r="S188">
            <v>101.3</v>
          </cell>
          <cell r="X188">
            <v>116.9</v>
          </cell>
          <cell r="AC188">
            <v>111.7</v>
          </cell>
          <cell r="AK188">
            <v>329.90000000000003</v>
          </cell>
        </row>
        <row r="189">
          <cell r="P189">
            <v>0</v>
          </cell>
          <cell r="S189">
            <v>116</v>
          </cell>
          <cell r="X189">
            <v>133.9</v>
          </cell>
          <cell r="AC189">
            <v>127.8</v>
          </cell>
          <cell r="AK189">
            <v>377.7</v>
          </cell>
        </row>
        <row r="190">
          <cell r="P190">
            <v>0</v>
          </cell>
          <cell r="S190">
            <v>0</v>
          </cell>
          <cell r="X190">
            <v>0</v>
          </cell>
          <cell r="AC190">
            <v>0</v>
          </cell>
          <cell r="AK190">
            <v>194.5</v>
          </cell>
        </row>
        <row r="191">
          <cell r="P191">
            <v>0</v>
          </cell>
          <cell r="S191">
            <v>192.5</v>
          </cell>
          <cell r="X191">
            <v>192.5</v>
          </cell>
          <cell r="AC191">
            <v>192.5</v>
          </cell>
          <cell r="AK191">
            <v>192.5</v>
          </cell>
        </row>
        <row r="192">
          <cell r="S192">
            <v>19500</v>
          </cell>
          <cell r="X192">
            <v>22503</v>
          </cell>
          <cell r="AC192">
            <v>21502</v>
          </cell>
          <cell r="AK192">
            <v>63506</v>
          </cell>
        </row>
        <row r="193">
          <cell r="X193">
            <v>0</v>
          </cell>
          <cell r="AC193">
            <v>0</v>
          </cell>
          <cell r="AK193">
            <v>63505</v>
          </cell>
        </row>
        <row r="194">
          <cell r="X194">
            <v>0</v>
          </cell>
          <cell r="AC194">
            <v>0</v>
          </cell>
          <cell r="AK194">
            <v>0</v>
          </cell>
        </row>
        <row r="195">
          <cell r="X195">
            <v>0</v>
          </cell>
          <cell r="AC195">
            <v>0</v>
          </cell>
          <cell r="AK195">
            <v>0</v>
          </cell>
        </row>
        <row r="196">
          <cell r="X196">
            <v>82.5</v>
          </cell>
          <cell r="AC196">
            <v>82.5</v>
          </cell>
          <cell r="AK196">
            <v>0</v>
          </cell>
        </row>
        <row r="197">
          <cell r="S197">
            <v>0</v>
          </cell>
          <cell r="X197">
            <v>0</v>
          </cell>
          <cell r="AC197">
            <v>0</v>
          </cell>
          <cell r="AK197">
            <v>0</v>
          </cell>
        </row>
        <row r="198">
          <cell r="S198">
            <v>0</v>
          </cell>
          <cell r="X198">
            <v>0</v>
          </cell>
          <cell r="AC198">
            <v>0</v>
          </cell>
          <cell r="AK198">
            <v>0</v>
          </cell>
        </row>
        <row r="199">
          <cell r="X199">
            <v>13.4</v>
          </cell>
          <cell r="AC199">
            <v>16.100000000000001</v>
          </cell>
          <cell r="AK199">
            <v>29.5</v>
          </cell>
        </row>
        <row r="200">
          <cell r="X200">
            <v>4.0999999999999996</v>
          </cell>
          <cell r="AC200">
            <v>4.2</v>
          </cell>
          <cell r="AK200">
            <v>8.3000000000000007</v>
          </cell>
        </row>
        <row r="201">
          <cell r="F201">
            <v>75</v>
          </cell>
          <cell r="P201">
            <v>75</v>
          </cell>
          <cell r="X201">
            <v>5.7</v>
          </cell>
          <cell r="AC201">
            <v>5.9</v>
          </cell>
          <cell r="AJ201">
            <v>0</v>
          </cell>
          <cell r="AK201">
            <v>11.600000000000001</v>
          </cell>
        </row>
        <row r="202">
          <cell r="F202">
            <v>75</v>
          </cell>
          <cell r="S202">
            <v>385</v>
          </cell>
          <cell r="X202">
            <v>385</v>
          </cell>
          <cell r="AC202">
            <v>385</v>
          </cell>
          <cell r="AJ202">
            <v>0</v>
          </cell>
          <cell r="AK202">
            <v>385</v>
          </cell>
        </row>
        <row r="203">
          <cell r="S203">
            <v>601.41999999999996</v>
          </cell>
          <cell r="X203">
            <v>601.41999999999996</v>
          </cell>
          <cell r="AC203">
            <v>601.41999999999996</v>
          </cell>
          <cell r="AK203">
            <v>601.41999999999996</v>
          </cell>
        </row>
        <row r="204">
          <cell r="S204">
            <v>0</v>
          </cell>
          <cell r="X204">
            <v>2466</v>
          </cell>
          <cell r="AC204">
            <v>2526</v>
          </cell>
          <cell r="AK204">
            <v>4992</v>
          </cell>
        </row>
        <row r="205">
          <cell r="S205">
            <v>111.9</v>
          </cell>
          <cell r="X205">
            <v>121</v>
          </cell>
          <cell r="Y205">
            <v>37.5</v>
          </cell>
          <cell r="Z205">
            <v>83.5</v>
          </cell>
          <cell r="AC205">
            <v>106.4</v>
          </cell>
          <cell r="AD205">
            <v>34.799999999999997</v>
          </cell>
          <cell r="AE205">
            <v>71.600000000000009</v>
          </cell>
          <cell r="AK205">
            <v>4992</v>
          </cell>
          <cell r="AL205">
            <v>72.3</v>
          </cell>
        </row>
        <row r="206">
          <cell r="S206">
            <v>116</v>
          </cell>
          <cell r="X206">
            <v>139.6</v>
          </cell>
          <cell r="Y206">
            <v>58</v>
          </cell>
          <cell r="Z206">
            <v>81.600000000000009</v>
          </cell>
          <cell r="AA206">
            <v>14133.90243902439</v>
          </cell>
          <cell r="AC206">
            <v>133.69999999999999</v>
          </cell>
          <cell r="AD206">
            <v>61.1</v>
          </cell>
          <cell r="AE206">
            <v>72.599999999999994</v>
          </cell>
          <cell r="AK206">
            <v>389.3</v>
          </cell>
          <cell r="AL206">
            <v>270.2</v>
          </cell>
        </row>
        <row r="207">
          <cell r="S207">
            <v>19500</v>
          </cell>
          <cell r="X207">
            <v>24969</v>
          </cell>
          <cell r="Y207">
            <v>11255</v>
          </cell>
          <cell r="Z207">
            <v>13714</v>
          </cell>
          <cell r="AA207">
            <v>13714</v>
          </cell>
          <cell r="AC207">
            <v>24028</v>
          </cell>
          <cell r="AD207">
            <v>11813</v>
          </cell>
          <cell r="AE207">
            <v>12215</v>
          </cell>
          <cell r="AI207">
            <v>0</v>
          </cell>
          <cell r="AJ207">
            <v>0</v>
          </cell>
          <cell r="AK207">
            <v>68498</v>
          </cell>
          <cell r="AL207">
            <v>45429</v>
          </cell>
        </row>
        <row r="208">
          <cell r="S208">
            <v>168.1</v>
          </cell>
          <cell r="X208">
            <v>178.86</v>
          </cell>
          <cell r="Y208">
            <v>194.05</v>
          </cell>
          <cell r="Z208">
            <v>168.06</v>
          </cell>
          <cell r="AC208">
            <v>179.72</v>
          </cell>
          <cell r="AD208">
            <v>193.34</v>
          </cell>
          <cell r="AE208">
            <v>168.25</v>
          </cell>
          <cell r="AJ208">
            <v>0</v>
          </cell>
          <cell r="AK208">
            <v>175.95</v>
          </cell>
          <cell r="AL208">
            <v>168.13</v>
          </cell>
        </row>
        <row r="209">
          <cell r="X209">
            <v>22509</v>
          </cell>
          <cell r="AC209">
            <v>20437</v>
          </cell>
          <cell r="AK209">
            <v>61870</v>
          </cell>
          <cell r="AL209" t="e">
            <v>#REF!</v>
          </cell>
        </row>
        <row r="210">
          <cell r="X210">
            <v>24969</v>
          </cell>
          <cell r="AC210">
            <v>24028</v>
          </cell>
          <cell r="AK210">
            <v>68498</v>
          </cell>
          <cell r="AL210" t="e">
            <v>#REF!</v>
          </cell>
        </row>
        <row r="211">
          <cell r="AK211">
            <v>61871</v>
          </cell>
        </row>
        <row r="218">
          <cell r="G218" t="str">
            <v>Б.В.ЯЩЕНКО</v>
          </cell>
        </row>
        <row r="219">
          <cell r="G219" t="str">
            <v>М.В.ТЕРПИЛО</v>
          </cell>
        </row>
        <row r="220">
          <cell r="G220" t="str">
            <v xml:space="preserve">В.І.МИРГОРОДСЬКИЙ                                  </v>
          </cell>
        </row>
        <row r="221">
          <cell r="G221" t="str">
            <v>Б.В.ЯЩЕНКО</v>
          </cell>
        </row>
        <row r="222">
          <cell r="G222" t="str">
            <v>М.В.ТЕРПИЛО</v>
          </cell>
        </row>
        <row r="223">
          <cell r="G223" t="str">
            <v xml:space="preserve">В.І.МИРГОРОДСЬКИЙ                                  </v>
          </cell>
        </row>
        <row r="224">
          <cell r="G224" t="str">
            <v xml:space="preserve">М.І.ШЕВЧЕНКО                                 </v>
          </cell>
        </row>
        <row r="225">
          <cell r="G225" t="str">
            <v>В.Ю.МОНТЬЕВ</v>
          </cell>
        </row>
        <row r="226">
          <cell r="G226" t="str">
            <v xml:space="preserve">О.М.НИКОЛЕНКО      </v>
          </cell>
        </row>
        <row r="242">
          <cell r="AG242" t="str">
            <v xml:space="preserve">         Затверджую</v>
          </cell>
        </row>
        <row r="243">
          <cell r="AG243" t="str">
            <v xml:space="preserve"> Голова правління </v>
          </cell>
        </row>
        <row r="244">
          <cell r="AG244" t="str">
            <v xml:space="preserve">                        І.В.Плачков</v>
          </cell>
        </row>
        <row r="245">
          <cell r="AG245" t="str">
            <v xml:space="preserve">         Затверджую</v>
          </cell>
        </row>
        <row r="246">
          <cell r="AG246" t="str">
            <v xml:space="preserve"> Голова правління </v>
          </cell>
        </row>
        <row r="247">
          <cell r="AG247" t="str">
            <v xml:space="preserve">                        І.В.Плачков</v>
          </cell>
        </row>
        <row r="248">
          <cell r="AG248" t="str">
            <v xml:space="preserve">   "_____" ________2000 р.</v>
          </cell>
        </row>
        <row r="249">
          <cell r="F249" t="str">
            <v>РОЗРАХУНОК ФІНАНСОВИХ ПОТОКІВ НА   березень  2000 року</v>
          </cell>
        </row>
        <row r="250">
          <cell r="F250" t="str">
            <v>ПО ФІЛІАЛАХ АК КИЇВЕНЕРГО</v>
          </cell>
        </row>
        <row r="252">
          <cell r="F252" t="str">
            <v>РОЗРАХУНОК ФІНАНСОВИХ ПОТОКІВ НА   березень  2000 року</v>
          </cell>
        </row>
        <row r="253">
          <cell r="F253" t="str">
            <v>ПО ФІЛІАЛАХ АК КИЇВЕНЕРГО</v>
          </cell>
        </row>
        <row r="255">
          <cell r="AI255" t="str">
            <v>ТИС.ГРН.</v>
          </cell>
          <cell r="AK255" t="str">
            <v>тис.грн.</v>
          </cell>
        </row>
        <row r="256">
          <cell r="F256" t="str">
            <v>ВИКОН.ДИР.</v>
          </cell>
          <cell r="G256" t="str">
            <v>АПАРАТ ЕЛЕКТРО</v>
          </cell>
          <cell r="H256" t="str">
            <v>АПАРАТ ТЕПЛО</v>
          </cell>
          <cell r="P256" t="str">
            <v>КМ</v>
          </cell>
          <cell r="Q256" t="str">
            <v>ТМ</v>
          </cell>
          <cell r="S256" t="str">
            <v>КТМ</v>
          </cell>
          <cell r="T256" t="str">
            <v>ВИРОБН</v>
          </cell>
          <cell r="U256" t="str">
            <v>ПЕРЕД</v>
          </cell>
          <cell r="X256" t="str">
            <v>ТЕЦ-5 ВСЬОГО</v>
          </cell>
          <cell r="Y256" t="str">
            <v>Е/Е</v>
          </cell>
          <cell r="Z256" t="str">
            <v xml:space="preserve"> Т/Е</v>
          </cell>
          <cell r="AC256" t="str">
            <v>ТЕЦ-6 ВСЬОГО</v>
          </cell>
          <cell r="AD256" t="str">
            <v>Е/Е</v>
          </cell>
          <cell r="AE256" t="str">
            <v xml:space="preserve"> Т/Е</v>
          </cell>
          <cell r="AF256" t="str">
            <v>ТРМ ВСЬОГО</v>
          </cell>
          <cell r="AG256" t="str">
            <v>ТРМ  АК КЕ</v>
          </cell>
          <cell r="AH256" t="str">
            <v>ТРМ СТОР</v>
          </cell>
          <cell r="AI256" t="str">
            <v xml:space="preserve">ДОП.ВИР. </v>
          </cell>
          <cell r="AJ256" t="str">
            <v>ДОП.ВИР. СТ.ОРГ.</v>
          </cell>
          <cell r="AK256" t="str">
            <v>АК КЕ осн.вир.</v>
          </cell>
          <cell r="AL256" t="str">
            <v>АК КЕ ВСЬОГО</v>
          </cell>
        </row>
        <row r="257">
          <cell r="F257">
            <v>3213.1666666666652</v>
          </cell>
          <cell r="P257">
            <v>2641.6000000000004</v>
          </cell>
          <cell r="S257">
            <v>8041.218181818178</v>
          </cell>
          <cell r="X257">
            <v>2404.6545454545439</v>
          </cell>
          <cell r="AC257">
            <v>1313.2</v>
          </cell>
          <cell r="AF257">
            <v>3816.2</v>
          </cell>
          <cell r="AG257">
            <v>3162.08</v>
          </cell>
          <cell r="AH257">
            <v>655.12</v>
          </cell>
          <cell r="AJ257">
            <v>7599</v>
          </cell>
          <cell r="AK257">
            <v>22345.506060606054</v>
          </cell>
        </row>
        <row r="258">
          <cell r="AK258" t="str">
            <v>тис.грн.</v>
          </cell>
        </row>
        <row r="259">
          <cell r="F259" t="str">
            <v>ВИКОН.ДИР.</v>
          </cell>
          <cell r="G259" t="str">
            <v>АПАРАТ ЕЛЕКТРО</v>
          </cell>
          <cell r="H259" t="str">
            <v>АПАРАТ ТЕПЛО</v>
          </cell>
          <cell r="P259" t="str">
            <v>КМ</v>
          </cell>
          <cell r="Q259" t="str">
            <v>ТМ</v>
          </cell>
          <cell r="R259">
            <v>0</v>
          </cell>
          <cell r="S259" t="str">
            <v>КТМ</v>
          </cell>
          <cell r="T259" t="str">
            <v>ВИРОБН</v>
          </cell>
          <cell r="U259" t="str">
            <v>ПЕРЕД</v>
          </cell>
          <cell r="V259">
            <v>0</v>
          </cell>
          <cell r="W259">
            <v>0</v>
          </cell>
          <cell r="X259" t="str">
            <v>ТЕЦ-5 ВСЬОГО</v>
          </cell>
          <cell r="Y259" t="str">
            <v>Е/Е</v>
          </cell>
          <cell r="Z259" t="str">
            <v xml:space="preserve"> Т/Е</v>
          </cell>
          <cell r="AA259">
            <v>0</v>
          </cell>
          <cell r="AB259">
            <v>0</v>
          </cell>
          <cell r="AC259" t="str">
            <v>ТЕЦ-6 ВСЬОГО</v>
          </cell>
          <cell r="AD259" t="str">
            <v>Е/Е</v>
          </cell>
          <cell r="AE259" t="str">
            <v xml:space="preserve"> Т/Е</v>
          </cell>
          <cell r="AF259" t="str">
            <v>ТРМ ВСЬОГО</v>
          </cell>
          <cell r="AG259" t="str">
            <v>ТРМ  АК КЕ</v>
          </cell>
          <cell r="AH259" t="str">
            <v>ТРМ СТОР</v>
          </cell>
          <cell r="AI259">
            <v>850.10909090909092</v>
          </cell>
          <cell r="AJ259" t="str">
            <v>ДОП.ВИР. СТ.ОРГ.</v>
          </cell>
          <cell r="AK259" t="str">
            <v>АК КЕ осн.вир.</v>
          </cell>
          <cell r="AL259" t="str">
            <v xml:space="preserve"> Т/Е</v>
          </cell>
        </row>
        <row r="260">
          <cell r="F260">
            <v>0</v>
          </cell>
          <cell r="G260">
            <v>1354</v>
          </cell>
          <cell r="H260">
            <v>2522.6333333333332</v>
          </cell>
          <cell r="P260">
            <v>0</v>
          </cell>
          <cell r="S260">
            <v>0</v>
          </cell>
          <cell r="T260">
            <v>3361.1583636363644</v>
          </cell>
          <cell r="U260">
            <v>392.98709090909097</v>
          </cell>
          <cell r="X260">
            <v>0</v>
          </cell>
          <cell r="Y260">
            <v>342</v>
          </cell>
          <cell r="Z260">
            <v>760.63636363636419</v>
          </cell>
          <cell r="AC260">
            <v>0</v>
          </cell>
          <cell r="AD260">
            <v>31</v>
          </cell>
          <cell r="AE260">
            <v>57</v>
          </cell>
          <cell r="AF260">
            <v>0</v>
          </cell>
          <cell r="AG260">
            <v>0</v>
          </cell>
          <cell r="AH260">
            <v>0</v>
          </cell>
          <cell r="AI260">
            <v>571.20000000000005</v>
          </cell>
          <cell r="AJ260">
            <v>7599</v>
          </cell>
          <cell r="AK260">
            <v>0</v>
          </cell>
        </row>
        <row r="261">
          <cell r="F261">
            <v>92918.818095238108</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K261">
            <v>92918.818095238108</v>
          </cell>
        </row>
        <row r="262">
          <cell r="F262">
            <v>216304</v>
          </cell>
          <cell r="G262" t="e">
            <v>#DIV/0!</v>
          </cell>
          <cell r="H262" t="e">
            <v>#DIV/0!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J262">
            <v>0</v>
          </cell>
          <cell r="AK262">
            <v>212804</v>
          </cell>
          <cell r="AL262">
            <v>0</v>
          </cell>
        </row>
        <row r="263">
          <cell r="F263" t="e">
            <v>#REF!</v>
          </cell>
          <cell r="G263" t="e">
            <v>#DIV/0!</v>
          </cell>
          <cell r="H263" t="e">
            <v>#DIV/0!</v>
          </cell>
          <cell r="P263" t="e">
            <v>#REF!</v>
          </cell>
          <cell r="S263" t="e">
            <v>#REF!</v>
          </cell>
          <cell r="T263">
            <v>0</v>
          </cell>
          <cell r="U263">
            <v>0</v>
          </cell>
          <cell r="X263" t="e">
            <v>#REF!</v>
          </cell>
          <cell r="Y263">
            <v>0</v>
          </cell>
          <cell r="Z263">
            <v>0</v>
          </cell>
          <cell r="AC263" t="e">
            <v>#REF!</v>
          </cell>
          <cell r="AD263">
            <v>0</v>
          </cell>
          <cell r="AE263">
            <v>0</v>
          </cell>
          <cell r="AF263" t="e">
            <v>#REF!</v>
          </cell>
          <cell r="AG263" t="e">
            <v>#REF!</v>
          </cell>
          <cell r="AH263" t="e">
            <v>#REF!</v>
          </cell>
          <cell r="AJ263">
            <v>-2455</v>
          </cell>
          <cell r="AK263" t="e">
            <v>#REF!</v>
          </cell>
          <cell r="AL263" t="e">
            <v>#REF!</v>
          </cell>
        </row>
        <row r="264">
          <cell r="F264" t="e">
            <v>#REF!</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K264" t="e">
            <v>#REF!</v>
          </cell>
        </row>
        <row r="265">
          <cell r="F265">
            <v>0</v>
          </cell>
          <cell r="AK265">
            <v>0</v>
          </cell>
        </row>
        <row r="266">
          <cell r="F266">
            <v>0</v>
          </cell>
          <cell r="AK266">
            <v>0</v>
          </cell>
        </row>
        <row r="267">
          <cell r="F267" t="e">
            <v>#REF!</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K267" t="e">
            <v>#REF!</v>
          </cell>
        </row>
        <row r="268">
          <cell r="F268" t="e">
            <v>#REF!</v>
          </cell>
          <cell r="AK268" t="e">
            <v>#REF!</v>
          </cell>
        </row>
        <row r="269">
          <cell r="F269">
            <v>0</v>
          </cell>
          <cell r="AK269">
            <v>0</v>
          </cell>
        </row>
        <row r="270">
          <cell r="F270">
            <v>0</v>
          </cell>
          <cell r="P270">
            <v>0</v>
          </cell>
          <cell r="S270">
            <v>0</v>
          </cell>
          <cell r="X270">
            <v>0</v>
          </cell>
          <cell r="AC270">
            <v>0</v>
          </cell>
          <cell r="AF270">
            <v>0</v>
          </cell>
          <cell r="AG270">
            <v>0</v>
          </cell>
          <cell r="AH270">
            <v>0</v>
          </cell>
          <cell r="AI270">
            <v>0</v>
          </cell>
          <cell r="AK270">
            <v>0</v>
          </cell>
        </row>
        <row r="271">
          <cell r="F271">
            <v>3500</v>
          </cell>
          <cell r="AK271">
            <v>3500</v>
          </cell>
        </row>
        <row r="272">
          <cell r="F272">
            <v>212804</v>
          </cell>
          <cell r="P272">
            <v>0</v>
          </cell>
          <cell r="S272">
            <v>0</v>
          </cell>
          <cell r="X272">
            <v>0</v>
          </cell>
          <cell r="AC272">
            <v>0</v>
          </cell>
          <cell r="AF272">
            <v>0</v>
          </cell>
          <cell r="AG272">
            <v>0</v>
          </cell>
          <cell r="AH272">
            <v>0</v>
          </cell>
          <cell r="AI272">
            <v>0</v>
          </cell>
          <cell r="AK272">
            <v>212804</v>
          </cell>
        </row>
        <row r="273">
          <cell r="F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K273">
            <v>0</v>
          </cell>
        </row>
        <row r="274">
          <cell r="F274">
            <v>0</v>
          </cell>
          <cell r="P274">
            <v>1120.8</v>
          </cell>
          <cell r="Q274">
            <v>0</v>
          </cell>
          <cell r="R274">
            <v>0</v>
          </cell>
          <cell r="S274">
            <v>5914.6</v>
          </cell>
          <cell r="T274">
            <v>642.65363636363622</v>
          </cell>
          <cell r="U274">
            <v>650.41909090909098</v>
          </cell>
          <cell r="V274">
            <v>0</v>
          </cell>
          <cell r="W274">
            <v>0</v>
          </cell>
          <cell r="X274">
            <v>1624.6</v>
          </cell>
          <cell r="Y274">
            <v>358</v>
          </cell>
          <cell r="Z274">
            <v>794.41818181818189</v>
          </cell>
          <cell r="AA274">
            <v>0</v>
          </cell>
          <cell r="AB274">
            <v>0</v>
          </cell>
          <cell r="AC274">
            <v>742.2</v>
          </cell>
          <cell r="AD274">
            <v>112</v>
          </cell>
          <cell r="AE274">
            <v>231.2</v>
          </cell>
          <cell r="AF274">
            <v>3125</v>
          </cell>
          <cell r="AG274">
            <v>2581.92</v>
          </cell>
          <cell r="AH274">
            <v>543.08000000000004</v>
          </cell>
          <cell r="AI274">
            <v>278.90909090909088</v>
          </cell>
          <cell r="AK274">
            <v>0</v>
          </cell>
        </row>
        <row r="275">
          <cell r="F275">
            <v>0</v>
          </cell>
          <cell r="G275">
            <v>84</v>
          </cell>
          <cell r="H275">
            <v>300</v>
          </cell>
          <cell r="P275">
            <v>0</v>
          </cell>
          <cell r="S275">
            <v>0</v>
          </cell>
          <cell r="T275">
            <v>625.85363636363627</v>
          </cell>
          <cell r="U275">
            <v>650.41909090909098</v>
          </cell>
          <cell r="X275">
            <v>0</v>
          </cell>
          <cell r="Y275">
            <v>117</v>
          </cell>
          <cell r="Z275">
            <v>257.81818181818181</v>
          </cell>
          <cell r="AC275">
            <v>0</v>
          </cell>
          <cell r="AD275">
            <v>108</v>
          </cell>
          <cell r="AE275">
            <v>224</v>
          </cell>
          <cell r="AF275">
            <v>0</v>
          </cell>
          <cell r="AG275">
            <v>0</v>
          </cell>
          <cell r="AH275">
            <v>0</v>
          </cell>
          <cell r="AI275">
            <v>278.90909090909088</v>
          </cell>
          <cell r="AK275">
            <v>0</v>
          </cell>
        </row>
        <row r="276">
          <cell r="F276" t="e">
            <v>#REF!</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K276" t="e">
            <v>#REF!</v>
          </cell>
        </row>
        <row r="277">
          <cell r="F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v>0</v>
          </cell>
          <cell r="AK277" t="e">
            <v>#REF!</v>
          </cell>
        </row>
        <row r="278">
          <cell r="F278">
            <v>0</v>
          </cell>
          <cell r="G278">
            <v>0</v>
          </cell>
          <cell r="H278">
            <v>0</v>
          </cell>
          <cell r="P278">
            <v>0</v>
          </cell>
          <cell r="S278">
            <v>0</v>
          </cell>
          <cell r="T278">
            <v>0</v>
          </cell>
          <cell r="U278">
            <v>0</v>
          </cell>
          <cell r="X278">
            <v>0</v>
          </cell>
          <cell r="Y278">
            <v>0</v>
          </cell>
          <cell r="Z278">
            <v>0</v>
          </cell>
          <cell r="AC278">
            <v>0</v>
          </cell>
          <cell r="AD278">
            <v>0</v>
          </cell>
          <cell r="AE278">
            <v>0</v>
          </cell>
          <cell r="AF278">
            <v>0</v>
          </cell>
          <cell r="AG278">
            <v>0</v>
          </cell>
          <cell r="AH278">
            <v>0</v>
          </cell>
          <cell r="AI278">
            <v>0</v>
          </cell>
          <cell r="AK278">
            <v>0</v>
          </cell>
        </row>
        <row r="279">
          <cell r="F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v>0</v>
          </cell>
          <cell r="AK279" t="e">
            <v>#REF!</v>
          </cell>
        </row>
        <row r="280">
          <cell r="F280" t="e">
            <v>#REF!</v>
          </cell>
          <cell r="P280" t="e">
            <v>#REF!</v>
          </cell>
          <cell r="Q280">
            <v>0</v>
          </cell>
          <cell r="R280">
            <v>0</v>
          </cell>
          <cell r="S280" t="e">
            <v>#REF!</v>
          </cell>
          <cell r="T280">
            <v>0</v>
          </cell>
          <cell r="U280">
            <v>0</v>
          </cell>
          <cell r="V280">
            <v>0</v>
          </cell>
          <cell r="W280">
            <v>0</v>
          </cell>
          <cell r="X280" t="e">
            <v>#REF!</v>
          </cell>
          <cell r="Y280">
            <v>0</v>
          </cell>
          <cell r="Z280">
            <v>0</v>
          </cell>
          <cell r="AA280">
            <v>0</v>
          </cell>
          <cell r="AB280">
            <v>0</v>
          </cell>
          <cell r="AC280" t="e">
            <v>#REF!</v>
          </cell>
          <cell r="AD280">
            <v>0</v>
          </cell>
          <cell r="AE280">
            <v>0</v>
          </cell>
          <cell r="AF280" t="e">
            <v>#REF!</v>
          </cell>
          <cell r="AG280" t="e">
            <v>#REF!</v>
          </cell>
          <cell r="AH280" t="e">
            <v>#REF!</v>
          </cell>
          <cell r="AK280" t="e">
            <v>#REF!</v>
          </cell>
        </row>
        <row r="281">
          <cell r="F281" t="e">
            <v>#REF!</v>
          </cell>
          <cell r="P281" t="e">
            <v>#REF!</v>
          </cell>
          <cell r="S281" t="e">
            <v>#REF!</v>
          </cell>
          <cell r="X281" t="e">
            <v>#REF!</v>
          </cell>
          <cell r="AC281" t="e">
            <v>#REF!</v>
          </cell>
          <cell r="AF281" t="e">
            <v>#REF!</v>
          </cell>
          <cell r="AG281" t="e">
            <v>#REF!</v>
          </cell>
          <cell r="AH281" t="e">
            <v>#REF!</v>
          </cell>
          <cell r="AK281" t="e">
            <v>#REF!</v>
          </cell>
        </row>
        <row r="282">
          <cell r="F282" t="e">
            <v>#REF!</v>
          </cell>
          <cell r="P282" t="e">
            <v>#REF!</v>
          </cell>
          <cell r="Q282">
            <v>0</v>
          </cell>
          <cell r="R282">
            <v>0</v>
          </cell>
          <cell r="S282" t="e">
            <v>#REF!</v>
          </cell>
          <cell r="T282">
            <v>0</v>
          </cell>
          <cell r="U282">
            <v>0</v>
          </cell>
          <cell r="V282">
            <v>0</v>
          </cell>
          <cell r="W282">
            <v>0</v>
          </cell>
          <cell r="X282" t="e">
            <v>#REF!</v>
          </cell>
          <cell r="Y282">
            <v>0</v>
          </cell>
          <cell r="Z282">
            <v>0</v>
          </cell>
          <cell r="AA282">
            <v>0</v>
          </cell>
          <cell r="AB282">
            <v>0</v>
          </cell>
          <cell r="AC282" t="e">
            <v>#REF!</v>
          </cell>
          <cell r="AD282">
            <v>0</v>
          </cell>
          <cell r="AE282">
            <v>0</v>
          </cell>
          <cell r="AF282" t="e">
            <v>#REF!</v>
          </cell>
          <cell r="AG282" t="e">
            <v>#REF!</v>
          </cell>
          <cell r="AH282" t="e">
            <v>#REF!</v>
          </cell>
          <cell r="AI282">
            <v>0</v>
          </cell>
          <cell r="AK282" t="e">
            <v>#REF!</v>
          </cell>
        </row>
        <row r="283">
          <cell r="F283">
            <v>60</v>
          </cell>
          <cell r="P283">
            <v>370</v>
          </cell>
          <cell r="S283">
            <v>480</v>
          </cell>
          <cell r="X283">
            <v>100</v>
          </cell>
          <cell r="AC283">
            <v>100</v>
          </cell>
          <cell r="AF283">
            <v>0</v>
          </cell>
          <cell r="AG283">
            <v>0</v>
          </cell>
          <cell r="AH283">
            <v>0</v>
          </cell>
          <cell r="AI283">
            <v>0</v>
          </cell>
          <cell r="AK283">
            <v>1110</v>
          </cell>
        </row>
        <row r="284">
          <cell r="F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row>
        <row r="285">
          <cell r="F285" t="e">
            <v>#REF!</v>
          </cell>
          <cell r="P285" t="e">
            <v>#REF!</v>
          </cell>
          <cell r="Q285">
            <v>0</v>
          </cell>
          <cell r="R285">
            <v>0</v>
          </cell>
          <cell r="S285" t="e">
            <v>#REF!</v>
          </cell>
          <cell r="T285">
            <v>0</v>
          </cell>
          <cell r="U285">
            <v>0</v>
          </cell>
          <cell r="V285">
            <v>0</v>
          </cell>
          <cell r="W285">
            <v>0</v>
          </cell>
          <cell r="X285" t="e">
            <v>#REF!</v>
          </cell>
          <cell r="Y285">
            <v>0</v>
          </cell>
          <cell r="Z285">
            <v>0</v>
          </cell>
          <cell r="AA285">
            <v>0</v>
          </cell>
          <cell r="AB285">
            <v>0</v>
          </cell>
          <cell r="AC285" t="e">
            <v>#REF!</v>
          </cell>
          <cell r="AD285">
            <v>0</v>
          </cell>
          <cell r="AE285">
            <v>0</v>
          </cell>
          <cell r="AF285" t="e">
            <v>#REF!</v>
          </cell>
          <cell r="AG285" t="e">
            <v>#REF!</v>
          </cell>
          <cell r="AH285" t="e">
            <v>#REF!</v>
          </cell>
          <cell r="AK285" t="e">
            <v>#REF!</v>
          </cell>
        </row>
        <row r="286">
          <cell r="F286" t="e">
            <v>#REF!</v>
          </cell>
          <cell r="P286" t="e">
            <v>#REF!</v>
          </cell>
          <cell r="S286" t="e">
            <v>#REF!</v>
          </cell>
          <cell r="X286" t="e">
            <v>#REF!</v>
          </cell>
          <cell r="AC286" t="e">
            <v>#REF!</v>
          </cell>
          <cell r="AF286" t="e">
            <v>#REF!</v>
          </cell>
          <cell r="AG286" t="e">
            <v>#REF!</v>
          </cell>
          <cell r="AH286" t="e">
            <v>#REF!</v>
          </cell>
          <cell r="AI286">
            <v>0</v>
          </cell>
          <cell r="AK286" t="e">
            <v>#REF!</v>
          </cell>
        </row>
        <row r="287">
          <cell r="F287">
            <v>0</v>
          </cell>
          <cell r="P287">
            <v>0</v>
          </cell>
          <cell r="Q287">
            <v>0</v>
          </cell>
          <cell r="R287">
            <v>0</v>
          </cell>
          <cell r="S287">
            <v>0</v>
          </cell>
          <cell r="T287">
            <v>-642.65363636363622</v>
          </cell>
          <cell r="U287">
            <v>-650.41909090909098</v>
          </cell>
          <cell r="V287">
            <v>0</v>
          </cell>
          <cell r="W287">
            <v>0</v>
          </cell>
          <cell r="X287">
            <v>0</v>
          </cell>
          <cell r="Y287">
            <v>-358</v>
          </cell>
          <cell r="Z287">
            <v>-794.41818181818189</v>
          </cell>
          <cell r="AA287">
            <v>0</v>
          </cell>
          <cell r="AB287">
            <v>0</v>
          </cell>
          <cell r="AC287">
            <v>0</v>
          </cell>
          <cell r="AD287">
            <v>-112</v>
          </cell>
          <cell r="AE287">
            <v>-231.2</v>
          </cell>
          <cell r="AF287">
            <v>0</v>
          </cell>
          <cell r="AG287">
            <v>0</v>
          </cell>
          <cell r="AH287">
            <v>0</v>
          </cell>
          <cell r="AI287">
            <v>-278.90909090909088</v>
          </cell>
          <cell r="AK287">
            <v>0</v>
          </cell>
        </row>
        <row r="288">
          <cell r="AK288">
            <v>0</v>
          </cell>
        </row>
        <row r="289">
          <cell r="F289">
            <v>2621.6333333333337</v>
          </cell>
          <cell r="P289">
            <v>1520.8</v>
          </cell>
          <cell r="Q289">
            <v>0</v>
          </cell>
          <cell r="R289">
            <v>0</v>
          </cell>
          <cell r="S289">
            <v>250</v>
          </cell>
          <cell r="T289">
            <v>0</v>
          </cell>
          <cell r="U289">
            <v>0</v>
          </cell>
          <cell r="V289">
            <v>0</v>
          </cell>
          <cell r="W289">
            <v>0</v>
          </cell>
          <cell r="X289">
            <v>780.05454545454552</v>
          </cell>
          <cell r="Y289">
            <v>0</v>
          </cell>
          <cell r="Z289">
            <v>0</v>
          </cell>
          <cell r="AA289">
            <v>0</v>
          </cell>
          <cell r="AB289">
            <v>0</v>
          </cell>
          <cell r="AC289">
            <v>568.20000000000005</v>
          </cell>
          <cell r="AD289">
            <v>0</v>
          </cell>
          <cell r="AE289">
            <v>0</v>
          </cell>
          <cell r="AF289">
            <v>692.2</v>
          </cell>
          <cell r="AG289">
            <v>580.16000000000008</v>
          </cell>
          <cell r="AH289">
            <v>0</v>
          </cell>
          <cell r="AI289">
            <v>625.6</v>
          </cell>
          <cell r="AK289">
            <v>250</v>
          </cell>
        </row>
        <row r="290">
          <cell r="F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v>118.4</v>
          </cell>
          <cell r="AK290" t="e">
            <v>#REF!</v>
          </cell>
        </row>
        <row r="291">
          <cell r="F291">
            <v>583.6</v>
          </cell>
          <cell r="P291">
            <v>564.4</v>
          </cell>
          <cell r="Q291">
            <v>0</v>
          </cell>
          <cell r="R291">
            <v>0</v>
          </cell>
          <cell r="S291">
            <v>834.41818181818189</v>
          </cell>
          <cell r="T291">
            <v>0</v>
          </cell>
          <cell r="U291">
            <v>0</v>
          </cell>
          <cell r="V291">
            <v>0</v>
          </cell>
          <cell r="W291">
            <v>0</v>
          </cell>
          <cell r="X291">
            <v>281.85454545454542</v>
          </cell>
          <cell r="Y291">
            <v>0</v>
          </cell>
          <cell r="Z291">
            <v>0</v>
          </cell>
          <cell r="AA291">
            <v>0</v>
          </cell>
          <cell r="AB291">
            <v>0</v>
          </cell>
          <cell r="AC291">
            <v>236.8</v>
          </cell>
          <cell r="AD291">
            <v>0</v>
          </cell>
          <cell r="AE291">
            <v>0</v>
          </cell>
          <cell r="AF291">
            <v>329</v>
          </cell>
          <cell r="AG291">
            <v>329</v>
          </cell>
          <cell r="AH291">
            <v>0</v>
          </cell>
          <cell r="AI291">
            <v>0</v>
          </cell>
          <cell r="AK291">
            <v>0</v>
          </cell>
        </row>
        <row r="292">
          <cell r="F292" t="e">
            <v>#REF!</v>
          </cell>
          <cell r="P292" t="e">
            <v>#REF!</v>
          </cell>
          <cell r="Q292">
            <v>0</v>
          </cell>
          <cell r="R292">
            <v>0</v>
          </cell>
          <cell r="S292" t="e">
            <v>#REF!</v>
          </cell>
          <cell r="T292">
            <v>0</v>
          </cell>
          <cell r="U292">
            <v>0</v>
          </cell>
          <cell r="V292">
            <v>0</v>
          </cell>
          <cell r="W292">
            <v>0</v>
          </cell>
          <cell r="X292" t="e">
            <v>#REF!</v>
          </cell>
          <cell r="Y292">
            <v>0</v>
          </cell>
          <cell r="Z292">
            <v>0</v>
          </cell>
          <cell r="AA292">
            <v>0</v>
          </cell>
          <cell r="AB292">
            <v>0</v>
          </cell>
          <cell r="AC292" t="e">
            <v>#REF!</v>
          </cell>
          <cell r="AD292">
            <v>0</v>
          </cell>
          <cell r="AE292">
            <v>0</v>
          </cell>
          <cell r="AF292" t="e">
            <v>#REF!</v>
          </cell>
          <cell r="AG292" t="e">
            <v>#REF!</v>
          </cell>
          <cell r="AH292" t="e">
            <v>#REF!</v>
          </cell>
          <cell r="AI292">
            <v>0</v>
          </cell>
          <cell r="AK292" t="e">
            <v>#REF!</v>
          </cell>
        </row>
        <row r="293">
          <cell r="F293">
            <v>0</v>
          </cell>
          <cell r="P293">
            <v>-370</v>
          </cell>
          <cell r="S293">
            <v>-730</v>
          </cell>
          <cell r="X293">
            <v>-100</v>
          </cell>
          <cell r="AC293">
            <v>-100</v>
          </cell>
          <cell r="AF293">
            <v>0</v>
          </cell>
          <cell r="AG293">
            <v>0</v>
          </cell>
          <cell r="AH293">
            <v>0</v>
          </cell>
          <cell r="AI293">
            <v>0</v>
          </cell>
          <cell r="AK293">
            <v>-1300</v>
          </cell>
        </row>
        <row r="294">
          <cell r="F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507.20000000000005</v>
          </cell>
          <cell r="AK294">
            <v>0</v>
          </cell>
        </row>
        <row r="295">
          <cell r="F295">
            <v>0</v>
          </cell>
          <cell r="P295">
            <v>0</v>
          </cell>
          <cell r="S295">
            <v>0</v>
          </cell>
          <cell r="X295">
            <v>0</v>
          </cell>
          <cell r="AC295">
            <v>0</v>
          </cell>
          <cell r="AF295">
            <v>0</v>
          </cell>
          <cell r="AG295">
            <v>0</v>
          </cell>
          <cell r="AH295">
            <v>0</v>
          </cell>
          <cell r="AI295">
            <v>0</v>
          </cell>
          <cell r="AK295">
            <v>0</v>
          </cell>
        </row>
        <row r="296">
          <cell r="F296">
            <v>0</v>
          </cell>
          <cell r="P296">
            <v>0</v>
          </cell>
          <cell r="S296">
            <v>0</v>
          </cell>
          <cell r="X296">
            <v>0</v>
          </cell>
          <cell r="AC296">
            <v>0</v>
          </cell>
          <cell r="AF296">
            <v>0</v>
          </cell>
          <cell r="AG296">
            <v>0</v>
          </cell>
          <cell r="AH296">
            <v>0</v>
          </cell>
          <cell r="AI296">
            <v>0</v>
          </cell>
          <cell r="AK296">
            <v>0</v>
          </cell>
        </row>
        <row r="297">
          <cell r="F297" t="e">
            <v>#REF!</v>
          </cell>
          <cell r="P297" t="e">
            <v>#REF!</v>
          </cell>
          <cell r="Q297">
            <v>0</v>
          </cell>
          <cell r="R297">
            <v>0</v>
          </cell>
          <cell r="S297" t="e">
            <v>#REF!</v>
          </cell>
          <cell r="T297">
            <v>0</v>
          </cell>
          <cell r="U297">
            <v>0</v>
          </cell>
          <cell r="V297">
            <v>0</v>
          </cell>
          <cell r="W297">
            <v>0</v>
          </cell>
          <cell r="X297" t="e">
            <v>#REF!</v>
          </cell>
          <cell r="Y297">
            <v>0</v>
          </cell>
          <cell r="Z297">
            <v>0</v>
          </cell>
          <cell r="AA297">
            <v>0</v>
          </cell>
          <cell r="AB297">
            <v>0</v>
          </cell>
          <cell r="AC297" t="e">
            <v>#REF!</v>
          </cell>
          <cell r="AD297">
            <v>0</v>
          </cell>
          <cell r="AE297">
            <v>0</v>
          </cell>
          <cell r="AF297" t="e">
            <v>#REF!</v>
          </cell>
          <cell r="AG297" t="e">
            <v>#REF!</v>
          </cell>
          <cell r="AH297" t="e">
            <v>#REF!</v>
          </cell>
          <cell r="AI297">
            <v>507.20000000000005</v>
          </cell>
          <cell r="AK297" t="e">
            <v>#REF!</v>
          </cell>
        </row>
        <row r="298">
          <cell r="F298" t="e">
            <v>#REF!</v>
          </cell>
          <cell r="P298" t="e">
            <v>#REF!</v>
          </cell>
          <cell r="S298" t="e">
            <v>#REF!</v>
          </cell>
          <cell r="X298" t="e">
            <v>#REF!</v>
          </cell>
          <cell r="AC298" t="e">
            <v>#REF!</v>
          </cell>
          <cell r="AF298" t="e">
            <v>#REF!</v>
          </cell>
          <cell r="AG298" t="e">
            <v>#REF!</v>
          </cell>
          <cell r="AH298" t="e">
            <v>#REF!</v>
          </cell>
          <cell r="AI298">
            <v>0</v>
          </cell>
          <cell r="AK298" t="e">
            <v>#REF!</v>
          </cell>
        </row>
        <row r="299">
          <cell r="F299" t="e">
            <v>#REF!</v>
          </cell>
          <cell r="P299" t="e">
            <v>#REF!</v>
          </cell>
          <cell r="S299" t="e">
            <v>#REF!</v>
          </cell>
          <cell r="X299" t="e">
            <v>#REF!</v>
          </cell>
          <cell r="AC299" t="e">
            <v>#REF!</v>
          </cell>
          <cell r="AF299" t="e">
            <v>#REF!</v>
          </cell>
          <cell r="AG299" t="e">
            <v>#REF!</v>
          </cell>
          <cell r="AH299" t="e">
            <v>#REF!</v>
          </cell>
          <cell r="AI299">
            <v>0</v>
          </cell>
          <cell r="AK299" t="e">
            <v>#REF!</v>
          </cell>
        </row>
        <row r="300">
          <cell r="F300">
            <v>0</v>
          </cell>
          <cell r="P300">
            <v>0</v>
          </cell>
          <cell r="Q300">
            <v>0</v>
          </cell>
          <cell r="R300">
            <v>0</v>
          </cell>
          <cell r="S300">
            <v>0</v>
          </cell>
          <cell r="T300">
            <v>-642.65363636363622</v>
          </cell>
          <cell r="U300">
            <v>-650.41909090909098</v>
          </cell>
          <cell r="V300">
            <v>0</v>
          </cell>
          <cell r="W300">
            <v>0</v>
          </cell>
          <cell r="X300">
            <v>0</v>
          </cell>
          <cell r="Y300">
            <v>-358</v>
          </cell>
          <cell r="Z300">
            <v>-794.41818181818189</v>
          </cell>
          <cell r="AA300">
            <v>0</v>
          </cell>
          <cell r="AB300">
            <v>0</v>
          </cell>
          <cell r="AC300">
            <v>0</v>
          </cell>
          <cell r="AD300">
            <v>-112</v>
          </cell>
          <cell r="AE300">
            <v>-231.2</v>
          </cell>
          <cell r="AF300">
            <v>0</v>
          </cell>
          <cell r="AG300">
            <v>0</v>
          </cell>
          <cell r="AH300">
            <v>0</v>
          </cell>
          <cell r="AI300">
            <v>-278.90909090909088</v>
          </cell>
          <cell r="AK300">
            <v>0</v>
          </cell>
        </row>
        <row r="301">
          <cell r="P301">
            <v>0</v>
          </cell>
          <cell r="AF301">
            <v>0</v>
          </cell>
          <cell r="AG301">
            <v>0</v>
          </cell>
          <cell r="AH301">
            <v>0</v>
          </cell>
          <cell r="AK301">
            <v>0</v>
          </cell>
        </row>
        <row r="302">
          <cell r="F302">
            <v>0</v>
          </cell>
          <cell r="P302">
            <v>0</v>
          </cell>
          <cell r="S302">
            <v>0</v>
          </cell>
          <cell r="X302">
            <v>0</v>
          </cell>
          <cell r="AC302">
            <v>0</v>
          </cell>
          <cell r="AF302">
            <v>0</v>
          </cell>
          <cell r="AG302">
            <v>0</v>
          </cell>
          <cell r="AH302">
            <v>0</v>
          </cell>
          <cell r="AK302">
            <v>0</v>
          </cell>
        </row>
        <row r="303">
          <cell r="F303" t="e">
            <v>#REF!</v>
          </cell>
          <cell r="G303">
            <v>0</v>
          </cell>
          <cell r="H303">
            <v>0</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K303" t="e">
            <v>#REF!</v>
          </cell>
        </row>
        <row r="304">
          <cell r="F304">
            <v>0</v>
          </cell>
          <cell r="AH304">
            <v>191</v>
          </cell>
          <cell r="AK304">
            <v>0</v>
          </cell>
        </row>
        <row r="305">
          <cell r="F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K305">
            <v>0</v>
          </cell>
        </row>
        <row r="306">
          <cell r="F306" t="e">
            <v>#REF!</v>
          </cell>
          <cell r="G306">
            <v>0</v>
          </cell>
          <cell r="H306">
            <v>0</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F306" t="e">
            <v>#REF!</v>
          </cell>
          <cell r="AG306" t="e">
            <v>#REF!</v>
          </cell>
          <cell r="AH306" t="e">
            <v>#REF!</v>
          </cell>
          <cell r="AI306">
            <v>0</v>
          </cell>
          <cell r="AK306" t="e">
            <v>#REF!</v>
          </cell>
        </row>
        <row r="307">
          <cell r="F307">
            <v>0</v>
          </cell>
          <cell r="AK307">
            <v>0</v>
          </cell>
        </row>
        <row r="308">
          <cell r="F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-278.90909090909088</v>
          </cell>
          <cell r="AK308">
            <v>0</v>
          </cell>
        </row>
        <row r="309">
          <cell r="F309">
            <v>0</v>
          </cell>
          <cell r="P309">
            <v>0</v>
          </cell>
          <cell r="S309">
            <v>0</v>
          </cell>
          <cell r="X309">
            <v>0</v>
          </cell>
          <cell r="AC309">
            <v>0</v>
          </cell>
          <cell r="AF309">
            <v>0</v>
          </cell>
          <cell r="AG309">
            <v>0</v>
          </cell>
          <cell r="AH309">
            <v>0</v>
          </cell>
          <cell r="AK309">
            <v>0</v>
          </cell>
        </row>
        <row r="310">
          <cell r="P310">
            <v>0</v>
          </cell>
          <cell r="AK310">
            <v>0</v>
          </cell>
        </row>
        <row r="311">
          <cell r="F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K311" t="e">
            <v>#REF!</v>
          </cell>
        </row>
        <row r="312">
          <cell r="F312">
            <v>8992</v>
          </cell>
          <cell r="AK312">
            <v>0</v>
          </cell>
        </row>
        <row r="313">
          <cell r="P313">
            <v>0</v>
          </cell>
          <cell r="S313">
            <v>0</v>
          </cell>
          <cell r="AK313">
            <v>0</v>
          </cell>
        </row>
        <row r="314">
          <cell r="F314">
            <v>0</v>
          </cell>
          <cell r="S314">
            <v>0</v>
          </cell>
          <cell r="AK314">
            <v>0</v>
          </cell>
        </row>
        <row r="315">
          <cell r="F315">
            <v>0</v>
          </cell>
          <cell r="AK315">
            <v>0</v>
          </cell>
        </row>
        <row r="316">
          <cell r="S316">
            <v>0</v>
          </cell>
        </row>
        <row r="317">
          <cell r="F317">
            <v>0</v>
          </cell>
          <cell r="AK317">
            <v>0</v>
          </cell>
        </row>
        <row r="318">
          <cell r="S318">
            <v>0</v>
          </cell>
          <cell r="AK318">
            <v>0</v>
          </cell>
        </row>
        <row r="319">
          <cell r="F319">
            <v>94697.184761904777</v>
          </cell>
          <cell r="P319">
            <v>1520.8000000000004</v>
          </cell>
          <cell r="Q319">
            <v>0</v>
          </cell>
          <cell r="R319">
            <v>0</v>
          </cell>
          <cell r="S319">
            <v>2126.6181818181776</v>
          </cell>
          <cell r="T319">
            <v>-642.65363636363622</v>
          </cell>
          <cell r="U319">
            <v>-650.41909090909098</v>
          </cell>
          <cell r="V319">
            <v>0</v>
          </cell>
          <cell r="W319">
            <v>0</v>
          </cell>
          <cell r="X319">
            <v>780.05454545454404</v>
          </cell>
          <cell r="Y319">
            <v>-358</v>
          </cell>
          <cell r="Z319">
            <v>-794.41818181818189</v>
          </cell>
          <cell r="AA319">
            <v>0</v>
          </cell>
          <cell r="AB319">
            <v>0</v>
          </cell>
          <cell r="AC319">
            <v>571</v>
          </cell>
          <cell r="AD319">
            <v>-112</v>
          </cell>
          <cell r="AE319">
            <v>-231.2</v>
          </cell>
          <cell r="AF319">
            <v>691.19999999999982</v>
          </cell>
          <cell r="AG319">
            <v>388.15999999999985</v>
          </cell>
          <cell r="AH319">
            <v>303.03999999999996</v>
          </cell>
          <cell r="AI319">
            <v>-278.90909090909088</v>
          </cell>
          <cell r="AK319">
            <v>100570.65748917751</v>
          </cell>
        </row>
        <row r="320">
          <cell r="AK320">
            <v>0</v>
          </cell>
        </row>
        <row r="321">
          <cell r="S321">
            <v>0</v>
          </cell>
        </row>
        <row r="322">
          <cell r="F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K322" t="e">
            <v>#REF!</v>
          </cell>
        </row>
        <row r="328">
          <cell r="AJ328">
            <v>2455</v>
          </cell>
          <cell r="AK328">
            <v>5757</v>
          </cell>
        </row>
        <row r="329">
          <cell r="F329">
            <v>103</v>
          </cell>
          <cell r="P329">
            <v>198</v>
          </cell>
          <cell r="S329">
            <v>460</v>
          </cell>
          <cell r="X329">
            <v>178</v>
          </cell>
          <cell r="AC329">
            <v>146</v>
          </cell>
          <cell r="AF329">
            <v>393</v>
          </cell>
          <cell r="AG329">
            <v>373</v>
          </cell>
          <cell r="AH329">
            <v>20</v>
          </cell>
          <cell r="AI329">
            <v>76</v>
          </cell>
          <cell r="AK329">
            <v>1570</v>
          </cell>
        </row>
        <row r="330">
          <cell r="AJ330">
            <v>36</v>
          </cell>
          <cell r="AK330">
            <v>10408.151428571429</v>
          </cell>
        </row>
        <row r="331">
          <cell r="AJ331">
            <v>2455</v>
          </cell>
          <cell r="AK331">
            <v>0</v>
          </cell>
          <cell r="AL331">
            <v>0</v>
          </cell>
        </row>
        <row r="332">
          <cell r="F332">
            <v>0</v>
          </cell>
          <cell r="P332">
            <v>0</v>
          </cell>
          <cell r="S332">
            <v>0</v>
          </cell>
          <cell r="X332">
            <v>0</v>
          </cell>
          <cell r="AC332">
            <v>0</v>
          </cell>
          <cell r="AF332">
            <v>0</v>
          </cell>
          <cell r="AG332">
            <v>0</v>
          </cell>
          <cell r="AH332">
            <v>0</v>
          </cell>
          <cell r="AJ332">
            <v>36</v>
          </cell>
          <cell r="AK332">
            <v>0</v>
          </cell>
          <cell r="AL332">
            <v>0</v>
          </cell>
        </row>
        <row r="333">
          <cell r="AJ333">
            <v>36</v>
          </cell>
          <cell r="AK333" t="e">
            <v>#REF!</v>
          </cell>
          <cell r="AL333" t="e">
            <v>#REF!</v>
          </cell>
        </row>
        <row r="334">
          <cell r="AK334" t="e">
            <v>#REF!</v>
          </cell>
          <cell r="AL334" t="e">
            <v>#REF!</v>
          </cell>
        </row>
        <row r="335">
          <cell r="AJ335">
            <v>36</v>
          </cell>
          <cell r="AK335">
            <v>0</v>
          </cell>
          <cell r="AL335">
            <v>0</v>
          </cell>
        </row>
        <row r="336">
          <cell r="AK336">
            <v>0</v>
          </cell>
          <cell r="AL336">
            <v>0</v>
          </cell>
        </row>
        <row r="337">
          <cell r="AK337">
            <v>3500</v>
          </cell>
          <cell r="AL337">
            <v>3500</v>
          </cell>
        </row>
        <row r="338">
          <cell r="AK338">
            <v>212804</v>
          </cell>
        </row>
        <row r="339">
          <cell r="AK339">
            <v>0</v>
          </cell>
          <cell r="AL339">
            <v>0</v>
          </cell>
        </row>
        <row r="340">
          <cell r="AK340">
            <v>0</v>
          </cell>
        </row>
        <row r="341">
          <cell r="AK341">
            <v>0</v>
          </cell>
          <cell r="AL341">
            <v>0</v>
          </cell>
        </row>
        <row r="342">
          <cell r="AK342">
            <v>-1300</v>
          </cell>
          <cell r="AL342">
            <v>-1300</v>
          </cell>
        </row>
        <row r="343">
          <cell r="AK343">
            <v>0</v>
          </cell>
          <cell r="AL343">
            <v>0</v>
          </cell>
        </row>
        <row r="344">
          <cell r="AK344">
            <v>0</v>
          </cell>
          <cell r="AL344">
            <v>0</v>
          </cell>
        </row>
        <row r="345">
          <cell r="AK345">
            <v>0</v>
          </cell>
          <cell r="AL345">
            <v>0</v>
          </cell>
        </row>
        <row r="346">
          <cell r="AK346">
            <v>0</v>
          </cell>
          <cell r="AL346">
            <v>0</v>
          </cell>
        </row>
        <row r="347">
          <cell r="AK347" t="e">
            <v>#REF!</v>
          </cell>
          <cell r="AL347" t="e">
            <v>#REF!</v>
          </cell>
        </row>
        <row r="348">
          <cell r="AK348" t="e">
            <v>#REF!</v>
          </cell>
          <cell r="AL348" t="e">
            <v>#REF!</v>
          </cell>
        </row>
        <row r="349">
          <cell r="AK349" t="e">
            <v>#REF!</v>
          </cell>
          <cell r="AL349" t="e">
            <v>#REF!</v>
          </cell>
        </row>
        <row r="350">
          <cell r="AK350">
            <v>1110</v>
          </cell>
        </row>
        <row r="351">
          <cell r="AK351">
            <v>0</v>
          </cell>
        </row>
        <row r="352">
          <cell r="P352">
            <v>225</v>
          </cell>
          <cell r="S352">
            <v>296</v>
          </cell>
          <cell r="X352">
            <v>56</v>
          </cell>
          <cell r="AC352">
            <v>95</v>
          </cell>
          <cell r="AF352">
            <v>317.8</v>
          </cell>
          <cell r="AG352">
            <v>317.8</v>
          </cell>
          <cell r="AH352">
            <v>0</v>
          </cell>
          <cell r="AK352">
            <v>0</v>
          </cell>
          <cell r="AL352">
            <v>0</v>
          </cell>
        </row>
        <row r="353">
          <cell r="AK353" t="e">
            <v>#REF!</v>
          </cell>
          <cell r="AL353" t="e">
            <v>#REF!</v>
          </cell>
        </row>
        <row r="354">
          <cell r="F354">
            <v>0</v>
          </cell>
          <cell r="P354">
            <v>0</v>
          </cell>
          <cell r="S354">
            <v>0</v>
          </cell>
          <cell r="X354">
            <v>0</v>
          </cell>
          <cell r="AC354">
            <v>0</v>
          </cell>
          <cell r="AF354">
            <v>0</v>
          </cell>
          <cell r="AG354">
            <v>0</v>
          </cell>
          <cell r="AH354">
            <v>0</v>
          </cell>
          <cell r="AI354">
            <v>0</v>
          </cell>
          <cell r="AK354">
            <v>0</v>
          </cell>
          <cell r="AL354">
            <v>0</v>
          </cell>
        </row>
        <row r="355">
          <cell r="P355">
            <v>225</v>
          </cell>
          <cell r="S355">
            <v>296</v>
          </cell>
          <cell r="X355">
            <v>56</v>
          </cell>
          <cell r="AC355">
            <v>0</v>
          </cell>
          <cell r="AF355">
            <v>0</v>
          </cell>
          <cell r="AG355">
            <v>0</v>
          </cell>
          <cell r="AH355">
            <v>0</v>
          </cell>
          <cell r="AK355">
            <v>577</v>
          </cell>
        </row>
        <row r="356">
          <cell r="AK356">
            <v>0</v>
          </cell>
        </row>
        <row r="357">
          <cell r="F357">
            <v>0</v>
          </cell>
          <cell r="P357">
            <v>0</v>
          </cell>
          <cell r="S357">
            <v>0</v>
          </cell>
          <cell r="X357">
            <v>0</v>
          </cell>
          <cell r="AC357">
            <v>0</v>
          </cell>
          <cell r="AF357">
            <v>0</v>
          </cell>
          <cell r="AG357">
            <v>0</v>
          </cell>
          <cell r="AH357">
            <v>0</v>
          </cell>
          <cell r="AK357">
            <v>0</v>
          </cell>
          <cell r="AL357">
            <v>0</v>
          </cell>
        </row>
        <row r="358">
          <cell r="AJ358">
            <v>-2491</v>
          </cell>
          <cell r="AK358">
            <v>0</v>
          </cell>
          <cell r="AL358">
            <v>0</v>
          </cell>
        </row>
        <row r="359">
          <cell r="AK359">
            <v>0</v>
          </cell>
          <cell r="AL359">
            <v>0</v>
          </cell>
        </row>
        <row r="360">
          <cell r="AK360">
            <v>0</v>
          </cell>
          <cell r="AL360">
            <v>0</v>
          </cell>
        </row>
        <row r="361">
          <cell r="AJ361">
            <v>-2491</v>
          </cell>
          <cell r="AK361" t="e">
            <v>#REF!</v>
          </cell>
          <cell r="AL361" t="e">
            <v>#REF!</v>
          </cell>
        </row>
        <row r="362">
          <cell r="F362">
            <v>0</v>
          </cell>
          <cell r="P362">
            <v>-41.200000000000045</v>
          </cell>
          <cell r="S362">
            <v>-70.599999999999909</v>
          </cell>
          <cell r="T362">
            <v>207.20000000000002</v>
          </cell>
          <cell r="U362">
            <v>1087.8</v>
          </cell>
          <cell r="X362">
            <v>576.79999999999995</v>
          </cell>
          <cell r="Y362">
            <v>233</v>
          </cell>
          <cell r="Z362">
            <v>519</v>
          </cell>
          <cell r="AC362">
            <v>574.79999999999995</v>
          </cell>
          <cell r="AD362">
            <v>240</v>
          </cell>
          <cell r="AE362">
            <v>494</v>
          </cell>
          <cell r="AF362">
            <v>108.80000000000001</v>
          </cell>
          <cell r="AG362">
            <v>170.8</v>
          </cell>
          <cell r="AH362">
            <v>-62</v>
          </cell>
          <cell r="AI362">
            <v>0</v>
          </cell>
          <cell r="AK362" t="e">
            <v>#REF!</v>
          </cell>
        </row>
        <row r="363">
          <cell r="AK363" t="e">
            <v>#REF!</v>
          </cell>
        </row>
        <row r="364">
          <cell r="AK364">
            <v>0</v>
          </cell>
        </row>
        <row r="365">
          <cell r="F365">
            <v>0</v>
          </cell>
          <cell r="P365">
            <v>0</v>
          </cell>
          <cell r="S365">
            <v>0</v>
          </cell>
          <cell r="T365">
            <v>0</v>
          </cell>
          <cell r="U365">
            <v>0</v>
          </cell>
          <cell r="X365">
            <v>0</v>
          </cell>
          <cell r="Y365">
            <v>0</v>
          </cell>
          <cell r="Z365">
            <v>0</v>
          </cell>
          <cell r="AC365">
            <v>0</v>
          </cell>
          <cell r="AD365">
            <v>0</v>
          </cell>
          <cell r="AE365">
            <v>0</v>
          </cell>
          <cell r="AF365">
            <v>0</v>
          </cell>
          <cell r="AG365">
            <v>0</v>
          </cell>
          <cell r="AH365">
            <v>0</v>
          </cell>
          <cell r="AK365">
            <v>0</v>
          </cell>
          <cell r="AL365">
            <v>0</v>
          </cell>
        </row>
        <row r="371">
          <cell r="F371">
            <v>-4642</v>
          </cell>
        </row>
        <row r="374">
          <cell r="F374">
            <v>0</v>
          </cell>
        </row>
        <row r="383">
          <cell r="F383" t="str">
            <v>лютий</v>
          </cell>
          <cell r="P383" t="str">
            <v>лютий</v>
          </cell>
          <cell r="X383" t="str">
            <v>лютий</v>
          </cell>
          <cell r="AC383" t="str">
            <v>лютий</v>
          </cell>
        </row>
        <row r="384">
          <cell r="F384" t="str">
            <v>АППАРАТ</v>
          </cell>
          <cell r="P384" t="str">
            <v>ККМ</v>
          </cell>
          <cell r="X384" t="str">
            <v>ТЕЦ5</v>
          </cell>
          <cell r="AC384" t="str">
            <v>ТЕЦ6</v>
          </cell>
          <cell r="AK384" t="str">
            <v>АК "КЕ"</v>
          </cell>
          <cell r="AL384" t="str">
            <v>Е/Е</v>
          </cell>
        </row>
        <row r="385">
          <cell r="F385" t="str">
            <v>ПЛАН</v>
          </cell>
          <cell r="P385" t="str">
            <v>ПЛАН</v>
          </cell>
          <cell r="X385" t="str">
            <v>ПЛАН</v>
          </cell>
          <cell r="AC385" t="str">
            <v>ПЛАН</v>
          </cell>
          <cell r="AK385" t="str">
            <v>ПЛАН</v>
          </cell>
          <cell r="AL385" t="str">
            <v>ПЛАН</v>
          </cell>
        </row>
        <row r="386">
          <cell r="F386" t="str">
            <v>лютий</v>
          </cell>
          <cell r="G386">
            <v>35</v>
          </cell>
          <cell r="H386">
            <v>35</v>
          </cell>
          <cell r="P386" t="str">
            <v>лютий</v>
          </cell>
          <cell r="S386">
            <v>14.333333333333332</v>
          </cell>
          <cell r="X386" t="str">
            <v>лютий</v>
          </cell>
          <cell r="Y386">
            <v>56</v>
          </cell>
          <cell r="Z386">
            <v>56</v>
          </cell>
          <cell r="AC386" t="str">
            <v>лютий</v>
          </cell>
          <cell r="AD386">
            <v>106</v>
          </cell>
          <cell r="AE386">
            <v>105</v>
          </cell>
          <cell r="AK386">
            <v>735.30000000000018</v>
          </cell>
          <cell r="AL386">
            <v>305.73333333333335</v>
          </cell>
        </row>
        <row r="387">
          <cell r="F387" t="str">
            <v>АППАРАТ</v>
          </cell>
          <cell r="G387">
            <v>6</v>
          </cell>
          <cell r="P387" t="str">
            <v>ККМ</v>
          </cell>
          <cell r="X387" t="str">
            <v>ТЕЦ5</v>
          </cell>
          <cell r="Y387">
            <v>0</v>
          </cell>
          <cell r="AC387" t="str">
            <v>ТЕЦ6</v>
          </cell>
          <cell r="AD387">
            <v>1</v>
          </cell>
          <cell r="AK387" t="str">
            <v>АК "КЕ"</v>
          </cell>
          <cell r="AL387">
            <v>10</v>
          </cell>
        </row>
        <row r="388">
          <cell r="F388" t="str">
            <v>ПЛАН</v>
          </cell>
          <cell r="G388">
            <v>0</v>
          </cell>
          <cell r="P388" t="str">
            <v>ПЛАН</v>
          </cell>
          <cell r="X388" t="str">
            <v>ПЛАН</v>
          </cell>
          <cell r="Y388">
            <v>45</v>
          </cell>
          <cell r="AC388" t="str">
            <v>ПЛАН</v>
          </cell>
          <cell r="AD388">
            <v>92</v>
          </cell>
          <cell r="AK388" t="str">
            <v>ПЛАН</v>
          </cell>
          <cell r="AL388">
            <v>137.66666666666666</v>
          </cell>
        </row>
        <row r="389">
          <cell r="F389">
            <v>164.3</v>
          </cell>
          <cell r="G389" t="e">
            <v>#REF!</v>
          </cell>
          <cell r="H389" t="e">
            <v>#REF!</v>
          </cell>
          <cell r="P389">
            <v>14.333333333333332</v>
          </cell>
          <cell r="S389">
            <v>14.333333333333332</v>
          </cell>
          <cell r="X389">
            <v>182</v>
          </cell>
          <cell r="Y389">
            <v>76</v>
          </cell>
          <cell r="Z389">
            <v>76</v>
          </cell>
          <cell r="AC389">
            <v>323.66666666666674</v>
          </cell>
          <cell r="AD389">
            <v>148</v>
          </cell>
          <cell r="AE389">
            <v>147</v>
          </cell>
          <cell r="AK389">
            <v>735.30000000000018</v>
          </cell>
          <cell r="AL389" t="e">
            <v>#REF!</v>
          </cell>
        </row>
        <row r="390">
          <cell r="F390">
            <v>29</v>
          </cell>
          <cell r="G390" t="e">
            <v>#REF!</v>
          </cell>
          <cell r="P390">
            <v>0</v>
          </cell>
          <cell r="X390">
            <v>0</v>
          </cell>
          <cell r="Y390">
            <v>0</v>
          </cell>
          <cell r="AC390">
            <v>3.6666666666666665</v>
          </cell>
          <cell r="AD390">
            <v>2</v>
          </cell>
          <cell r="AK390">
            <v>46</v>
          </cell>
          <cell r="AL390">
            <v>8</v>
          </cell>
        </row>
        <row r="391">
          <cell r="F391">
            <v>0</v>
          </cell>
          <cell r="G391" t="e">
            <v>#REF!</v>
          </cell>
          <cell r="P391">
            <v>0.66666666666666663</v>
          </cell>
          <cell r="X391">
            <v>146.66666666666666</v>
          </cell>
          <cell r="Y391">
            <v>61</v>
          </cell>
          <cell r="AC391">
            <v>280.66666666666669</v>
          </cell>
          <cell r="AD391">
            <v>128</v>
          </cell>
          <cell r="AK391">
            <v>428</v>
          </cell>
          <cell r="AL391">
            <v>28</v>
          </cell>
        </row>
        <row r="392">
          <cell r="F392">
            <v>0</v>
          </cell>
          <cell r="G392" t="e">
            <v>#REF!</v>
          </cell>
          <cell r="P392">
            <v>2</v>
          </cell>
          <cell r="X392">
            <v>0</v>
          </cell>
          <cell r="Y392">
            <v>0</v>
          </cell>
          <cell r="AC392">
            <v>25</v>
          </cell>
          <cell r="AD392">
            <v>11</v>
          </cell>
          <cell r="AK392">
            <v>33.666666666666671</v>
          </cell>
          <cell r="AL392">
            <v>0</v>
          </cell>
        </row>
        <row r="393">
          <cell r="F393">
            <v>0</v>
          </cell>
          <cell r="G393" t="e">
            <v>#REF!</v>
          </cell>
          <cell r="P393">
            <v>0</v>
          </cell>
          <cell r="X393">
            <v>25.333333333333332</v>
          </cell>
          <cell r="Y393">
            <v>11</v>
          </cell>
          <cell r="AC393">
            <v>0.66666666666666663</v>
          </cell>
          <cell r="AD393">
            <v>0</v>
          </cell>
          <cell r="AK393">
            <v>26</v>
          </cell>
          <cell r="AL393">
            <v>15.333333333333332</v>
          </cell>
        </row>
        <row r="394">
          <cell r="F394">
            <v>120.63333333333333</v>
          </cell>
          <cell r="G394" t="e">
            <v>#REF!</v>
          </cell>
          <cell r="P394">
            <v>0</v>
          </cell>
          <cell r="X394">
            <v>0</v>
          </cell>
          <cell r="Y394">
            <v>0</v>
          </cell>
          <cell r="AC394">
            <v>0</v>
          </cell>
          <cell r="AD394">
            <v>0</v>
          </cell>
          <cell r="AK394">
            <v>120.63333333333333</v>
          </cell>
          <cell r="AL394">
            <v>1</v>
          </cell>
        </row>
        <row r="395">
          <cell r="F395">
            <v>8.6666666666666661</v>
          </cell>
          <cell r="G395" t="e">
            <v>#REF!</v>
          </cell>
          <cell r="P395">
            <v>0</v>
          </cell>
          <cell r="X395">
            <v>0</v>
          </cell>
          <cell r="Y395">
            <v>0</v>
          </cell>
          <cell r="AC395">
            <v>0</v>
          </cell>
          <cell r="AD395">
            <v>0</v>
          </cell>
          <cell r="AK395">
            <v>8.6666666666666661</v>
          </cell>
          <cell r="AL395">
            <v>4.333333333333333</v>
          </cell>
        </row>
        <row r="396">
          <cell r="F396">
            <v>0</v>
          </cell>
          <cell r="G396" t="e">
            <v>#REF!</v>
          </cell>
          <cell r="P396">
            <v>5.333333333333333</v>
          </cell>
          <cell r="X396">
            <v>0</v>
          </cell>
          <cell r="Y396">
            <v>0</v>
          </cell>
          <cell r="AC396">
            <v>0</v>
          </cell>
          <cell r="AD396">
            <v>0</v>
          </cell>
          <cell r="AK396">
            <v>22</v>
          </cell>
          <cell r="AL396">
            <v>9</v>
          </cell>
        </row>
        <row r="397">
          <cell r="F397">
            <v>5.333333333333333</v>
          </cell>
          <cell r="G397" t="e">
            <v>#REF!</v>
          </cell>
          <cell r="P397">
            <v>0</v>
          </cell>
          <cell r="X397">
            <v>0</v>
          </cell>
          <cell r="Y397">
            <v>0</v>
          </cell>
          <cell r="AC397">
            <v>0</v>
          </cell>
          <cell r="AD397">
            <v>0</v>
          </cell>
          <cell r="AK397">
            <v>5.333333333333333</v>
          </cell>
          <cell r="AL397">
            <v>2</v>
          </cell>
        </row>
        <row r="398">
          <cell r="F398">
            <v>0.33333333333333331</v>
          </cell>
          <cell r="G398" t="e">
            <v>#REF!</v>
          </cell>
          <cell r="P398">
            <v>4.333333333333333</v>
          </cell>
          <cell r="X398">
            <v>0</v>
          </cell>
          <cell r="Y398">
            <v>0</v>
          </cell>
          <cell r="AC398">
            <v>0</v>
          </cell>
          <cell r="AD398">
            <v>0</v>
          </cell>
          <cell r="AK398">
            <v>4.6666666666666661</v>
          </cell>
          <cell r="AL398">
            <v>196.5</v>
          </cell>
        </row>
        <row r="399">
          <cell r="F399">
            <v>0.33333333333333331</v>
          </cell>
          <cell r="G399" t="e">
            <v>#REF!</v>
          </cell>
          <cell r="P399">
            <v>2</v>
          </cell>
          <cell r="X399">
            <v>10</v>
          </cell>
          <cell r="Y399">
            <v>4</v>
          </cell>
          <cell r="AC399">
            <v>13.666666666666666</v>
          </cell>
          <cell r="AD399">
            <v>6</v>
          </cell>
          <cell r="AK399">
            <v>26</v>
          </cell>
          <cell r="AL399">
            <v>0</v>
          </cell>
        </row>
        <row r="400">
          <cell r="F400">
            <v>0</v>
          </cell>
          <cell r="G400" t="e">
            <v>#REF!</v>
          </cell>
          <cell r="P400">
            <v>0</v>
          </cell>
          <cell r="X400">
            <v>0</v>
          </cell>
          <cell r="Y400">
            <v>0</v>
          </cell>
          <cell r="AC400">
            <v>0</v>
          </cell>
          <cell r="AD400">
            <v>0</v>
          </cell>
          <cell r="AK400">
            <v>0</v>
          </cell>
          <cell r="AL400">
            <v>153</v>
          </cell>
        </row>
        <row r="401">
          <cell r="F401">
            <v>1.1666666666666667</v>
          </cell>
          <cell r="G401" t="e">
            <v>#REF!</v>
          </cell>
          <cell r="P401">
            <v>20.5</v>
          </cell>
          <cell r="X401">
            <v>522.33333333333337</v>
          </cell>
          <cell r="Y401">
            <v>217</v>
          </cell>
          <cell r="AC401">
            <v>43</v>
          </cell>
          <cell r="AD401">
            <v>20</v>
          </cell>
          <cell r="AK401">
            <v>587.33333333333337</v>
          </cell>
          <cell r="AL401" t="e">
            <v>#REF!</v>
          </cell>
        </row>
        <row r="402">
          <cell r="F402">
            <v>0</v>
          </cell>
          <cell r="G402" t="e">
            <v>#REF!</v>
          </cell>
          <cell r="P402">
            <v>0</v>
          </cell>
          <cell r="X402">
            <v>0</v>
          </cell>
          <cell r="Y402">
            <v>0</v>
          </cell>
          <cell r="AC402">
            <v>0</v>
          </cell>
          <cell r="AD402">
            <v>0</v>
          </cell>
          <cell r="AK402">
            <v>0</v>
          </cell>
          <cell r="AL402">
            <v>43.833333333333336</v>
          </cell>
        </row>
        <row r="403">
          <cell r="F403">
            <v>0</v>
          </cell>
          <cell r="G403" t="e">
            <v>#REF!</v>
          </cell>
          <cell r="P403">
            <v>0</v>
          </cell>
          <cell r="X403">
            <v>480.66666666666669</v>
          </cell>
          <cell r="Y403">
            <v>200</v>
          </cell>
          <cell r="AC403">
            <v>11</v>
          </cell>
          <cell r="AD403">
            <v>5</v>
          </cell>
          <cell r="AK403">
            <v>491.66666666666669</v>
          </cell>
          <cell r="AL403">
            <v>0</v>
          </cell>
        </row>
        <row r="404">
          <cell r="F404">
            <v>0</v>
          </cell>
          <cell r="G404" t="e">
            <v>#REF!</v>
          </cell>
          <cell r="P404">
            <v>0</v>
          </cell>
          <cell r="X404">
            <v>0</v>
          </cell>
          <cell r="Y404">
            <v>0</v>
          </cell>
          <cell r="AC404">
            <v>0</v>
          </cell>
          <cell r="AD404">
            <v>0</v>
          </cell>
          <cell r="AK404">
            <v>0</v>
          </cell>
          <cell r="AL404">
            <v>0</v>
          </cell>
        </row>
        <row r="405">
          <cell r="F405">
            <v>1.1666666666666667</v>
          </cell>
          <cell r="G405" t="e">
            <v>#REF!</v>
          </cell>
          <cell r="P405">
            <v>15.833333333333334</v>
          </cell>
          <cell r="X405">
            <v>41.666666666666664</v>
          </cell>
          <cell r="Y405">
            <v>17</v>
          </cell>
          <cell r="AC405">
            <v>32</v>
          </cell>
          <cell r="AD405">
            <v>15</v>
          </cell>
          <cell r="AK405">
            <v>91</v>
          </cell>
          <cell r="AL405">
            <v>41</v>
          </cell>
        </row>
        <row r="406">
          <cell r="F406">
            <v>0</v>
          </cell>
          <cell r="G406" t="e">
            <v>#REF!</v>
          </cell>
          <cell r="P406">
            <v>4.666666666666667</v>
          </cell>
          <cell r="X406">
            <v>0</v>
          </cell>
          <cell r="Y406">
            <v>0</v>
          </cell>
          <cell r="AC406">
            <v>0</v>
          </cell>
          <cell r="AD406">
            <v>0</v>
          </cell>
          <cell r="AK406">
            <v>4.666666666666667</v>
          </cell>
          <cell r="AL406">
            <v>4.3333333333333339</v>
          </cell>
        </row>
        <row r="407">
          <cell r="F407">
            <v>0</v>
          </cell>
          <cell r="G407" t="e">
            <v>#REF!</v>
          </cell>
          <cell r="P407">
            <v>0</v>
          </cell>
          <cell r="X407">
            <v>0</v>
          </cell>
          <cell r="Y407">
            <v>0</v>
          </cell>
          <cell r="AC407">
            <v>0</v>
          </cell>
          <cell r="AD407">
            <v>0</v>
          </cell>
          <cell r="AK407">
            <v>0</v>
          </cell>
          <cell r="AL407">
            <v>37.666666666666664</v>
          </cell>
        </row>
        <row r="408">
          <cell r="F408">
            <v>10</v>
          </cell>
          <cell r="G408" t="e">
            <v>#REF!</v>
          </cell>
          <cell r="P408">
            <v>39</v>
          </cell>
          <cell r="X408">
            <v>0</v>
          </cell>
          <cell r="Y408">
            <v>0</v>
          </cell>
          <cell r="AC408">
            <v>0</v>
          </cell>
          <cell r="AD408">
            <v>0</v>
          </cell>
          <cell r="AK408">
            <v>49</v>
          </cell>
          <cell r="AL408" t="e">
            <v>#REF!</v>
          </cell>
        </row>
        <row r="409">
          <cell r="F409">
            <v>2.6666666666666665</v>
          </cell>
          <cell r="G409" t="e">
            <v>#REF!</v>
          </cell>
          <cell r="H409">
            <v>43</v>
          </cell>
          <cell r="P409">
            <v>3.3333333333333335</v>
          </cell>
          <cell r="S409">
            <v>50.166666666666671</v>
          </cell>
          <cell r="X409">
            <v>0</v>
          </cell>
          <cell r="Y409">
            <v>0</v>
          </cell>
          <cell r="AC409">
            <v>0</v>
          </cell>
          <cell r="AD409">
            <v>0</v>
          </cell>
          <cell r="AK409">
            <v>6</v>
          </cell>
          <cell r="AL409">
            <v>373.16666666666663</v>
          </cell>
        </row>
        <row r="410">
          <cell r="F410">
            <v>7.333333333333333</v>
          </cell>
          <cell r="G410" t="e">
            <v>#REF!</v>
          </cell>
          <cell r="P410">
            <v>35.666666666666664</v>
          </cell>
          <cell r="X410">
            <v>0</v>
          </cell>
          <cell r="Y410">
            <v>0</v>
          </cell>
          <cell r="AC410">
            <v>0</v>
          </cell>
          <cell r="AD410">
            <v>0</v>
          </cell>
          <cell r="AK410">
            <v>43</v>
          </cell>
          <cell r="AL410">
            <v>0</v>
          </cell>
        </row>
        <row r="411">
          <cell r="F411">
            <v>0</v>
          </cell>
          <cell r="G411" t="e">
            <v>#REF!</v>
          </cell>
          <cell r="P411">
            <v>0</v>
          </cell>
          <cell r="X411">
            <v>0</v>
          </cell>
          <cell r="Y411">
            <v>0</v>
          </cell>
          <cell r="AC411">
            <v>0</v>
          </cell>
          <cell r="AD411">
            <v>0</v>
          </cell>
          <cell r="AK411">
            <v>0</v>
          </cell>
          <cell r="AL411">
            <v>95</v>
          </cell>
        </row>
        <row r="412">
          <cell r="F412">
            <v>206.33333333333329</v>
          </cell>
          <cell r="G412" t="e">
            <v>#REF!</v>
          </cell>
          <cell r="H412" t="e">
            <v>#REF!</v>
          </cell>
          <cell r="P412">
            <v>50.166666666666671</v>
          </cell>
          <cell r="S412">
            <v>50.166666666666671</v>
          </cell>
          <cell r="X412">
            <v>37.833333333333343</v>
          </cell>
          <cell r="Y412">
            <v>16</v>
          </cell>
          <cell r="AC412">
            <v>26.000000000000004</v>
          </cell>
          <cell r="AD412">
            <v>12</v>
          </cell>
          <cell r="AK412">
            <v>1965.0000000000002</v>
          </cell>
          <cell r="AL412" t="e">
            <v>#REF!</v>
          </cell>
        </row>
        <row r="413">
          <cell r="F413">
            <v>0</v>
          </cell>
          <cell r="G413" t="e">
            <v>#REF!</v>
          </cell>
          <cell r="P413">
            <v>0</v>
          </cell>
          <cell r="X413">
            <v>0</v>
          </cell>
          <cell r="Y413">
            <v>0</v>
          </cell>
          <cell r="AC413">
            <v>0</v>
          </cell>
          <cell r="AD413">
            <v>0</v>
          </cell>
          <cell r="AK413">
            <v>1350</v>
          </cell>
          <cell r="AL413">
            <v>12.333333333333334</v>
          </cell>
        </row>
        <row r="414">
          <cell r="F414">
            <v>0</v>
          </cell>
          <cell r="G414" t="e">
            <v>#REF!</v>
          </cell>
          <cell r="P414">
            <v>0</v>
          </cell>
          <cell r="X414">
            <v>0</v>
          </cell>
          <cell r="Y414">
            <v>0</v>
          </cell>
          <cell r="AC414">
            <v>0</v>
          </cell>
          <cell r="AD414">
            <v>0</v>
          </cell>
          <cell r="AK414">
            <v>95</v>
          </cell>
          <cell r="AL414">
            <v>0</v>
          </cell>
        </row>
        <row r="415">
          <cell r="F415">
            <v>0</v>
          </cell>
          <cell r="G415" t="e">
            <v>#REF!</v>
          </cell>
          <cell r="P415">
            <v>0</v>
          </cell>
          <cell r="X415">
            <v>0</v>
          </cell>
          <cell r="Y415">
            <v>0</v>
          </cell>
          <cell r="AC415">
            <v>0</v>
          </cell>
          <cell r="AD415">
            <v>0</v>
          </cell>
          <cell r="AK415">
            <v>0</v>
          </cell>
          <cell r="AL415">
            <v>47</v>
          </cell>
        </row>
        <row r="416">
          <cell r="F416">
            <v>0</v>
          </cell>
          <cell r="G416" t="e">
            <v>#REF!</v>
          </cell>
          <cell r="P416">
            <v>12.333333333333334</v>
          </cell>
          <cell r="X416">
            <v>0</v>
          </cell>
          <cell r="Y416">
            <v>0</v>
          </cell>
          <cell r="AC416">
            <v>0</v>
          </cell>
          <cell r="AD416">
            <v>0</v>
          </cell>
          <cell r="AK416">
            <v>12.333333333333334</v>
          </cell>
          <cell r="AL416">
            <v>0</v>
          </cell>
        </row>
        <row r="417">
          <cell r="F417">
            <v>0</v>
          </cell>
          <cell r="G417" t="e">
            <v>#REF!</v>
          </cell>
          <cell r="P417">
            <v>0</v>
          </cell>
          <cell r="X417">
            <v>0</v>
          </cell>
          <cell r="Y417">
            <v>0</v>
          </cell>
          <cell r="AC417">
            <v>0</v>
          </cell>
          <cell r="AD417">
            <v>0</v>
          </cell>
          <cell r="AK417">
            <v>0</v>
          </cell>
          <cell r="AL417">
            <v>0</v>
          </cell>
        </row>
        <row r="418">
          <cell r="F418">
            <v>1.6666666666666667</v>
          </cell>
          <cell r="G418" t="e">
            <v>#REF!</v>
          </cell>
          <cell r="P418">
            <v>5</v>
          </cell>
          <cell r="X418">
            <v>3</v>
          </cell>
          <cell r="Y418">
            <v>1</v>
          </cell>
          <cell r="AC418">
            <v>3</v>
          </cell>
          <cell r="AD418">
            <v>1</v>
          </cell>
          <cell r="AK418">
            <v>57.666666666666664</v>
          </cell>
          <cell r="AL418">
            <v>23.5</v>
          </cell>
        </row>
        <row r="419">
          <cell r="F419">
            <v>0</v>
          </cell>
          <cell r="G419" t="e">
            <v>#REF!</v>
          </cell>
          <cell r="P419">
            <v>0</v>
          </cell>
          <cell r="X419">
            <v>0</v>
          </cell>
          <cell r="Y419">
            <v>0</v>
          </cell>
          <cell r="AC419">
            <v>0</v>
          </cell>
          <cell r="AD419">
            <v>0</v>
          </cell>
          <cell r="AK419">
            <v>4</v>
          </cell>
          <cell r="AL419">
            <v>52.333333333333336</v>
          </cell>
        </row>
        <row r="420">
          <cell r="F420">
            <v>0</v>
          </cell>
          <cell r="G420" t="e">
            <v>#REF!</v>
          </cell>
          <cell r="P420">
            <v>0</v>
          </cell>
          <cell r="X420">
            <v>0</v>
          </cell>
          <cell r="Y420">
            <v>0</v>
          </cell>
          <cell r="AC420">
            <v>0</v>
          </cell>
          <cell r="AD420">
            <v>0</v>
          </cell>
          <cell r="AK420">
            <v>0</v>
          </cell>
          <cell r="AL420">
            <v>38</v>
          </cell>
        </row>
        <row r="421">
          <cell r="F421">
            <v>0</v>
          </cell>
          <cell r="G421" t="e">
            <v>#REF!</v>
          </cell>
          <cell r="P421">
            <v>18.5</v>
          </cell>
          <cell r="X421">
            <v>4.5</v>
          </cell>
          <cell r="Y421">
            <v>2</v>
          </cell>
          <cell r="AC421">
            <v>1.3333333333333333</v>
          </cell>
          <cell r="AD421">
            <v>1</v>
          </cell>
          <cell r="AK421">
            <v>28.5</v>
          </cell>
          <cell r="AL421">
            <v>6</v>
          </cell>
        </row>
        <row r="422">
          <cell r="F422">
            <v>0</v>
          </cell>
          <cell r="G422" t="e">
            <v>#REF!</v>
          </cell>
          <cell r="P422">
            <v>1.3333333333333333</v>
          </cell>
          <cell r="X422">
            <v>0</v>
          </cell>
          <cell r="Y422">
            <v>0</v>
          </cell>
          <cell r="AC422">
            <v>1.6666666666666667</v>
          </cell>
          <cell r="AD422">
            <v>1</v>
          </cell>
          <cell r="AK422">
            <v>69</v>
          </cell>
          <cell r="AL422">
            <v>2</v>
          </cell>
        </row>
        <row r="423">
          <cell r="F423">
            <v>177</v>
          </cell>
          <cell r="G423" t="e">
            <v>#REF!</v>
          </cell>
          <cell r="P423">
            <v>0</v>
          </cell>
          <cell r="X423">
            <v>0</v>
          </cell>
          <cell r="Y423">
            <v>0</v>
          </cell>
          <cell r="AC423">
            <v>0</v>
          </cell>
          <cell r="AD423">
            <v>0</v>
          </cell>
          <cell r="AK423">
            <v>177</v>
          </cell>
          <cell r="AL423">
            <v>3.3333333333333335</v>
          </cell>
        </row>
        <row r="424">
          <cell r="F424">
            <v>0</v>
          </cell>
          <cell r="G424" t="e">
            <v>#REF!</v>
          </cell>
          <cell r="P424">
            <v>0</v>
          </cell>
          <cell r="X424">
            <v>10</v>
          </cell>
          <cell r="Y424">
            <v>4</v>
          </cell>
          <cell r="AC424">
            <v>7.666666666666667</v>
          </cell>
          <cell r="AD424">
            <v>4</v>
          </cell>
          <cell r="AK424">
            <v>17.666666666666668</v>
          </cell>
          <cell r="AL424">
            <v>6.3333333333333339</v>
          </cell>
        </row>
        <row r="425">
          <cell r="F425">
            <v>0.66666666666666663</v>
          </cell>
          <cell r="G425" t="e">
            <v>#REF!</v>
          </cell>
          <cell r="P425">
            <v>2</v>
          </cell>
          <cell r="X425">
            <v>1.3333333333333333</v>
          </cell>
          <cell r="Y425">
            <v>1</v>
          </cell>
          <cell r="AC425">
            <v>1</v>
          </cell>
          <cell r="AD425">
            <v>0</v>
          </cell>
          <cell r="AK425">
            <v>6</v>
          </cell>
          <cell r="AL425">
            <v>0</v>
          </cell>
        </row>
        <row r="426">
          <cell r="F426">
            <v>2.6666666666666665</v>
          </cell>
          <cell r="G426" t="e">
            <v>#REF!</v>
          </cell>
          <cell r="P426">
            <v>0.33333333333333331</v>
          </cell>
          <cell r="X426">
            <v>1</v>
          </cell>
          <cell r="Y426">
            <v>0</v>
          </cell>
          <cell r="AC426">
            <v>0.66666666666666663</v>
          </cell>
          <cell r="AD426">
            <v>0</v>
          </cell>
          <cell r="AK426">
            <v>9.3333333333333339</v>
          </cell>
          <cell r="AL426">
            <v>0</v>
          </cell>
        </row>
        <row r="427">
          <cell r="F427">
            <v>0</v>
          </cell>
          <cell r="G427" t="e">
            <v>#REF!</v>
          </cell>
          <cell r="P427">
            <v>2.3333333333333335</v>
          </cell>
          <cell r="X427">
            <v>6</v>
          </cell>
          <cell r="Y427">
            <v>2</v>
          </cell>
          <cell r="AC427">
            <v>5</v>
          </cell>
          <cell r="AD427">
            <v>2</v>
          </cell>
          <cell r="AK427">
            <v>13.333333333333334</v>
          </cell>
          <cell r="AL427">
            <v>4</v>
          </cell>
        </row>
        <row r="428">
          <cell r="F428">
            <v>0</v>
          </cell>
          <cell r="G428" t="e">
            <v>#REF!</v>
          </cell>
          <cell r="P428">
            <v>0</v>
          </cell>
          <cell r="X428">
            <v>0</v>
          </cell>
          <cell r="Y428">
            <v>0</v>
          </cell>
          <cell r="AC428">
            <v>0</v>
          </cell>
          <cell r="AD428">
            <v>0</v>
          </cell>
          <cell r="AK428">
            <v>0</v>
          </cell>
          <cell r="AL428">
            <v>0</v>
          </cell>
        </row>
        <row r="429">
          <cell r="F429">
            <v>0</v>
          </cell>
          <cell r="G429" t="e">
            <v>#REF!</v>
          </cell>
          <cell r="P429">
            <v>0</v>
          </cell>
          <cell r="X429">
            <v>0</v>
          </cell>
          <cell r="Y429">
            <v>0</v>
          </cell>
          <cell r="AC429">
            <v>0</v>
          </cell>
          <cell r="AD429">
            <v>0</v>
          </cell>
          <cell r="AK429">
            <v>0</v>
          </cell>
          <cell r="AL429">
            <v>0.66666666666666663</v>
          </cell>
        </row>
        <row r="430">
          <cell r="F430">
            <v>9.6666666666666661</v>
          </cell>
          <cell r="G430" t="e">
            <v>#REF!</v>
          </cell>
          <cell r="P430">
            <v>1</v>
          </cell>
          <cell r="X430">
            <v>0</v>
          </cell>
          <cell r="Y430">
            <v>0</v>
          </cell>
          <cell r="AC430">
            <v>0</v>
          </cell>
          <cell r="AD430">
            <v>0</v>
          </cell>
          <cell r="AK430">
            <v>12</v>
          </cell>
          <cell r="AL430">
            <v>0.66666666666666663</v>
          </cell>
        </row>
        <row r="431">
          <cell r="F431">
            <v>0</v>
          </cell>
          <cell r="G431" t="e">
            <v>#REF!</v>
          </cell>
          <cell r="P431">
            <v>0</v>
          </cell>
          <cell r="X431">
            <v>0</v>
          </cell>
          <cell r="Y431">
            <v>0</v>
          </cell>
          <cell r="AC431">
            <v>0</v>
          </cell>
          <cell r="AD431">
            <v>0</v>
          </cell>
          <cell r="AK431">
            <v>0</v>
          </cell>
          <cell r="AL431">
            <v>17.666666666666668</v>
          </cell>
        </row>
        <row r="432">
          <cell r="F432">
            <v>2.3333333333333335</v>
          </cell>
          <cell r="G432" t="e">
            <v>#REF!</v>
          </cell>
          <cell r="P432">
            <v>0.66666666666666663</v>
          </cell>
          <cell r="X432">
            <v>0.66666666666666663</v>
          </cell>
          <cell r="Y432">
            <v>0</v>
          </cell>
          <cell r="AC432">
            <v>0.66666666666666663</v>
          </cell>
          <cell r="AD432">
            <v>0</v>
          </cell>
          <cell r="AK432">
            <v>4.333333333333333</v>
          </cell>
          <cell r="AL432">
            <v>0</v>
          </cell>
        </row>
        <row r="433">
          <cell r="F433">
            <v>1.6666666666666667</v>
          </cell>
          <cell r="G433" t="e">
            <v>#REF!</v>
          </cell>
          <cell r="P433">
            <v>0.66666666666666663</v>
          </cell>
          <cell r="X433">
            <v>0.66666666666666663</v>
          </cell>
          <cell r="Y433">
            <v>0</v>
          </cell>
          <cell r="AC433">
            <v>0.66666666666666663</v>
          </cell>
          <cell r="AD433">
            <v>0</v>
          </cell>
          <cell r="AK433">
            <v>3.6666666666666665</v>
          </cell>
          <cell r="AL433">
            <v>53</v>
          </cell>
        </row>
        <row r="434">
          <cell r="F434">
            <v>6.666666666666667</v>
          </cell>
          <cell r="G434" t="e">
            <v>#REF!</v>
          </cell>
          <cell r="P434">
            <v>4.666666666666667</v>
          </cell>
          <cell r="X434">
            <v>3</v>
          </cell>
          <cell r="Y434">
            <v>1</v>
          </cell>
          <cell r="AC434">
            <v>2</v>
          </cell>
          <cell r="AD434">
            <v>1</v>
          </cell>
          <cell r="AK434">
            <v>33</v>
          </cell>
          <cell r="AL434">
            <v>1</v>
          </cell>
        </row>
        <row r="435">
          <cell r="F435">
            <v>0</v>
          </cell>
          <cell r="G435" t="e">
            <v>#REF!</v>
          </cell>
          <cell r="P435">
            <v>0</v>
          </cell>
          <cell r="X435">
            <v>0</v>
          </cell>
          <cell r="Y435">
            <v>0</v>
          </cell>
          <cell r="AC435">
            <v>0</v>
          </cell>
          <cell r="AD435">
            <v>0</v>
          </cell>
          <cell r="AK435">
            <v>0</v>
          </cell>
          <cell r="AL435">
            <v>0</v>
          </cell>
        </row>
        <row r="436">
          <cell r="F436">
            <v>0</v>
          </cell>
          <cell r="G436" t="e">
            <v>#REF!</v>
          </cell>
          <cell r="P436">
            <v>0</v>
          </cell>
          <cell r="X436">
            <v>0</v>
          </cell>
          <cell r="Y436">
            <v>0</v>
          </cell>
          <cell r="AC436">
            <v>0</v>
          </cell>
          <cell r="AD436">
            <v>0</v>
          </cell>
          <cell r="AK436">
            <v>0</v>
          </cell>
          <cell r="AL436">
            <v>0</v>
          </cell>
        </row>
        <row r="437">
          <cell r="F437">
            <v>1</v>
          </cell>
          <cell r="G437" t="e">
            <v>#REF!</v>
          </cell>
          <cell r="P437">
            <v>0</v>
          </cell>
          <cell r="X437">
            <v>0</v>
          </cell>
          <cell r="Y437">
            <v>0</v>
          </cell>
          <cell r="AC437">
            <v>0</v>
          </cell>
          <cell r="AD437">
            <v>0</v>
          </cell>
          <cell r="AK437">
            <v>1</v>
          </cell>
          <cell r="AL437">
            <v>7</v>
          </cell>
        </row>
        <row r="438">
          <cell r="F438">
            <v>0</v>
          </cell>
          <cell r="G438" t="e">
            <v>#REF!</v>
          </cell>
          <cell r="P438">
            <v>0</v>
          </cell>
          <cell r="X438">
            <v>0</v>
          </cell>
          <cell r="Y438">
            <v>0</v>
          </cell>
          <cell r="AC438">
            <v>0</v>
          </cell>
          <cell r="AD438">
            <v>0</v>
          </cell>
          <cell r="AK438">
            <v>0</v>
          </cell>
          <cell r="AL438">
            <v>0</v>
          </cell>
        </row>
        <row r="439">
          <cell r="F439">
            <v>0</v>
          </cell>
          <cell r="G439" t="e">
            <v>#REF!</v>
          </cell>
          <cell r="P439">
            <v>0</v>
          </cell>
          <cell r="X439">
            <v>0</v>
          </cell>
          <cell r="Y439">
            <v>0</v>
          </cell>
          <cell r="AC439">
            <v>0</v>
          </cell>
          <cell r="AD439">
            <v>0</v>
          </cell>
          <cell r="AK439">
            <v>0</v>
          </cell>
          <cell r="AL439">
            <v>1</v>
          </cell>
        </row>
        <row r="440">
          <cell r="F440">
            <v>2.6666666666666665</v>
          </cell>
          <cell r="G440" t="e">
            <v>#REF!</v>
          </cell>
          <cell r="P440">
            <v>1</v>
          </cell>
          <cell r="X440">
            <v>4</v>
          </cell>
          <cell r="Y440">
            <v>2</v>
          </cell>
          <cell r="AC440">
            <v>2</v>
          </cell>
          <cell r="AD440">
            <v>1</v>
          </cell>
          <cell r="AK440">
            <v>15.666666666666666</v>
          </cell>
          <cell r="AL440">
            <v>0.33333333333333331</v>
          </cell>
        </row>
        <row r="441">
          <cell r="F441">
            <v>0</v>
          </cell>
          <cell r="G441" t="e">
            <v>#REF!</v>
          </cell>
          <cell r="P441">
            <v>0</v>
          </cell>
          <cell r="X441">
            <v>0</v>
          </cell>
          <cell r="Y441">
            <v>0</v>
          </cell>
          <cell r="AC441">
            <v>0</v>
          </cell>
          <cell r="AD441">
            <v>0</v>
          </cell>
          <cell r="AK441">
            <v>0</v>
          </cell>
          <cell r="AL441">
            <v>0</v>
          </cell>
        </row>
        <row r="442">
          <cell r="F442">
            <v>0</v>
          </cell>
          <cell r="G442" t="e">
            <v>#REF!</v>
          </cell>
          <cell r="P442">
            <v>0</v>
          </cell>
          <cell r="X442">
            <v>3.3333333333333335</v>
          </cell>
          <cell r="Y442">
            <v>1</v>
          </cell>
          <cell r="AC442">
            <v>0</v>
          </cell>
          <cell r="AD442">
            <v>0</v>
          </cell>
          <cell r="AK442">
            <v>3.3333333333333335</v>
          </cell>
          <cell r="AL442">
            <v>0</v>
          </cell>
        </row>
        <row r="443">
          <cell r="F443">
            <v>0.33333333333333331</v>
          </cell>
          <cell r="G443" t="e">
            <v>#REF!</v>
          </cell>
          <cell r="P443">
            <v>0.33333333333333331</v>
          </cell>
          <cell r="X443">
            <v>0.33333333333333331</v>
          </cell>
          <cell r="Y443">
            <v>0</v>
          </cell>
          <cell r="AC443">
            <v>0.33333333333333331</v>
          </cell>
          <cell r="AD443">
            <v>0</v>
          </cell>
          <cell r="AK443">
            <v>1.9999999999999998</v>
          </cell>
          <cell r="AL443">
            <v>0</v>
          </cell>
        </row>
        <row r="444">
          <cell r="F444">
            <v>0</v>
          </cell>
          <cell r="G444" t="e">
            <v>#REF!</v>
          </cell>
          <cell r="P444">
            <v>0</v>
          </cell>
          <cell r="X444">
            <v>0</v>
          </cell>
          <cell r="Y444">
            <v>0</v>
          </cell>
          <cell r="AC444">
            <v>0</v>
          </cell>
          <cell r="AD444">
            <v>0</v>
          </cell>
          <cell r="AK444">
            <v>0</v>
          </cell>
          <cell r="AL444">
            <v>0</v>
          </cell>
        </row>
        <row r="445">
          <cell r="F445">
            <v>0</v>
          </cell>
          <cell r="G445" t="e">
            <v>#REF!</v>
          </cell>
          <cell r="P445">
            <v>0</v>
          </cell>
          <cell r="X445">
            <v>0</v>
          </cell>
          <cell r="Y445">
            <v>0</v>
          </cell>
          <cell r="AC445">
            <v>0</v>
          </cell>
          <cell r="AD445">
            <v>0</v>
          </cell>
          <cell r="AK445">
            <v>0</v>
          </cell>
          <cell r="AL445">
            <v>0</v>
          </cell>
        </row>
        <row r="446">
          <cell r="F446">
            <v>0</v>
          </cell>
          <cell r="G446" t="e">
            <v>#REF!</v>
          </cell>
          <cell r="P446">
            <v>0</v>
          </cell>
          <cell r="X446">
            <v>0</v>
          </cell>
          <cell r="Y446">
            <v>0</v>
          </cell>
          <cell r="AC446">
            <v>0</v>
          </cell>
          <cell r="AD446">
            <v>0</v>
          </cell>
          <cell r="AK446">
            <v>0</v>
          </cell>
          <cell r="AL446">
            <v>0</v>
          </cell>
        </row>
        <row r="447">
          <cell r="F447">
            <v>0</v>
          </cell>
          <cell r="G447" t="e">
            <v>#REF!</v>
          </cell>
          <cell r="P447">
            <v>0</v>
          </cell>
          <cell r="X447">
            <v>0</v>
          </cell>
          <cell r="Y447">
            <v>0</v>
          </cell>
          <cell r="AC447">
            <v>0</v>
          </cell>
          <cell r="AD447">
            <v>0</v>
          </cell>
          <cell r="AK447">
            <v>0</v>
          </cell>
          <cell r="AL447">
            <v>2</v>
          </cell>
        </row>
        <row r="448">
          <cell r="F448">
            <v>0</v>
          </cell>
          <cell r="G448" t="e">
            <v>#REF!</v>
          </cell>
          <cell r="P448">
            <v>0</v>
          </cell>
          <cell r="X448">
            <v>0</v>
          </cell>
          <cell r="Y448">
            <v>0</v>
          </cell>
          <cell r="AC448">
            <v>0</v>
          </cell>
          <cell r="AD448">
            <v>0</v>
          </cell>
          <cell r="AK448">
            <v>0</v>
          </cell>
          <cell r="AL448">
            <v>0</v>
          </cell>
        </row>
        <row r="449">
          <cell r="F449">
            <v>0</v>
          </cell>
          <cell r="G449" t="e">
            <v>#REF!</v>
          </cell>
          <cell r="P449">
            <v>0</v>
          </cell>
          <cell r="X449">
            <v>0</v>
          </cell>
          <cell r="Y449">
            <v>0</v>
          </cell>
          <cell r="AC449">
            <v>0</v>
          </cell>
          <cell r="AD449">
            <v>0</v>
          </cell>
          <cell r="AK449">
            <v>0</v>
          </cell>
          <cell r="AL449">
            <v>0</v>
          </cell>
        </row>
        <row r="450">
          <cell r="G450" t="e">
            <v>#REF!</v>
          </cell>
          <cell r="P450">
            <v>0</v>
          </cell>
          <cell r="X450">
            <v>0</v>
          </cell>
          <cell r="Y450">
            <v>0</v>
          </cell>
          <cell r="AC450">
            <v>0</v>
          </cell>
          <cell r="AD450">
            <v>0</v>
          </cell>
          <cell r="AK450">
            <v>0</v>
          </cell>
          <cell r="AL450">
            <v>2</v>
          </cell>
        </row>
        <row r="451">
          <cell r="P451">
            <v>0</v>
          </cell>
          <cell r="X451">
            <v>0</v>
          </cell>
          <cell r="Y451">
            <v>0</v>
          </cell>
          <cell r="AC451">
            <v>0</v>
          </cell>
          <cell r="AD451">
            <v>0</v>
          </cell>
          <cell r="AK451">
            <v>0</v>
          </cell>
          <cell r="AL451">
            <v>0</v>
          </cell>
        </row>
      </sheetData>
      <sheetData sheetId="1" refreshError="1">
        <row r="8">
          <cell r="AF8" t="str">
            <v>ЗАТВЕРДЖУЮ</v>
          </cell>
        </row>
        <row r="21">
          <cell r="AI21" t="str">
            <v xml:space="preserve">         Затверджую</v>
          </cell>
        </row>
        <row r="25">
          <cell r="F25" t="e">
            <v>#REF!</v>
          </cell>
          <cell r="G25" t="e">
            <v>#REF!</v>
          </cell>
          <cell r="H25" t="e">
            <v>#REF!</v>
          </cell>
          <cell r="P25" t="e">
            <v>#REF!</v>
          </cell>
          <cell r="Q25" t="e">
            <v>#REF!</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cell r="AE25" t="e">
            <v>#REF!</v>
          </cell>
          <cell r="AF25" t="e">
            <v>#REF!</v>
          </cell>
          <cell r="AG25" t="e">
            <v>#REF!</v>
          </cell>
          <cell r="AH25" t="e">
            <v>#REF!</v>
          </cell>
          <cell r="AJ25" t="e">
            <v>#REF!</v>
          </cell>
          <cell r="AK25" t="e">
            <v>#REF!</v>
          </cell>
          <cell r="AL25" t="e">
            <v>#REF!</v>
          </cell>
          <cell r="AM25" t="e">
            <v>#REF!</v>
          </cell>
        </row>
        <row r="32">
          <cell r="Q32" t="str">
            <v>КТМ</v>
          </cell>
          <cell r="V32" t="str">
            <v xml:space="preserve">ТЕЦ-5 </v>
          </cell>
          <cell r="AA32" t="str">
            <v xml:space="preserve">ТЕЦ-6 </v>
          </cell>
        </row>
        <row r="34">
          <cell r="F34" t="str">
            <v>ВИКОН.ДИР.</v>
          </cell>
          <cell r="G34" t="str">
            <v>Е/Е</v>
          </cell>
          <cell r="H34" t="str">
            <v xml:space="preserve"> Т/Е</v>
          </cell>
          <cell r="P34" t="str">
            <v xml:space="preserve">КМ </v>
          </cell>
          <cell r="S34" t="str">
            <v xml:space="preserve">ТМ </v>
          </cell>
          <cell r="T34" t="str">
            <v>ВИРОБН</v>
          </cell>
          <cell r="U34" t="str">
            <v>ПЕРЕД</v>
          </cell>
          <cell r="X34" t="str">
            <v>ТЕЦ-5 ВСЬОГО</v>
          </cell>
          <cell r="Y34" t="str">
            <v>Е/Е</v>
          </cell>
          <cell r="Z34" t="str">
            <v xml:space="preserve"> Т/Е</v>
          </cell>
          <cell r="AC34" t="str">
            <v>ТЕЦ-6 ВСЬОГО</v>
          </cell>
          <cell r="AD34" t="str">
            <v>Е/Е</v>
          </cell>
          <cell r="AE34" t="str">
            <v xml:space="preserve"> Т/Е</v>
          </cell>
          <cell r="AF34" t="str">
            <v>ТРМ ВСЬОГО</v>
          </cell>
          <cell r="AG34" t="str">
            <v>ТРМ  АК КЕ</v>
          </cell>
          <cell r="AH34" t="str">
            <v>ТРМ СТОР</v>
          </cell>
          <cell r="AJ34" t="str">
            <v>ДОП.ВИР. СТ.ОРГ.</v>
          </cell>
          <cell r="AK34" t="str">
            <v>АК КЕ ВСЬОГО</v>
          </cell>
          <cell r="AL34" t="str">
            <v xml:space="preserve"> Е/Е</v>
          </cell>
          <cell r="AM34" t="str">
            <v xml:space="preserve"> Т/Е</v>
          </cell>
        </row>
        <row r="35">
          <cell r="AL35">
            <v>395</v>
          </cell>
        </row>
        <row r="36">
          <cell r="AL36">
            <v>336</v>
          </cell>
        </row>
        <row r="37">
          <cell r="AL37">
            <v>0</v>
          </cell>
        </row>
        <row r="39">
          <cell r="AL39">
            <v>0</v>
          </cell>
        </row>
        <row r="40">
          <cell r="AL40">
            <v>0</v>
          </cell>
        </row>
        <row r="41">
          <cell r="AL41">
            <v>395.6</v>
          </cell>
        </row>
        <row r="42">
          <cell r="P42">
            <v>0</v>
          </cell>
          <cell r="AL42">
            <v>395.6</v>
          </cell>
        </row>
        <row r="43">
          <cell r="AM43">
            <v>1580</v>
          </cell>
        </row>
        <row r="44">
          <cell r="AM44">
            <v>0</v>
          </cell>
        </row>
        <row r="45">
          <cell r="AM45">
            <v>1580</v>
          </cell>
        </row>
        <row r="47">
          <cell r="F47">
            <v>0.8</v>
          </cell>
        </row>
        <row r="49">
          <cell r="F49">
            <v>0</v>
          </cell>
          <cell r="G49" t="e">
            <v>#DIV/0!</v>
          </cell>
          <cell r="H49" t="e">
            <v>#DIV/0!</v>
          </cell>
          <cell r="S49">
            <v>19500</v>
          </cell>
          <cell r="T49">
            <v>19500</v>
          </cell>
          <cell r="U49">
            <v>0</v>
          </cell>
          <cell r="X49">
            <v>24969</v>
          </cell>
          <cell r="Y49">
            <v>11255</v>
          </cell>
          <cell r="Z49">
            <v>13714</v>
          </cell>
          <cell r="AC49">
            <v>24028</v>
          </cell>
          <cell r="AD49">
            <v>11813</v>
          </cell>
          <cell r="AE49">
            <v>12215</v>
          </cell>
          <cell r="AH49">
            <v>0</v>
          </cell>
          <cell r="AK49">
            <v>369645</v>
          </cell>
          <cell r="AL49">
            <v>156841</v>
          </cell>
          <cell r="AM49">
            <v>212804</v>
          </cell>
        </row>
        <row r="50">
          <cell r="F50">
            <v>0</v>
          </cell>
          <cell r="G50" t="e">
            <v>#DIV/0!</v>
          </cell>
          <cell r="H50" t="e">
            <v>#DIV/0!</v>
          </cell>
          <cell r="P50">
            <v>0</v>
          </cell>
          <cell r="S50">
            <v>19500</v>
          </cell>
          <cell r="T50">
            <v>19500</v>
          </cell>
          <cell r="U50">
            <v>0</v>
          </cell>
          <cell r="X50">
            <v>24969</v>
          </cell>
          <cell r="Y50">
            <v>11255</v>
          </cell>
          <cell r="Z50">
            <v>13714</v>
          </cell>
          <cell r="AC50">
            <v>24028</v>
          </cell>
          <cell r="AD50">
            <v>11813</v>
          </cell>
          <cell r="AE50">
            <v>12215</v>
          </cell>
          <cell r="AF50">
            <v>0</v>
          </cell>
          <cell r="AG50">
            <v>0</v>
          </cell>
          <cell r="AH50">
            <v>0</v>
          </cell>
          <cell r="AK50">
            <v>68497</v>
          </cell>
        </row>
        <row r="51">
          <cell r="F51">
            <v>0</v>
          </cell>
          <cell r="G51" t="e">
            <v>#DIV/0!</v>
          </cell>
          <cell r="H51" t="e">
            <v>#DIV/0!</v>
          </cell>
          <cell r="T51">
            <v>0</v>
          </cell>
          <cell r="U51">
            <v>0</v>
          </cell>
          <cell r="AF51">
            <v>0</v>
          </cell>
          <cell r="AH51">
            <v>0</v>
          </cell>
          <cell r="AK51">
            <v>0</v>
          </cell>
        </row>
        <row r="52">
          <cell r="AK52">
            <v>252318</v>
          </cell>
          <cell r="AL52">
            <v>108450</v>
          </cell>
          <cell r="AM52">
            <v>136175</v>
          </cell>
        </row>
        <row r="53">
          <cell r="AK53">
            <v>81638</v>
          </cell>
          <cell r="AL53">
            <v>80802</v>
          </cell>
          <cell r="AM53">
            <v>836</v>
          </cell>
        </row>
        <row r="54">
          <cell r="AK54">
            <v>703601</v>
          </cell>
          <cell r="AL54">
            <v>346093</v>
          </cell>
          <cell r="AM54">
            <v>349815</v>
          </cell>
        </row>
        <row r="55">
          <cell r="AK55">
            <v>739139</v>
          </cell>
          <cell r="AL55">
            <v>449316</v>
          </cell>
          <cell r="AM55">
            <v>270163</v>
          </cell>
        </row>
        <row r="56">
          <cell r="AK56">
            <v>35538</v>
          </cell>
          <cell r="AL56">
            <v>103223</v>
          </cell>
          <cell r="AM56">
            <v>-79652</v>
          </cell>
        </row>
        <row r="62">
          <cell r="F62" t="str">
            <v>ВИКОН.ДИР.</v>
          </cell>
          <cell r="G62" t="str">
            <v>Е/Е</v>
          </cell>
          <cell r="H62" t="str">
            <v xml:space="preserve"> Т/Е</v>
          </cell>
          <cell r="P62" t="str">
            <v xml:space="preserve">КМ </v>
          </cell>
          <cell r="S62" t="str">
            <v xml:space="preserve">ТМ </v>
          </cell>
          <cell r="T62" t="str">
            <v>ВИРОБН</v>
          </cell>
          <cell r="U62" t="str">
            <v>ПЕРЕД</v>
          </cell>
          <cell r="X62" t="str">
            <v>ТЕЦ-5 ВСЬОГО</v>
          </cell>
          <cell r="Y62" t="str">
            <v>Е/Е</v>
          </cell>
          <cell r="Z62" t="str">
            <v xml:space="preserve"> Т/Е</v>
          </cell>
          <cell r="AC62" t="str">
            <v>ТЕЦ-6 ВСЬОГО</v>
          </cell>
          <cell r="AD62" t="str">
            <v>Е/Е</v>
          </cell>
          <cell r="AE62" t="str">
            <v xml:space="preserve"> Т/Е</v>
          </cell>
          <cell r="AF62" t="str">
            <v>ТРМ ВСЬОГО</v>
          </cell>
          <cell r="AG62" t="str">
            <v>ТРМ  АК КЕ</v>
          </cell>
          <cell r="AH62" t="str">
            <v>ТРМ СТОР</v>
          </cell>
          <cell r="AJ62" t="str">
            <v>ДОП.ВИР. СТ.ОРГ.</v>
          </cell>
          <cell r="AK62" t="str">
            <v>АК КЕ ВСЬОГО</v>
          </cell>
          <cell r="AL62" t="str">
            <v xml:space="preserve"> Е/Е</v>
          </cell>
          <cell r="AM62" t="str">
            <v xml:space="preserve"> Т/Е</v>
          </cell>
        </row>
        <row r="65">
          <cell r="F65">
            <v>0</v>
          </cell>
          <cell r="G65" t="e">
            <v>#DIV/0!</v>
          </cell>
          <cell r="H65" t="e">
            <v>#DIV/0!</v>
          </cell>
          <cell r="S65">
            <v>0</v>
          </cell>
          <cell r="T65">
            <v>0</v>
          </cell>
          <cell r="U65">
            <v>0</v>
          </cell>
          <cell r="X65">
            <v>0</v>
          </cell>
          <cell r="Y65">
            <v>0</v>
          </cell>
          <cell r="Z65">
            <v>0</v>
          </cell>
          <cell r="AC65">
            <v>0</v>
          </cell>
          <cell r="AD65">
            <v>0</v>
          </cell>
          <cell r="AE65">
            <v>0</v>
          </cell>
          <cell r="AH65">
            <v>0</v>
          </cell>
          <cell r="AK65">
            <v>369645</v>
          </cell>
          <cell r="AL65">
            <v>156841</v>
          </cell>
          <cell r="AM65">
            <v>212804</v>
          </cell>
        </row>
        <row r="66">
          <cell r="F66">
            <v>0</v>
          </cell>
          <cell r="G66" t="e">
            <v>#DIV/0!</v>
          </cell>
          <cell r="H66" t="e">
            <v>#DIV/0!</v>
          </cell>
          <cell r="P66">
            <v>0</v>
          </cell>
          <cell r="S66">
            <v>0</v>
          </cell>
          <cell r="T66">
            <v>0</v>
          </cell>
          <cell r="U66">
            <v>0</v>
          </cell>
          <cell r="X66">
            <v>0</v>
          </cell>
          <cell r="Y66">
            <v>0</v>
          </cell>
          <cell r="Z66">
            <v>0</v>
          </cell>
          <cell r="AC66">
            <v>0</v>
          </cell>
          <cell r="AD66">
            <v>0</v>
          </cell>
          <cell r="AE66">
            <v>0</v>
          </cell>
          <cell r="AF66">
            <v>0</v>
          </cell>
          <cell r="AG66">
            <v>0</v>
          </cell>
          <cell r="AH66">
            <v>0</v>
          </cell>
          <cell r="AK66">
            <v>0</v>
          </cell>
        </row>
        <row r="67">
          <cell r="F67">
            <v>0</v>
          </cell>
          <cell r="G67" t="e">
            <v>#DIV/0!</v>
          </cell>
          <cell r="H67" t="e">
            <v>#DIV/0!</v>
          </cell>
          <cell r="T67">
            <v>0</v>
          </cell>
          <cell r="U67">
            <v>0</v>
          </cell>
          <cell r="AF67">
            <v>0</v>
          </cell>
          <cell r="AH67">
            <v>0</v>
          </cell>
          <cell r="AK67">
            <v>0</v>
          </cell>
        </row>
        <row r="68">
          <cell r="AK68">
            <v>252318</v>
          </cell>
          <cell r="AL68">
            <v>108450</v>
          </cell>
          <cell r="AM68">
            <v>136175</v>
          </cell>
        </row>
        <row r="69">
          <cell r="AK69">
            <v>81638</v>
          </cell>
          <cell r="AL69">
            <v>80802</v>
          </cell>
          <cell r="AM69">
            <v>836</v>
          </cell>
        </row>
        <row r="70">
          <cell r="AK70">
            <v>703601</v>
          </cell>
          <cell r="AL70">
            <v>346093</v>
          </cell>
          <cell r="AM70">
            <v>349815</v>
          </cell>
        </row>
        <row r="71">
          <cell r="AK71">
            <v>739139</v>
          </cell>
          <cell r="AL71">
            <v>449316</v>
          </cell>
          <cell r="AM71">
            <v>270163</v>
          </cell>
        </row>
        <row r="72">
          <cell r="AK72">
            <v>35538</v>
          </cell>
          <cell r="AL72">
            <v>103223</v>
          </cell>
          <cell r="AM72">
            <v>-79652</v>
          </cell>
        </row>
        <row r="185">
          <cell r="F185" t="str">
            <v>АПАРАТ ВСЬОГО</v>
          </cell>
          <cell r="G185" t="str">
            <v>АПАРАТ ЕЛЕКТРО</v>
          </cell>
          <cell r="H185" t="str">
            <v>АПАРАТ ТЕПЛО</v>
          </cell>
          <cell r="P185" t="str">
            <v>ККМ</v>
          </cell>
          <cell r="S185" t="str">
            <v>КТМ</v>
          </cell>
          <cell r="X185" t="str">
            <v>ТЕЦ-5 ВСЬОГО</v>
          </cell>
          <cell r="Y185" t="str">
            <v>Е/Е</v>
          </cell>
          <cell r="Z185" t="str">
            <v xml:space="preserve"> Т/Е</v>
          </cell>
          <cell r="AC185" t="str">
            <v>ТЕЦ-6 ВСЬОГО</v>
          </cell>
          <cell r="AD185" t="str">
            <v>Е/Е</v>
          </cell>
          <cell r="AE185" t="str">
            <v xml:space="preserve"> Т/Е</v>
          </cell>
          <cell r="AF185" t="str">
            <v>Е/Е</v>
          </cell>
          <cell r="AG185" t="str">
            <v xml:space="preserve"> Т/Е</v>
          </cell>
          <cell r="AJ185" t="str">
            <v>ДОП.ВИР. СТ.ОРГ.</v>
          </cell>
          <cell r="AK185" t="str">
            <v>АК КЕ ВСЬОГО</v>
          </cell>
          <cell r="AL185" t="str">
            <v>Е/Е</v>
          </cell>
          <cell r="AM185" t="str">
            <v xml:space="preserve"> Т/Е</v>
          </cell>
        </row>
        <row r="188">
          <cell r="S188">
            <v>101.3</v>
          </cell>
          <cell r="X188">
            <v>116.9</v>
          </cell>
          <cell r="AC188">
            <v>111.7</v>
          </cell>
          <cell r="AK188">
            <v>329.90000000000003</v>
          </cell>
        </row>
        <row r="189">
          <cell r="S189">
            <v>116</v>
          </cell>
          <cell r="X189">
            <v>133.9</v>
          </cell>
          <cell r="AC189">
            <v>127.8</v>
          </cell>
          <cell r="AK189">
            <v>377.7</v>
          </cell>
        </row>
        <row r="190">
          <cell r="P190">
            <v>0</v>
          </cell>
          <cell r="S190">
            <v>0</v>
          </cell>
          <cell r="X190">
            <v>0</v>
          </cell>
          <cell r="AC190">
            <v>0</v>
          </cell>
        </row>
        <row r="191">
          <cell r="P191">
            <v>0</v>
          </cell>
          <cell r="S191">
            <v>192.5</v>
          </cell>
          <cell r="X191">
            <v>192.5</v>
          </cell>
          <cell r="AC191">
            <v>192.5</v>
          </cell>
          <cell r="AK191">
            <v>192.5</v>
          </cell>
        </row>
        <row r="192">
          <cell r="S192">
            <v>19500</v>
          </cell>
          <cell r="X192">
            <v>22503</v>
          </cell>
          <cell r="AC192">
            <v>21502</v>
          </cell>
          <cell r="AK192">
            <v>63506</v>
          </cell>
        </row>
        <row r="193">
          <cell r="AK193">
            <v>63505</v>
          </cell>
        </row>
        <row r="194">
          <cell r="X194">
            <v>0</v>
          </cell>
          <cell r="AC194">
            <v>0</v>
          </cell>
          <cell r="AK194">
            <v>0</v>
          </cell>
        </row>
        <row r="195">
          <cell r="X195">
            <v>0</v>
          </cell>
          <cell r="AC195">
            <v>0</v>
          </cell>
          <cell r="AK195">
            <v>0</v>
          </cell>
        </row>
        <row r="196">
          <cell r="X196">
            <v>82.5</v>
          </cell>
          <cell r="AC196">
            <v>82.5</v>
          </cell>
        </row>
        <row r="197">
          <cell r="X197">
            <v>0</v>
          </cell>
          <cell r="AC197">
            <v>0</v>
          </cell>
          <cell r="AK197">
            <v>0</v>
          </cell>
        </row>
        <row r="198">
          <cell r="S198">
            <v>0</v>
          </cell>
          <cell r="X198">
            <v>0</v>
          </cell>
          <cell r="AC198">
            <v>0</v>
          </cell>
          <cell r="AK198">
            <v>0</v>
          </cell>
        </row>
        <row r="200">
          <cell r="X200">
            <v>4.0999999999999996</v>
          </cell>
          <cell r="AC200">
            <v>4.2</v>
          </cell>
          <cell r="AK200">
            <v>8.3000000000000007</v>
          </cell>
        </row>
        <row r="201">
          <cell r="X201">
            <v>5.7</v>
          </cell>
          <cell r="AC201">
            <v>5.9</v>
          </cell>
          <cell r="AK201">
            <v>11.600000000000001</v>
          </cell>
        </row>
        <row r="202">
          <cell r="F202">
            <v>75</v>
          </cell>
          <cell r="AJ202">
            <v>0</v>
          </cell>
        </row>
        <row r="203">
          <cell r="S203">
            <v>601.41999999999996</v>
          </cell>
          <cell r="X203">
            <v>601.41999999999996</v>
          </cell>
          <cell r="AC203">
            <v>601.41999999999996</v>
          </cell>
          <cell r="AK203">
            <v>601.41999999999996</v>
          </cell>
        </row>
        <row r="204">
          <cell r="S204">
            <v>0</v>
          </cell>
          <cell r="X204">
            <v>2466</v>
          </cell>
          <cell r="AC204">
            <v>2526</v>
          </cell>
          <cell r="AK204">
            <v>4992</v>
          </cell>
        </row>
        <row r="205">
          <cell r="AK205">
            <v>4992</v>
          </cell>
        </row>
        <row r="206">
          <cell r="S206">
            <v>116</v>
          </cell>
          <cell r="X206">
            <v>139.6</v>
          </cell>
          <cell r="Y206">
            <v>58</v>
          </cell>
          <cell r="Z206">
            <v>81.600000000000009</v>
          </cell>
          <cell r="AC206">
            <v>133.69999999999999</v>
          </cell>
          <cell r="AD206">
            <v>61.1</v>
          </cell>
          <cell r="AE206">
            <v>72.599999999999994</v>
          </cell>
          <cell r="AK206">
            <v>389.3</v>
          </cell>
          <cell r="AL206">
            <v>119.1</v>
          </cell>
          <cell r="AM206">
            <v>270.2</v>
          </cell>
        </row>
        <row r="207">
          <cell r="S207">
            <v>19500</v>
          </cell>
          <cell r="X207">
            <v>24969</v>
          </cell>
          <cell r="Y207">
            <v>11255</v>
          </cell>
          <cell r="Z207">
            <v>13714</v>
          </cell>
          <cell r="AA207">
            <v>13714</v>
          </cell>
          <cell r="AC207">
            <v>24028</v>
          </cell>
          <cell r="AD207">
            <v>11813</v>
          </cell>
          <cell r="AE207">
            <v>12215</v>
          </cell>
          <cell r="AK207">
            <v>68498</v>
          </cell>
          <cell r="AL207">
            <v>23068</v>
          </cell>
          <cell r="AM207">
            <v>45429</v>
          </cell>
        </row>
        <row r="208">
          <cell r="S208">
            <v>168.1</v>
          </cell>
          <cell r="X208">
            <v>178.86</v>
          </cell>
          <cell r="Y208">
            <v>194.05</v>
          </cell>
          <cell r="Z208">
            <v>168.06</v>
          </cell>
          <cell r="AC208">
            <v>179.72</v>
          </cell>
          <cell r="AD208">
            <v>193.34</v>
          </cell>
          <cell r="AE208">
            <v>168.25</v>
          </cell>
          <cell r="AJ208">
            <v>0</v>
          </cell>
          <cell r="AK208">
            <v>175.95</v>
          </cell>
          <cell r="AL208">
            <v>193.69</v>
          </cell>
          <cell r="AM208">
            <v>168.13</v>
          </cell>
        </row>
        <row r="209">
          <cell r="AM209">
            <v>0</v>
          </cell>
        </row>
        <row r="210">
          <cell r="X210">
            <v>24969</v>
          </cell>
          <cell r="AC210">
            <v>24028</v>
          </cell>
          <cell r="AK210">
            <v>68498</v>
          </cell>
          <cell r="AL210">
            <v>23068</v>
          </cell>
          <cell r="AM210">
            <v>45430</v>
          </cell>
        </row>
        <row r="221">
          <cell r="G221" t="str">
            <v>Б.В.ЯЩЕНКО</v>
          </cell>
        </row>
        <row r="222">
          <cell r="G222" t="str">
            <v>М.В.ТЕРПИЛО</v>
          </cell>
        </row>
        <row r="223">
          <cell r="G223" t="str">
            <v xml:space="preserve">В.І.МИРГОРОДСЬКИЙ                                  </v>
          </cell>
        </row>
        <row r="224">
          <cell r="G224" t="str">
            <v xml:space="preserve">М.І.ШЕВЧЕНКО                                 </v>
          </cell>
        </row>
        <row r="225">
          <cell r="G225" t="str">
            <v>В.Ю.МОНТЬЕВ</v>
          </cell>
        </row>
        <row r="226">
          <cell r="G226" t="str">
            <v xml:space="preserve">О.М.НИКОЛЕНКО      </v>
          </cell>
        </row>
        <row r="245">
          <cell r="AG245" t="str">
            <v xml:space="preserve">         Затверджую</v>
          </cell>
        </row>
        <row r="246">
          <cell r="AG246" t="str">
            <v xml:space="preserve"> Голова правління </v>
          </cell>
        </row>
        <row r="247">
          <cell r="AG247" t="str">
            <v xml:space="preserve">                        І.В.Плачков</v>
          </cell>
        </row>
        <row r="248">
          <cell r="AG248" t="str">
            <v xml:space="preserve">   "_____" ________2000 р.</v>
          </cell>
        </row>
        <row r="252">
          <cell r="F252" t="str">
            <v>РОЗРАХУНОК ФІНАНСОВИХ ПОТОКІВ НА   березень  2000 року</v>
          </cell>
        </row>
        <row r="253">
          <cell r="F253" t="str">
            <v>ПО ФІЛІАЛАХ АК КИЇВЕНЕРГО</v>
          </cell>
        </row>
        <row r="258">
          <cell r="AK258" t="str">
            <v>тис.грн.</v>
          </cell>
        </row>
        <row r="259">
          <cell r="F259" t="str">
            <v>ВИКОН.ДИР.</v>
          </cell>
          <cell r="G259" t="str">
            <v>АПАРАТ ЕЛЕКТРО</v>
          </cell>
          <cell r="H259" t="str">
            <v>АПАРАТ ТЕПЛО</v>
          </cell>
          <cell r="P259" t="str">
            <v>КМ</v>
          </cell>
          <cell r="Q259" t="str">
            <v>ТМ</v>
          </cell>
          <cell r="S259" t="str">
            <v>КТМ</v>
          </cell>
          <cell r="T259" t="str">
            <v>ВИРОБН</v>
          </cell>
          <cell r="U259" t="str">
            <v>ПЕРЕД</v>
          </cell>
          <cell r="X259" t="str">
            <v>ТЕЦ-5 ВСЬОГО</v>
          </cell>
          <cell r="Y259" t="str">
            <v>Е/Е</v>
          </cell>
          <cell r="Z259" t="str">
            <v xml:space="preserve"> Т/Е</v>
          </cell>
          <cell r="AC259" t="str">
            <v>ТЕЦ-6 ВСЬОГО</v>
          </cell>
          <cell r="AD259" t="str">
            <v>Е/Е</v>
          </cell>
          <cell r="AE259" t="str">
            <v xml:space="preserve"> Т/Е</v>
          </cell>
          <cell r="AF259" t="str">
            <v>ТРМ ВСЬОГО</v>
          </cell>
          <cell r="AG259" t="str">
            <v>ТРМ  АК КЕ</v>
          </cell>
          <cell r="AH259" t="str">
            <v>ТРМ СТОР</v>
          </cell>
          <cell r="AJ259" t="str">
            <v>ДОП.ВИР. СТ.ОРГ.</v>
          </cell>
          <cell r="AK259" t="str">
            <v>АК КЕ осн.вир.</v>
          </cell>
          <cell r="AL259" t="str">
            <v>АК КЕ ВСЬОГО</v>
          </cell>
          <cell r="AM259" t="str">
            <v xml:space="preserve"> Т/Е</v>
          </cell>
        </row>
        <row r="260">
          <cell r="F260">
            <v>0</v>
          </cell>
          <cell r="P260">
            <v>0</v>
          </cell>
          <cell r="S260">
            <v>0</v>
          </cell>
          <cell r="X260">
            <v>0</v>
          </cell>
          <cell r="AC260">
            <v>0</v>
          </cell>
          <cell r="AF260">
            <v>0</v>
          </cell>
          <cell r="AG260">
            <v>0</v>
          </cell>
          <cell r="AH260">
            <v>0</v>
          </cell>
          <cell r="AJ260">
            <v>7599</v>
          </cell>
          <cell r="AK260">
            <v>0</v>
          </cell>
        </row>
        <row r="262">
          <cell r="F262">
            <v>373145</v>
          </cell>
          <cell r="G262" t="e">
            <v>#DIV/0!</v>
          </cell>
          <cell r="H262" t="e">
            <v>#DIV/0!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J262">
            <v>0</v>
          </cell>
          <cell r="AK262">
            <v>438142</v>
          </cell>
          <cell r="AM262">
            <v>0</v>
          </cell>
        </row>
        <row r="263">
          <cell r="F263" t="e">
            <v>#REF!</v>
          </cell>
          <cell r="G263" t="e">
            <v>#DIV/0!</v>
          </cell>
          <cell r="H263" t="e">
            <v>#DIV/0!</v>
          </cell>
          <cell r="P263" t="e">
            <v>#REF!</v>
          </cell>
          <cell r="S263" t="e">
            <v>#REF!</v>
          </cell>
          <cell r="T263">
            <v>0</v>
          </cell>
          <cell r="U263">
            <v>0</v>
          </cell>
          <cell r="X263" t="e">
            <v>#REF!</v>
          </cell>
          <cell r="Y263">
            <v>0</v>
          </cell>
          <cell r="Z263">
            <v>0</v>
          </cell>
          <cell r="AC263" t="e">
            <v>#REF!</v>
          </cell>
          <cell r="AD263">
            <v>0</v>
          </cell>
          <cell r="AE263">
            <v>0</v>
          </cell>
          <cell r="AF263" t="e">
            <v>#REF!</v>
          </cell>
          <cell r="AG263" t="e">
            <v>#REF!</v>
          </cell>
          <cell r="AH263" t="e">
            <v>#REF!</v>
          </cell>
          <cell r="AJ263">
            <v>-2455</v>
          </cell>
          <cell r="AK263" t="e">
            <v>#REF!</v>
          </cell>
          <cell r="AM263" t="e">
            <v>#REF!</v>
          </cell>
        </row>
        <row r="264">
          <cell r="F264" t="e">
            <v>#REF!</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K264" t="e">
            <v>#REF!</v>
          </cell>
        </row>
        <row r="265">
          <cell r="F265">
            <v>68497</v>
          </cell>
          <cell r="AK265">
            <v>68497</v>
          </cell>
        </row>
        <row r="266">
          <cell r="F266">
            <v>0</v>
          </cell>
          <cell r="AK266">
            <v>0</v>
          </cell>
        </row>
        <row r="267">
          <cell r="F267" t="e">
            <v>#REF!</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K267" t="e">
            <v>#REF!</v>
          </cell>
        </row>
        <row r="268">
          <cell r="F268" t="e">
            <v>#REF!</v>
          </cell>
          <cell r="AK268" t="e">
            <v>#REF!</v>
          </cell>
        </row>
        <row r="269">
          <cell r="F269">
            <v>0</v>
          </cell>
          <cell r="AK269">
            <v>0</v>
          </cell>
        </row>
        <row r="270">
          <cell r="F270">
            <v>0</v>
          </cell>
          <cell r="AK270">
            <v>0</v>
          </cell>
        </row>
        <row r="271">
          <cell r="F271">
            <v>3500</v>
          </cell>
          <cell r="AK271">
            <v>3500</v>
          </cell>
        </row>
        <row r="272">
          <cell r="F272">
            <v>369645</v>
          </cell>
          <cell r="AK272">
            <v>369645</v>
          </cell>
        </row>
        <row r="273">
          <cell r="F273">
            <v>0</v>
          </cell>
          <cell r="P273">
            <v>0</v>
          </cell>
          <cell r="S273">
            <v>0</v>
          </cell>
          <cell r="X273">
            <v>0</v>
          </cell>
          <cell r="AC273">
            <v>0</v>
          </cell>
          <cell r="AF273">
            <v>0</v>
          </cell>
          <cell r="AG273">
            <v>0</v>
          </cell>
          <cell r="AH273">
            <v>0</v>
          </cell>
          <cell r="AK273">
            <v>0</v>
          </cell>
        </row>
        <row r="274">
          <cell r="F274">
            <v>0</v>
          </cell>
          <cell r="AK274">
            <v>0</v>
          </cell>
        </row>
        <row r="275">
          <cell r="F275">
            <v>0</v>
          </cell>
          <cell r="P275">
            <v>0</v>
          </cell>
          <cell r="S275">
            <v>0</v>
          </cell>
          <cell r="X275">
            <v>0</v>
          </cell>
          <cell r="AC275">
            <v>0</v>
          </cell>
          <cell r="AF275">
            <v>0</v>
          </cell>
          <cell r="AG275">
            <v>0</v>
          </cell>
          <cell r="AH275">
            <v>0</v>
          </cell>
          <cell r="AK275">
            <v>0</v>
          </cell>
        </row>
        <row r="276">
          <cell r="F276" t="e">
            <v>#REF!</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K276" t="e">
            <v>#REF!</v>
          </cell>
        </row>
        <row r="277">
          <cell r="F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K277" t="e">
            <v>#REF!</v>
          </cell>
        </row>
        <row r="278">
          <cell r="F278">
            <v>0</v>
          </cell>
          <cell r="G278">
            <v>0</v>
          </cell>
          <cell r="H278">
            <v>0</v>
          </cell>
          <cell r="P278">
            <v>0</v>
          </cell>
          <cell r="S278">
            <v>0</v>
          </cell>
          <cell r="T278">
            <v>0</v>
          </cell>
          <cell r="U278">
            <v>0</v>
          </cell>
          <cell r="X278">
            <v>0</v>
          </cell>
          <cell r="Y278">
            <v>0</v>
          </cell>
          <cell r="Z278">
            <v>0</v>
          </cell>
          <cell r="AC278">
            <v>0</v>
          </cell>
          <cell r="AD278">
            <v>0</v>
          </cell>
          <cell r="AE278">
            <v>0</v>
          </cell>
          <cell r="AF278">
            <v>0</v>
          </cell>
          <cell r="AG278">
            <v>0</v>
          </cell>
          <cell r="AH278">
            <v>0</v>
          </cell>
          <cell r="AK278">
            <v>0</v>
          </cell>
        </row>
        <row r="279">
          <cell r="F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K279" t="e">
            <v>#REF!</v>
          </cell>
        </row>
        <row r="280">
          <cell r="F280" t="e">
            <v>#REF!</v>
          </cell>
          <cell r="P280" t="e">
            <v>#REF!</v>
          </cell>
          <cell r="Q280">
            <v>0</v>
          </cell>
          <cell r="R280">
            <v>0</v>
          </cell>
          <cell r="S280" t="e">
            <v>#REF!</v>
          </cell>
          <cell r="T280">
            <v>0</v>
          </cell>
          <cell r="U280">
            <v>0</v>
          </cell>
          <cell r="V280">
            <v>0</v>
          </cell>
          <cell r="W280">
            <v>0</v>
          </cell>
          <cell r="X280" t="e">
            <v>#REF!</v>
          </cell>
          <cell r="Y280">
            <v>0</v>
          </cell>
          <cell r="Z280">
            <v>0</v>
          </cell>
          <cell r="AA280">
            <v>0</v>
          </cell>
          <cell r="AB280">
            <v>0</v>
          </cell>
          <cell r="AC280" t="e">
            <v>#REF!</v>
          </cell>
          <cell r="AD280">
            <v>0</v>
          </cell>
          <cell r="AE280">
            <v>0</v>
          </cell>
          <cell r="AF280" t="e">
            <v>#REF!</v>
          </cell>
          <cell r="AG280" t="e">
            <v>#REF!</v>
          </cell>
          <cell r="AH280" t="e">
            <v>#REF!</v>
          </cell>
          <cell r="AK280" t="e">
            <v>#REF!</v>
          </cell>
        </row>
        <row r="281">
          <cell r="F281" t="e">
            <v>#REF!</v>
          </cell>
          <cell r="P281" t="e">
            <v>#REF!</v>
          </cell>
          <cell r="S281" t="e">
            <v>#REF!</v>
          </cell>
          <cell r="X281" t="e">
            <v>#REF!</v>
          </cell>
          <cell r="AC281" t="e">
            <v>#REF!</v>
          </cell>
          <cell r="AF281" t="e">
            <v>#REF!</v>
          </cell>
          <cell r="AG281" t="e">
            <v>#REF!</v>
          </cell>
          <cell r="AH281" t="e">
            <v>#REF!</v>
          </cell>
          <cell r="AK281" t="e">
            <v>#REF!</v>
          </cell>
        </row>
        <row r="282">
          <cell r="F282" t="e">
            <v>#REF!</v>
          </cell>
          <cell r="P282" t="e">
            <v>#REF!</v>
          </cell>
          <cell r="S282" t="e">
            <v>#REF!</v>
          </cell>
          <cell r="X282" t="e">
            <v>#REF!</v>
          </cell>
          <cell r="AC282" t="e">
            <v>#REF!</v>
          </cell>
          <cell r="AF282" t="e">
            <v>#REF!</v>
          </cell>
          <cell r="AG282" t="e">
            <v>#REF!</v>
          </cell>
          <cell r="AH282" t="e">
            <v>#REF!</v>
          </cell>
          <cell r="AK282" t="e">
            <v>#REF!</v>
          </cell>
        </row>
        <row r="283">
          <cell r="F283">
            <v>60</v>
          </cell>
          <cell r="P283">
            <v>370</v>
          </cell>
          <cell r="S283">
            <v>480</v>
          </cell>
          <cell r="X283">
            <v>100</v>
          </cell>
          <cell r="AC283">
            <v>100</v>
          </cell>
          <cell r="AF283">
            <v>0</v>
          </cell>
          <cell r="AG283">
            <v>0</v>
          </cell>
          <cell r="AK283">
            <v>1110</v>
          </cell>
        </row>
        <row r="284">
          <cell r="F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J284">
            <v>0</v>
          </cell>
          <cell r="AK284">
            <v>0</v>
          </cell>
        </row>
        <row r="285">
          <cell r="F285" t="e">
            <v>#REF!</v>
          </cell>
          <cell r="P285" t="e">
            <v>#REF!</v>
          </cell>
          <cell r="Q285">
            <v>0</v>
          </cell>
          <cell r="R285">
            <v>0</v>
          </cell>
          <cell r="S285" t="e">
            <v>#REF!</v>
          </cell>
          <cell r="T285">
            <v>0</v>
          </cell>
          <cell r="U285">
            <v>0</v>
          </cell>
          <cell r="V285">
            <v>0</v>
          </cell>
          <cell r="W285">
            <v>0</v>
          </cell>
          <cell r="X285" t="e">
            <v>#REF!</v>
          </cell>
          <cell r="Y285">
            <v>0</v>
          </cell>
          <cell r="Z285">
            <v>0</v>
          </cell>
          <cell r="AA285">
            <v>0</v>
          </cell>
          <cell r="AB285">
            <v>0</v>
          </cell>
          <cell r="AC285" t="e">
            <v>#REF!</v>
          </cell>
          <cell r="AD285">
            <v>0</v>
          </cell>
          <cell r="AE285">
            <v>0</v>
          </cell>
          <cell r="AF285" t="e">
            <v>#REF!</v>
          </cell>
          <cell r="AG285" t="e">
            <v>#REF!</v>
          </cell>
          <cell r="AH285" t="e">
            <v>#REF!</v>
          </cell>
          <cell r="AK285" t="e">
            <v>#REF!</v>
          </cell>
        </row>
        <row r="286">
          <cell r="F286" t="e">
            <v>#REF!</v>
          </cell>
          <cell r="P286" t="e">
            <v>#REF!</v>
          </cell>
          <cell r="S286" t="e">
            <v>#REF!</v>
          </cell>
          <cell r="X286" t="e">
            <v>#REF!</v>
          </cell>
          <cell r="AC286" t="e">
            <v>#REF!</v>
          </cell>
          <cell r="AF286" t="e">
            <v>#REF!</v>
          </cell>
          <cell r="AG286" t="e">
            <v>#REF!</v>
          </cell>
          <cell r="AH286" t="e">
            <v>#REF!</v>
          </cell>
          <cell r="AK286" t="e">
            <v>#REF!</v>
          </cell>
        </row>
        <row r="287">
          <cell r="F287">
            <v>0</v>
          </cell>
          <cell r="P287">
            <v>0</v>
          </cell>
          <cell r="S287">
            <v>0</v>
          </cell>
          <cell r="X287">
            <v>0</v>
          </cell>
          <cell r="AC287">
            <v>0</v>
          </cell>
          <cell r="AF287">
            <v>0</v>
          </cell>
          <cell r="AG287">
            <v>0</v>
          </cell>
          <cell r="AH287">
            <v>0</v>
          </cell>
          <cell r="AK287">
            <v>0</v>
          </cell>
        </row>
        <row r="288">
          <cell r="AK288">
            <v>0</v>
          </cell>
        </row>
        <row r="289">
          <cell r="S289">
            <v>250</v>
          </cell>
          <cell r="AH289">
            <v>0</v>
          </cell>
          <cell r="AK289">
            <v>250</v>
          </cell>
        </row>
        <row r="290">
          <cell r="F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K290" t="e">
            <v>#REF!</v>
          </cell>
        </row>
        <row r="291">
          <cell r="AK291">
            <v>0</v>
          </cell>
        </row>
        <row r="292">
          <cell r="F292" t="e">
            <v>#REF!</v>
          </cell>
          <cell r="P292" t="e">
            <v>#REF!</v>
          </cell>
          <cell r="Q292">
            <v>0</v>
          </cell>
          <cell r="R292">
            <v>0</v>
          </cell>
          <cell r="S292" t="e">
            <v>#REF!</v>
          </cell>
          <cell r="T292">
            <v>0</v>
          </cell>
          <cell r="U292">
            <v>0</v>
          </cell>
          <cell r="V292">
            <v>0</v>
          </cell>
          <cell r="W292">
            <v>0</v>
          </cell>
          <cell r="X292" t="e">
            <v>#REF!</v>
          </cell>
          <cell r="Y292">
            <v>0</v>
          </cell>
          <cell r="Z292">
            <v>0</v>
          </cell>
          <cell r="AA292">
            <v>0</v>
          </cell>
          <cell r="AB292">
            <v>0</v>
          </cell>
          <cell r="AC292" t="e">
            <v>#REF!</v>
          </cell>
          <cell r="AD292">
            <v>0</v>
          </cell>
          <cell r="AE292">
            <v>0</v>
          </cell>
          <cell r="AF292" t="e">
            <v>#REF!</v>
          </cell>
          <cell r="AG292" t="e">
            <v>#REF!</v>
          </cell>
          <cell r="AH292" t="e">
            <v>#REF!</v>
          </cell>
          <cell r="AK292" t="e">
            <v>#REF!</v>
          </cell>
        </row>
        <row r="293">
          <cell r="F293">
            <v>0</v>
          </cell>
          <cell r="P293">
            <v>-370</v>
          </cell>
          <cell r="S293">
            <v>-730</v>
          </cell>
          <cell r="X293">
            <v>-100</v>
          </cell>
          <cell r="AC293">
            <v>-100</v>
          </cell>
          <cell r="AF293">
            <v>0</v>
          </cell>
          <cell r="AG293">
            <v>0</v>
          </cell>
          <cell r="AH293">
            <v>0</v>
          </cell>
          <cell r="AK293">
            <v>-1300</v>
          </cell>
        </row>
        <row r="294">
          <cell r="F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K294">
            <v>0</v>
          </cell>
        </row>
        <row r="295">
          <cell r="F295">
            <v>0</v>
          </cell>
          <cell r="P295">
            <v>0</v>
          </cell>
          <cell r="S295">
            <v>0</v>
          </cell>
          <cell r="X295">
            <v>0</v>
          </cell>
          <cell r="AC295">
            <v>0</v>
          </cell>
          <cell r="AF295">
            <v>0</v>
          </cell>
          <cell r="AG295">
            <v>0</v>
          </cell>
          <cell r="AH295">
            <v>0</v>
          </cell>
          <cell r="AK295">
            <v>0</v>
          </cell>
        </row>
        <row r="296">
          <cell r="F296">
            <v>0</v>
          </cell>
          <cell r="P296">
            <v>0</v>
          </cell>
          <cell r="S296">
            <v>0</v>
          </cell>
          <cell r="X296">
            <v>0</v>
          </cell>
          <cell r="AC296">
            <v>0</v>
          </cell>
          <cell r="AF296">
            <v>0</v>
          </cell>
          <cell r="AG296">
            <v>0</v>
          </cell>
          <cell r="AH296">
            <v>0</v>
          </cell>
          <cell r="AK296">
            <v>0</v>
          </cell>
        </row>
        <row r="297">
          <cell r="F297" t="e">
            <v>#REF!</v>
          </cell>
          <cell r="P297" t="e">
            <v>#REF!</v>
          </cell>
          <cell r="Q297">
            <v>0</v>
          </cell>
          <cell r="R297">
            <v>0</v>
          </cell>
          <cell r="S297" t="e">
            <v>#REF!</v>
          </cell>
          <cell r="T297">
            <v>0</v>
          </cell>
          <cell r="U297">
            <v>0</v>
          </cell>
          <cell r="V297">
            <v>0</v>
          </cell>
          <cell r="W297">
            <v>0</v>
          </cell>
          <cell r="X297" t="e">
            <v>#REF!</v>
          </cell>
          <cell r="Y297">
            <v>0</v>
          </cell>
          <cell r="Z297">
            <v>0</v>
          </cell>
          <cell r="AA297">
            <v>0</v>
          </cell>
          <cell r="AB297">
            <v>0</v>
          </cell>
          <cell r="AC297" t="e">
            <v>#REF!</v>
          </cell>
          <cell r="AD297">
            <v>0</v>
          </cell>
          <cell r="AE297">
            <v>0</v>
          </cell>
          <cell r="AF297" t="e">
            <v>#REF!</v>
          </cell>
          <cell r="AG297" t="e">
            <v>#REF!</v>
          </cell>
          <cell r="AH297" t="e">
            <v>#REF!</v>
          </cell>
          <cell r="AK297" t="e">
            <v>#REF!</v>
          </cell>
        </row>
        <row r="298">
          <cell r="F298" t="e">
            <v>#REF!</v>
          </cell>
          <cell r="P298" t="e">
            <v>#REF!</v>
          </cell>
          <cell r="S298" t="e">
            <v>#REF!</v>
          </cell>
          <cell r="X298" t="e">
            <v>#REF!</v>
          </cell>
          <cell r="AC298" t="e">
            <v>#REF!</v>
          </cell>
          <cell r="AF298" t="e">
            <v>#REF!</v>
          </cell>
          <cell r="AG298" t="e">
            <v>#REF!</v>
          </cell>
          <cell r="AH298" t="e">
            <v>#REF!</v>
          </cell>
          <cell r="AK298" t="e">
            <v>#REF!</v>
          </cell>
        </row>
        <row r="299">
          <cell r="F299" t="e">
            <v>#REF!</v>
          </cell>
          <cell r="P299" t="e">
            <v>#REF!</v>
          </cell>
          <cell r="S299" t="e">
            <v>#REF!</v>
          </cell>
          <cell r="X299" t="e">
            <v>#REF!</v>
          </cell>
          <cell r="AC299" t="e">
            <v>#REF!</v>
          </cell>
          <cell r="AF299" t="e">
            <v>#REF!</v>
          </cell>
          <cell r="AG299" t="e">
            <v>#REF!</v>
          </cell>
          <cell r="AH299" t="e">
            <v>#REF!</v>
          </cell>
          <cell r="AK299" t="e">
            <v>#REF!</v>
          </cell>
        </row>
        <row r="300">
          <cell r="F300">
            <v>0</v>
          </cell>
          <cell r="P300">
            <v>0</v>
          </cell>
          <cell r="S300">
            <v>0</v>
          </cell>
          <cell r="X300">
            <v>0</v>
          </cell>
          <cell r="AC300">
            <v>0</v>
          </cell>
          <cell r="AF300">
            <v>0</v>
          </cell>
          <cell r="AG300">
            <v>0</v>
          </cell>
          <cell r="AH300">
            <v>0</v>
          </cell>
          <cell r="AK300">
            <v>0</v>
          </cell>
        </row>
        <row r="301">
          <cell r="P301">
            <v>0</v>
          </cell>
          <cell r="AF301">
            <v>0</v>
          </cell>
          <cell r="AG301">
            <v>0</v>
          </cell>
          <cell r="AH301">
            <v>0</v>
          </cell>
          <cell r="AK301">
            <v>0</v>
          </cell>
        </row>
        <row r="302">
          <cell r="F302">
            <v>0</v>
          </cell>
          <cell r="P302">
            <v>0</v>
          </cell>
          <cell r="S302">
            <v>0</v>
          </cell>
          <cell r="X302">
            <v>0</v>
          </cell>
          <cell r="AC302">
            <v>0</v>
          </cell>
          <cell r="AF302">
            <v>0</v>
          </cell>
          <cell r="AG302">
            <v>0</v>
          </cell>
          <cell r="AH302">
            <v>0</v>
          </cell>
          <cell r="AK302">
            <v>0</v>
          </cell>
        </row>
        <row r="303">
          <cell r="F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K303" t="e">
            <v>#REF!</v>
          </cell>
        </row>
        <row r="304">
          <cell r="AH304">
            <v>191</v>
          </cell>
          <cell r="AK304">
            <v>0</v>
          </cell>
        </row>
        <row r="306">
          <cell r="F306" t="e">
            <v>#REF!</v>
          </cell>
          <cell r="G306">
            <v>0</v>
          </cell>
          <cell r="H306">
            <v>0</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F306" t="e">
            <v>#REF!</v>
          </cell>
          <cell r="AG306" t="e">
            <v>#REF!</v>
          </cell>
          <cell r="AH306" t="e">
            <v>#REF!</v>
          </cell>
          <cell r="AK306" t="e">
            <v>#REF!</v>
          </cell>
        </row>
        <row r="307">
          <cell r="F307">
            <v>0</v>
          </cell>
          <cell r="AK307">
            <v>0</v>
          </cell>
        </row>
        <row r="308">
          <cell r="F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K308">
            <v>0</v>
          </cell>
        </row>
        <row r="309">
          <cell r="F309">
            <v>0</v>
          </cell>
          <cell r="P309">
            <v>0</v>
          </cell>
          <cell r="S309">
            <v>0</v>
          </cell>
          <cell r="X309">
            <v>0</v>
          </cell>
          <cell r="AC309">
            <v>0</v>
          </cell>
          <cell r="AF309">
            <v>0</v>
          </cell>
          <cell r="AG309">
            <v>0</v>
          </cell>
          <cell r="AH309">
            <v>0</v>
          </cell>
          <cell r="AK309">
            <v>0</v>
          </cell>
        </row>
        <row r="310">
          <cell r="AK310">
            <v>0</v>
          </cell>
        </row>
        <row r="311">
          <cell r="F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K311" t="e">
            <v>#REF!</v>
          </cell>
        </row>
        <row r="312">
          <cell r="AK312">
            <v>0</v>
          </cell>
        </row>
        <row r="313">
          <cell r="P313">
            <v>0</v>
          </cell>
          <cell r="AK313">
            <v>0</v>
          </cell>
        </row>
        <row r="314">
          <cell r="S314">
            <v>0</v>
          </cell>
          <cell r="AK314">
            <v>0</v>
          </cell>
        </row>
        <row r="315">
          <cell r="F315">
            <v>0</v>
          </cell>
          <cell r="AK315">
            <v>0</v>
          </cell>
        </row>
        <row r="316">
          <cell r="S316">
            <v>0</v>
          </cell>
        </row>
        <row r="317">
          <cell r="F317">
            <v>0</v>
          </cell>
          <cell r="AK317">
            <v>0</v>
          </cell>
        </row>
        <row r="318">
          <cell r="AK318">
            <v>0</v>
          </cell>
        </row>
        <row r="320">
          <cell r="AK320">
            <v>0</v>
          </cell>
        </row>
        <row r="321">
          <cell r="S321">
            <v>0</v>
          </cell>
        </row>
        <row r="322">
          <cell r="F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K322" t="e">
            <v>#REF!</v>
          </cell>
        </row>
        <row r="331">
          <cell r="AJ331">
            <v>2455</v>
          </cell>
          <cell r="AK331">
            <v>0</v>
          </cell>
          <cell r="AM331">
            <v>0</v>
          </cell>
        </row>
        <row r="332">
          <cell r="F332">
            <v>0</v>
          </cell>
          <cell r="P332">
            <v>0</v>
          </cell>
          <cell r="S332">
            <v>0</v>
          </cell>
          <cell r="X332">
            <v>0</v>
          </cell>
          <cell r="AC332">
            <v>0</v>
          </cell>
          <cell r="AF332">
            <v>0</v>
          </cell>
          <cell r="AG332">
            <v>0</v>
          </cell>
          <cell r="AH332">
            <v>0</v>
          </cell>
          <cell r="AK332">
            <v>0</v>
          </cell>
          <cell r="AM332">
            <v>0</v>
          </cell>
        </row>
        <row r="333">
          <cell r="AJ333">
            <v>36</v>
          </cell>
          <cell r="AK333" t="e">
            <v>#REF!</v>
          </cell>
          <cell r="AM333" t="e">
            <v>#REF!</v>
          </cell>
        </row>
        <row r="334">
          <cell r="AK334" t="e">
            <v>#REF!</v>
          </cell>
          <cell r="AM334" t="e">
            <v>#REF!</v>
          </cell>
        </row>
        <row r="335">
          <cell r="AJ335">
            <v>36</v>
          </cell>
          <cell r="AK335">
            <v>0</v>
          </cell>
          <cell r="AM335">
            <v>0</v>
          </cell>
        </row>
        <row r="336">
          <cell r="AK336">
            <v>0</v>
          </cell>
          <cell r="AM336">
            <v>0</v>
          </cell>
        </row>
        <row r="337">
          <cell r="AK337">
            <v>3500</v>
          </cell>
          <cell r="AM337">
            <v>3500</v>
          </cell>
        </row>
        <row r="338">
          <cell r="AK338">
            <v>369645</v>
          </cell>
        </row>
        <row r="339">
          <cell r="AK339">
            <v>0</v>
          </cell>
          <cell r="AM339">
            <v>0</v>
          </cell>
        </row>
        <row r="340">
          <cell r="AK340">
            <v>0</v>
          </cell>
        </row>
        <row r="341">
          <cell r="AK341">
            <v>0</v>
          </cell>
          <cell r="AM341">
            <v>0</v>
          </cell>
        </row>
        <row r="342">
          <cell r="AK342">
            <v>-1300</v>
          </cell>
          <cell r="AM342">
            <v>-1300</v>
          </cell>
        </row>
        <row r="343">
          <cell r="AK343">
            <v>0</v>
          </cell>
          <cell r="AM343">
            <v>0</v>
          </cell>
        </row>
        <row r="344">
          <cell r="AK344">
            <v>0</v>
          </cell>
          <cell r="AM344">
            <v>0</v>
          </cell>
        </row>
        <row r="345">
          <cell r="AK345">
            <v>0</v>
          </cell>
          <cell r="AM345">
            <v>0</v>
          </cell>
        </row>
        <row r="346">
          <cell r="AK346">
            <v>0</v>
          </cell>
          <cell r="AM346">
            <v>0</v>
          </cell>
        </row>
        <row r="347">
          <cell r="AK347" t="e">
            <v>#REF!</v>
          </cell>
          <cell r="AM347" t="e">
            <v>#REF!</v>
          </cell>
        </row>
        <row r="348">
          <cell r="AK348" t="e">
            <v>#REF!</v>
          </cell>
          <cell r="AM348" t="e">
            <v>#REF!</v>
          </cell>
        </row>
        <row r="349">
          <cell r="AK349" t="e">
            <v>#REF!</v>
          </cell>
          <cell r="AM349" t="e">
            <v>#REF!</v>
          </cell>
        </row>
        <row r="350">
          <cell r="AK350">
            <v>1110</v>
          </cell>
        </row>
        <row r="351">
          <cell r="AK351">
            <v>0</v>
          </cell>
        </row>
        <row r="352">
          <cell r="AK352">
            <v>0</v>
          </cell>
          <cell r="AM352">
            <v>0</v>
          </cell>
        </row>
        <row r="353">
          <cell r="AK353" t="e">
            <v>#REF!</v>
          </cell>
          <cell r="AM353" t="e">
            <v>#REF!</v>
          </cell>
        </row>
        <row r="354">
          <cell r="AK354">
            <v>0</v>
          </cell>
          <cell r="AM354">
            <v>0</v>
          </cell>
        </row>
        <row r="355">
          <cell r="P355">
            <v>225</v>
          </cell>
          <cell r="S355">
            <v>296</v>
          </cell>
          <cell r="X355">
            <v>56</v>
          </cell>
          <cell r="AC355">
            <v>0</v>
          </cell>
          <cell r="AF355">
            <v>0</v>
          </cell>
          <cell r="AG355">
            <v>0</v>
          </cell>
          <cell r="AH355">
            <v>0</v>
          </cell>
          <cell r="AK355">
            <v>577</v>
          </cell>
        </row>
        <row r="356">
          <cell r="AK356">
            <v>0</v>
          </cell>
        </row>
        <row r="357">
          <cell r="F357">
            <v>0</v>
          </cell>
          <cell r="P357">
            <v>0</v>
          </cell>
          <cell r="S357">
            <v>0</v>
          </cell>
          <cell r="X357">
            <v>0</v>
          </cell>
          <cell r="AC357">
            <v>0</v>
          </cell>
          <cell r="AF357">
            <v>0</v>
          </cell>
          <cell r="AG357">
            <v>0</v>
          </cell>
          <cell r="AH357">
            <v>0</v>
          </cell>
          <cell r="AK357">
            <v>0</v>
          </cell>
          <cell r="AM357">
            <v>0</v>
          </cell>
        </row>
        <row r="358">
          <cell r="AK358">
            <v>0</v>
          </cell>
          <cell r="AM358">
            <v>0</v>
          </cell>
        </row>
        <row r="359">
          <cell r="AK359">
            <v>0</v>
          </cell>
          <cell r="AM359">
            <v>0</v>
          </cell>
        </row>
        <row r="360">
          <cell r="AK360">
            <v>0</v>
          </cell>
          <cell r="AM360">
            <v>0</v>
          </cell>
        </row>
        <row r="361">
          <cell r="AJ361">
            <v>-2491</v>
          </cell>
          <cell r="AK361" t="e">
            <v>#REF!</v>
          </cell>
          <cell r="AM361" t="e">
            <v>#REF!</v>
          </cell>
        </row>
        <row r="362">
          <cell r="AK362" t="e">
            <v>#REF!</v>
          </cell>
        </row>
        <row r="363">
          <cell r="AK363" t="e">
            <v>#REF!</v>
          </cell>
        </row>
        <row r="364">
          <cell r="AK364">
            <v>0</v>
          </cell>
        </row>
        <row r="365">
          <cell r="F365">
            <v>0</v>
          </cell>
          <cell r="P365">
            <v>0</v>
          </cell>
          <cell r="S365">
            <v>0</v>
          </cell>
          <cell r="T365">
            <v>0</v>
          </cell>
          <cell r="U365">
            <v>0</v>
          </cell>
          <cell r="X365">
            <v>0</v>
          </cell>
          <cell r="Y365">
            <v>0</v>
          </cell>
          <cell r="Z365">
            <v>0</v>
          </cell>
          <cell r="AC365">
            <v>0</v>
          </cell>
          <cell r="AD365">
            <v>0</v>
          </cell>
          <cell r="AE365">
            <v>0</v>
          </cell>
          <cell r="AF365">
            <v>0</v>
          </cell>
          <cell r="AG365">
            <v>0</v>
          </cell>
          <cell r="AH365">
            <v>0</v>
          </cell>
          <cell r="AK365">
            <v>0</v>
          </cell>
          <cell r="AM365">
            <v>0</v>
          </cell>
        </row>
        <row r="374">
          <cell r="F374">
            <v>0</v>
          </cell>
        </row>
        <row r="386">
          <cell r="F386" t="str">
            <v>лютий</v>
          </cell>
          <cell r="P386" t="str">
            <v>лютий</v>
          </cell>
          <cell r="X386" t="str">
            <v>лютий</v>
          </cell>
          <cell r="AC386" t="str">
            <v>лютий</v>
          </cell>
        </row>
        <row r="387">
          <cell r="F387" t="str">
            <v>АППАРАТ</v>
          </cell>
          <cell r="P387" t="str">
            <v>ККМ</v>
          </cell>
          <cell r="X387" t="str">
            <v>ТЕЦ5</v>
          </cell>
          <cell r="AC387" t="str">
            <v>ТЕЦ6</v>
          </cell>
          <cell r="AK387" t="str">
            <v>АК "КЕ"</v>
          </cell>
          <cell r="AL387" t="str">
            <v>Е/Е</v>
          </cell>
        </row>
        <row r="388">
          <cell r="F388" t="str">
            <v>ПЛАН</v>
          </cell>
          <cell r="P388" t="str">
            <v>ПЛАН</v>
          </cell>
          <cell r="X388" t="str">
            <v>ПЛАН</v>
          </cell>
          <cell r="AC388" t="str">
            <v>ПЛАН</v>
          </cell>
          <cell r="AK388" t="str">
            <v>ПЛАН</v>
          </cell>
          <cell r="AL388" t="str">
            <v>ПЛАН</v>
          </cell>
        </row>
        <row r="389">
          <cell r="F389">
            <v>164.3</v>
          </cell>
          <cell r="G389">
            <v>50</v>
          </cell>
          <cell r="H389">
            <v>51</v>
          </cell>
          <cell r="P389">
            <v>14.333333333333332</v>
          </cell>
          <cell r="S389">
            <v>14.333333333333332</v>
          </cell>
          <cell r="X389">
            <v>182</v>
          </cell>
          <cell r="Y389">
            <v>76</v>
          </cell>
          <cell r="Z389">
            <v>76</v>
          </cell>
          <cell r="AC389">
            <v>323.66666666666674</v>
          </cell>
          <cell r="AD389">
            <v>148</v>
          </cell>
          <cell r="AE389">
            <v>147</v>
          </cell>
          <cell r="AK389">
            <v>735.30000000000018</v>
          </cell>
          <cell r="AL389" t="e">
            <v>#REF!</v>
          </cell>
          <cell r="AM389">
            <v>303.33333333333326</v>
          </cell>
        </row>
        <row r="390">
          <cell r="F390">
            <v>29</v>
          </cell>
          <cell r="G390">
            <v>9</v>
          </cell>
          <cell r="P390">
            <v>0</v>
          </cell>
          <cell r="X390">
            <v>0</v>
          </cell>
          <cell r="Y390">
            <v>0</v>
          </cell>
          <cell r="AC390">
            <v>3.6666666666666665</v>
          </cell>
          <cell r="AD390">
            <v>2</v>
          </cell>
          <cell r="AK390">
            <v>46</v>
          </cell>
          <cell r="AL390">
            <v>14</v>
          </cell>
        </row>
        <row r="391">
          <cell r="F391">
            <v>0</v>
          </cell>
          <cell r="G391">
            <v>0</v>
          </cell>
          <cell r="P391">
            <v>0.66666666666666663</v>
          </cell>
          <cell r="X391">
            <v>146.66666666666666</v>
          </cell>
          <cell r="Y391">
            <v>61</v>
          </cell>
          <cell r="AC391">
            <v>280.66666666666669</v>
          </cell>
          <cell r="AD391">
            <v>128</v>
          </cell>
          <cell r="AK391">
            <v>428</v>
          </cell>
          <cell r="AL391">
            <v>189.66666666666666</v>
          </cell>
        </row>
        <row r="392">
          <cell r="F392">
            <v>0</v>
          </cell>
          <cell r="G392">
            <v>0</v>
          </cell>
          <cell r="P392">
            <v>2</v>
          </cell>
          <cell r="X392">
            <v>0</v>
          </cell>
          <cell r="Y392">
            <v>0</v>
          </cell>
          <cell r="AC392">
            <v>25</v>
          </cell>
          <cell r="AD392">
            <v>11</v>
          </cell>
          <cell r="AK392">
            <v>33.666666666666671</v>
          </cell>
          <cell r="AL392">
            <v>16</v>
          </cell>
        </row>
        <row r="393">
          <cell r="F393">
            <v>0</v>
          </cell>
          <cell r="G393">
            <v>0</v>
          </cell>
          <cell r="P393">
            <v>0</v>
          </cell>
          <cell r="X393">
            <v>25.333333333333332</v>
          </cell>
          <cell r="Y393">
            <v>11</v>
          </cell>
          <cell r="AC393">
            <v>0.66666666666666663</v>
          </cell>
          <cell r="AD393">
            <v>0</v>
          </cell>
          <cell r="AK393">
            <v>26</v>
          </cell>
          <cell r="AL393">
            <v>11</v>
          </cell>
        </row>
        <row r="394">
          <cell r="F394">
            <v>120.63333333333333</v>
          </cell>
          <cell r="G394">
            <v>37</v>
          </cell>
          <cell r="P394">
            <v>0</v>
          </cell>
          <cell r="X394">
            <v>0</v>
          </cell>
          <cell r="Y394">
            <v>0</v>
          </cell>
          <cell r="AC394">
            <v>0</v>
          </cell>
          <cell r="AD394">
            <v>0</v>
          </cell>
          <cell r="AK394">
            <v>120.63333333333333</v>
          </cell>
          <cell r="AL394">
            <v>39</v>
          </cell>
        </row>
        <row r="395">
          <cell r="F395">
            <v>8.6666666666666661</v>
          </cell>
          <cell r="G395">
            <v>3</v>
          </cell>
          <cell r="P395">
            <v>0</v>
          </cell>
          <cell r="X395">
            <v>0</v>
          </cell>
          <cell r="Y395">
            <v>0</v>
          </cell>
          <cell r="AC395">
            <v>0</v>
          </cell>
          <cell r="AD395">
            <v>0</v>
          </cell>
          <cell r="AK395">
            <v>8.6666666666666661</v>
          </cell>
          <cell r="AL395">
            <v>0</v>
          </cell>
        </row>
        <row r="396">
          <cell r="F396">
            <v>0</v>
          </cell>
          <cell r="G396">
            <v>0</v>
          </cell>
          <cell r="P396">
            <v>5.333333333333333</v>
          </cell>
          <cell r="X396">
            <v>0</v>
          </cell>
          <cell r="Y396">
            <v>0</v>
          </cell>
          <cell r="AC396">
            <v>0</v>
          </cell>
          <cell r="AD396">
            <v>0</v>
          </cell>
          <cell r="AK396">
            <v>22</v>
          </cell>
          <cell r="AL396">
            <v>15.333333333333332</v>
          </cell>
        </row>
        <row r="397">
          <cell r="F397">
            <v>5.333333333333333</v>
          </cell>
          <cell r="G397">
            <v>2</v>
          </cell>
          <cell r="P397">
            <v>0</v>
          </cell>
          <cell r="X397">
            <v>0</v>
          </cell>
          <cell r="Y397">
            <v>0</v>
          </cell>
          <cell r="AC397">
            <v>0</v>
          </cell>
          <cell r="AD397">
            <v>0</v>
          </cell>
          <cell r="AK397">
            <v>5.333333333333333</v>
          </cell>
          <cell r="AL397">
            <v>2</v>
          </cell>
        </row>
        <row r="398">
          <cell r="F398">
            <v>0.33333333333333331</v>
          </cell>
          <cell r="G398">
            <v>0</v>
          </cell>
          <cell r="P398">
            <v>4.333333333333333</v>
          </cell>
          <cell r="X398">
            <v>0</v>
          </cell>
          <cell r="Y398">
            <v>0</v>
          </cell>
          <cell r="AC398">
            <v>0</v>
          </cell>
          <cell r="AD398">
            <v>0</v>
          </cell>
          <cell r="AK398">
            <v>4.6666666666666661</v>
          </cell>
          <cell r="AL398">
            <v>4.333333333333333</v>
          </cell>
        </row>
        <row r="399">
          <cell r="F399">
            <v>0.33333333333333331</v>
          </cell>
          <cell r="G399">
            <v>0</v>
          </cell>
          <cell r="P399">
            <v>2</v>
          </cell>
          <cell r="X399">
            <v>10</v>
          </cell>
          <cell r="Y399">
            <v>4</v>
          </cell>
          <cell r="AC399">
            <v>13.666666666666666</v>
          </cell>
          <cell r="AD399">
            <v>6</v>
          </cell>
          <cell r="AK399">
            <v>26</v>
          </cell>
          <cell r="AL399">
            <v>12</v>
          </cell>
        </row>
        <row r="400">
          <cell r="F400">
            <v>0</v>
          </cell>
          <cell r="G400">
            <v>0</v>
          </cell>
          <cell r="P400">
            <v>0</v>
          </cell>
          <cell r="X400">
            <v>0</v>
          </cell>
          <cell r="Y400">
            <v>0</v>
          </cell>
          <cell r="AC400">
            <v>0</v>
          </cell>
          <cell r="AD400">
            <v>0</v>
          </cell>
          <cell r="AK400">
            <v>0</v>
          </cell>
        </row>
        <row r="401">
          <cell r="F401">
            <v>1.1666666666666667</v>
          </cell>
          <cell r="G401">
            <v>0</v>
          </cell>
          <cell r="P401">
            <v>20.5</v>
          </cell>
          <cell r="X401">
            <v>522.33333333333337</v>
          </cell>
          <cell r="Y401">
            <v>217</v>
          </cell>
          <cell r="AC401">
            <v>43</v>
          </cell>
          <cell r="AD401">
            <v>20</v>
          </cell>
          <cell r="AK401">
            <v>587.33333333333337</v>
          </cell>
          <cell r="AL401">
            <v>257.5</v>
          </cell>
          <cell r="AM401">
            <v>257.83333333333331</v>
          </cell>
        </row>
        <row r="402">
          <cell r="F402">
            <v>0</v>
          </cell>
          <cell r="G402">
            <v>0</v>
          </cell>
          <cell r="P402">
            <v>0</v>
          </cell>
          <cell r="X402">
            <v>0</v>
          </cell>
          <cell r="Y402">
            <v>0</v>
          </cell>
          <cell r="AC402">
            <v>0</v>
          </cell>
          <cell r="AD402">
            <v>0</v>
          </cell>
          <cell r="AK402">
            <v>0</v>
          </cell>
          <cell r="AL402">
            <v>0</v>
          </cell>
        </row>
        <row r="403">
          <cell r="F403">
            <v>0</v>
          </cell>
          <cell r="G403">
            <v>0</v>
          </cell>
          <cell r="P403">
            <v>0</v>
          </cell>
          <cell r="X403">
            <v>480.66666666666669</v>
          </cell>
          <cell r="Y403">
            <v>200</v>
          </cell>
          <cell r="AC403">
            <v>11</v>
          </cell>
          <cell r="AD403">
            <v>5</v>
          </cell>
          <cell r="AK403">
            <v>491.66666666666669</v>
          </cell>
          <cell r="AL403">
            <v>205</v>
          </cell>
        </row>
        <row r="404">
          <cell r="F404">
            <v>0</v>
          </cell>
          <cell r="G404">
            <v>0</v>
          </cell>
          <cell r="P404">
            <v>0</v>
          </cell>
          <cell r="X404">
            <v>0</v>
          </cell>
          <cell r="Y404">
            <v>0</v>
          </cell>
          <cell r="AC404">
            <v>0</v>
          </cell>
          <cell r="AD404">
            <v>0</v>
          </cell>
          <cell r="AK404">
            <v>0</v>
          </cell>
          <cell r="AL404">
            <v>0</v>
          </cell>
        </row>
        <row r="405">
          <cell r="F405">
            <v>1.1666666666666667</v>
          </cell>
          <cell r="G405">
            <v>0</v>
          </cell>
          <cell r="P405">
            <v>15.833333333333334</v>
          </cell>
          <cell r="X405">
            <v>41.666666666666664</v>
          </cell>
          <cell r="Y405">
            <v>17</v>
          </cell>
          <cell r="AC405">
            <v>32</v>
          </cell>
          <cell r="AD405">
            <v>15</v>
          </cell>
          <cell r="AK405">
            <v>91</v>
          </cell>
          <cell r="AL405">
            <v>52.833333333333336</v>
          </cell>
        </row>
        <row r="406">
          <cell r="F406">
            <v>0</v>
          </cell>
          <cell r="G406">
            <v>0</v>
          </cell>
          <cell r="P406">
            <v>4.666666666666667</v>
          </cell>
          <cell r="X406">
            <v>0</v>
          </cell>
          <cell r="Y406">
            <v>0</v>
          </cell>
          <cell r="AC406">
            <v>0</v>
          </cell>
          <cell r="AD406">
            <v>0</v>
          </cell>
          <cell r="AK406">
            <v>4.666666666666667</v>
          </cell>
          <cell r="AL406">
            <v>0</v>
          </cell>
        </row>
        <row r="407">
          <cell r="F407">
            <v>0</v>
          </cell>
          <cell r="G407">
            <v>0</v>
          </cell>
          <cell r="P407">
            <v>0</v>
          </cell>
          <cell r="X407">
            <v>0</v>
          </cell>
          <cell r="Y407">
            <v>0</v>
          </cell>
          <cell r="AC407">
            <v>0</v>
          </cell>
          <cell r="AD407">
            <v>0</v>
          </cell>
          <cell r="AK407">
            <v>0</v>
          </cell>
        </row>
        <row r="408">
          <cell r="F408">
            <v>10</v>
          </cell>
          <cell r="G408">
            <v>3</v>
          </cell>
          <cell r="P408">
            <v>39</v>
          </cell>
          <cell r="X408">
            <v>0</v>
          </cell>
          <cell r="Y408">
            <v>0</v>
          </cell>
          <cell r="AC408">
            <v>0</v>
          </cell>
          <cell r="AD408">
            <v>0</v>
          </cell>
          <cell r="AK408">
            <v>49</v>
          </cell>
          <cell r="AL408">
            <v>42</v>
          </cell>
          <cell r="AM408">
            <v>42</v>
          </cell>
        </row>
        <row r="409">
          <cell r="F409">
            <v>2.6666666666666665</v>
          </cell>
          <cell r="G409">
            <v>1</v>
          </cell>
          <cell r="P409">
            <v>3.3333333333333335</v>
          </cell>
          <cell r="X409">
            <v>0</v>
          </cell>
          <cell r="Y409">
            <v>0</v>
          </cell>
          <cell r="AC409">
            <v>0</v>
          </cell>
          <cell r="AD409">
            <v>0</v>
          </cell>
          <cell r="AK409">
            <v>6</v>
          </cell>
          <cell r="AL409">
            <v>4.3333333333333339</v>
          </cell>
        </row>
        <row r="410">
          <cell r="F410">
            <v>7.333333333333333</v>
          </cell>
          <cell r="G410">
            <v>2</v>
          </cell>
          <cell r="P410">
            <v>35.666666666666664</v>
          </cell>
          <cell r="X410">
            <v>0</v>
          </cell>
          <cell r="Y410">
            <v>0</v>
          </cell>
          <cell r="AC410">
            <v>0</v>
          </cell>
          <cell r="AD410">
            <v>0</v>
          </cell>
          <cell r="AK410">
            <v>43</v>
          </cell>
          <cell r="AL410">
            <v>37.666666666666664</v>
          </cell>
        </row>
        <row r="411">
          <cell r="F411">
            <v>0</v>
          </cell>
          <cell r="G411">
            <v>0</v>
          </cell>
          <cell r="P411">
            <v>0</v>
          </cell>
          <cell r="X411">
            <v>0</v>
          </cell>
          <cell r="Y411">
            <v>0</v>
          </cell>
          <cell r="AC411">
            <v>0</v>
          </cell>
          <cell r="AD411">
            <v>0</v>
          </cell>
          <cell r="AK411">
            <v>0</v>
          </cell>
        </row>
        <row r="412">
          <cell r="F412">
            <v>206.33333333333329</v>
          </cell>
          <cell r="G412">
            <v>63</v>
          </cell>
          <cell r="H412">
            <v>64</v>
          </cell>
          <cell r="P412">
            <v>50.166666666666671</v>
          </cell>
          <cell r="S412">
            <v>50.166666666666671</v>
          </cell>
          <cell r="X412">
            <v>37.833333333333343</v>
          </cell>
          <cell r="Y412">
            <v>16</v>
          </cell>
          <cell r="AC412">
            <v>26.000000000000004</v>
          </cell>
          <cell r="AD412">
            <v>12</v>
          </cell>
          <cell r="AK412">
            <v>1965.0000000000002</v>
          </cell>
          <cell r="AL412">
            <v>400.16666666666663</v>
          </cell>
          <cell r="AM412">
            <v>400.16666666666663</v>
          </cell>
        </row>
        <row r="413">
          <cell r="F413">
            <v>0</v>
          </cell>
          <cell r="G413">
            <v>0</v>
          </cell>
          <cell r="P413">
            <v>0</v>
          </cell>
          <cell r="X413">
            <v>0</v>
          </cell>
          <cell r="Y413">
            <v>0</v>
          </cell>
          <cell r="AC413">
            <v>0</v>
          </cell>
          <cell r="AD413">
            <v>0</v>
          </cell>
          <cell r="AK413">
            <v>1350</v>
          </cell>
          <cell r="AL413">
            <v>0</v>
          </cell>
        </row>
        <row r="414">
          <cell r="F414">
            <v>0</v>
          </cell>
          <cell r="G414">
            <v>0</v>
          </cell>
          <cell r="P414">
            <v>0</v>
          </cell>
          <cell r="X414">
            <v>0</v>
          </cell>
          <cell r="Y414">
            <v>0</v>
          </cell>
          <cell r="AC414">
            <v>0</v>
          </cell>
          <cell r="AD414">
            <v>0</v>
          </cell>
          <cell r="AK414">
            <v>95</v>
          </cell>
          <cell r="AL414">
            <v>95</v>
          </cell>
        </row>
        <row r="415">
          <cell r="F415">
            <v>0</v>
          </cell>
          <cell r="G415">
            <v>0</v>
          </cell>
          <cell r="P415">
            <v>0</v>
          </cell>
          <cell r="X415">
            <v>0</v>
          </cell>
          <cell r="Y415">
            <v>0</v>
          </cell>
          <cell r="AC415">
            <v>0</v>
          </cell>
          <cell r="AD415">
            <v>0</v>
          </cell>
          <cell r="AK415">
            <v>0</v>
          </cell>
          <cell r="AL415">
            <v>0</v>
          </cell>
        </row>
        <row r="416">
          <cell r="F416">
            <v>0</v>
          </cell>
          <cell r="G416">
            <v>0</v>
          </cell>
          <cell r="P416">
            <v>12.333333333333334</v>
          </cell>
          <cell r="X416">
            <v>0</v>
          </cell>
          <cell r="Y416">
            <v>0</v>
          </cell>
          <cell r="AC416">
            <v>0</v>
          </cell>
          <cell r="AD416">
            <v>0</v>
          </cell>
          <cell r="AK416">
            <v>12.333333333333334</v>
          </cell>
          <cell r="AL416">
            <v>12.333333333333334</v>
          </cell>
        </row>
        <row r="417">
          <cell r="F417">
            <v>0</v>
          </cell>
          <cell r="G417">
            <v>0</v>
          </cell>
          <cell r="P417">
            <v>0</v>
          </cell>
          <cell r="X417">
            <v>0</v>
          </cell>
          <cell r="Y417">
            <v>0</v>
          </cell>
          <cell r="AC417">
            <v>0</v>
          </cell>
          <cell r="AD417">
            <v>0</v>
          </cell>
          <cell r="AK417">
            <v>0</v>
          </cell>
          <cell r="AL417">
            <v>0</v>
          </cell>
        </row>
        <row r="418">
          <cell r="F418">
            <v>1.6666666666666667</v>
          </cell>
          <cell r="G418">
            <v>1</v>
          </cell>
          <cell r="P418">
            <v>5</v>
          </cell>
          <cell r="X418">
            <v>3</v>
          </cell>
          <cell r="Y418">
            <v>1</v>
          </cell>
          <cell r="AC418">
            <v>3</v>
          </cell>
          <cell r="AD418">
            <v>1</v>
          </cell>
          <cell r="AK418">
            <v>57.666666666666664</v>
          </cell>
          <cell r="AL418">
            <v>48</v>
          </cell>
        </row>
        <row r="419">
          <cell r="F419">
            <v>0</v>
          </cell>
          <cell r="G419">
            <v>0</v>
          </cell>
          <cell r="P419">
            <v>0</v>
          </cell>
          <cell r="X419">
            <v>0</v>
          </cell>
          <cell r="Y419">
            <v>0</v>
          </cell>
          <cell r="AC419">
            <v>0</v>
          </cell>
          <cell r="AD419">
            <v>0</v>
          </cell>
          <cell r="AK419">
            <v>4</v>
          </cell>
          <cell r="AL419">
            <v>0</v>
          </cell>
        </row>
        <row r="420">
          <cell r="F420">
            <v>0</v>
          </cell>
          <cell r="G420">
            <v>0</v>
          </cell>
          <cell r="P420">
            <v>0</v>
          </cell>
          <cell r="X420">
            <v>0</v>
          </cell>
          <cell r="Y420">
            <v>0</v>
          </cell>
          <cell r="AC420">
            <v>0</v>
          </cell>
          <cell r="AD420">
            <v>0</v>
          </cell>
          <cell r="AK420">
            <v>0</v>
          </cell>
          <cell r="AL420">
            <v>0</v>
          </cell>
        </row>
        <row r="421">
          <cell r="F421">
            <v>0</v>
          </cell>
          <cell r="G421">
            <v>0</v>
          </cell>
          <cell r="P421">
            <v>18.5</v>
          </cell>
          <cell r="X421">
            <v>4.5</v>
          </cell>
          <cell r="Y421">
            <v>2</v>
          </cell>
          <cell r="AC421">
            <v>1.3333333333333333</v>
          </cell>
          <cell r="AD421">
            <v>1</v>
          </cell>
          <cell r="AK421">
            <v>28.5</v>
          </cell>
          <cell r="AL421">
            <v>25.5</v>
          </cell>
        </row>
        <row r="422">
          <cell r="F422">
            <v>0</v>
          </cell>
          <cell r="G422">
            <v>0</v>
          </cell>
          <cell r="P422">
            <v>1.3333333333333333</v>
          </cell>
          <cell r="X422">
            <v>0</v>
          </cell>
          <cell r="Y422">
            <v>0</v>
          </cell>
          <cell r="AC422">
            <v>1.6666666666666667</v>
          </cell>
          <cell r="AD422">
            <v>1</v>
          </cell>
          <cell r="AK422">
            <v>69</v>
          </cell>
          <cell r="AL422">
            <v>52.333333333333336</v>
          </cell>
        </row>
        <row r="423">
          <cell r="F423">
            <v>177</v>
          </cell>
          <cell r="G423">
            <v>54</v>
          </cell>
          <cell r="P423">
            <v>0</v>
          </cell>
          <cell r="X423">
            <v>0</v>
          </cell>
          <cell r="Y423">
            <v>0</v>
          </cell>
          <cell r="AC423">
            <v>0</v>
          </cell>
          <cell r="AD423">
            <v>0</v>
          </cell>
          <cell r="AK423">
            <v>177</v>
          </cell>
          <cell r="AL423">
            <v>54</v>
          </cell>
        </row>
        <row r="424">
          <cell r="F424">
            <v>0</v>
          </cell>
          <cell r="G424">
            <v>0</v>
          </cell>
          <cell r="P424">
            <v>0</v>
          </cell>
          <cell r="X424">
            <v>10</v>
          </cell>
          <cell r="Y424">
            <v>4</v>
          </cell>
          <cell r="AC424">
            <v>7.666666666666667</v>
          </cell>
          <cell r="AD424">
            <v>4</v>
          </cell>
          <cell r="AK424">
            <v>17.666666666666668</v>
          </cell>
          <cell r="AL424">
            <v>8</v>
          </cell>
        </row>
        <row r="425">
          <cell r="F425">
            <v>0.66666666666666663</v>
          </cell>
          <cell r="G425">
            <v>0</v>
          </cell>
          <cell r="P425">
            <v>2</v>
          </cell>
          <cell r="X425">
            <v>1.3333333333333333</v>
          </cell>
          <cell r="Y425">
            <v>1</v>
          </cell>
          <cell r="AC425">
            <v>1</v>
          </cell>
          <cell r="AD425">
            <v>0</v>
          </cell>
          <cell r="AK425">
            <v>6</v>
          </cell>
          <cell r="AL425">
            <v>3</v>
          </cell>
        </row>
        <row r="426">
          <cell r="F426">
            <v>2.6666666666666665</v>
          </cell>
          <cell r="G426">
            <v>1</v>
          </cell>
          <cell r="P426">
            <v>0.33333333333333331</v>
          </cell>
          <cell r="X426">
            <v>1</v>
          </cell>
          <cell r="Y426">
            <v>0</v>
          </cell>
          <cell r="AC426">
            <v>0.66666666666666663</v>
          </cell>
          <cell r="AD426">
            <v>0</v>
          </cell>
          <cell r="AK426">
            <v>9.3333333333333339</v>
          </cell>
          <cell r="AL426">
            <v>3.3333333333333335</v>
          </cell>
        </row>
        <row r="427">
          <cell r="F427">
            <v>0</v>
          </cell>
          <cell r="G427">
            <v>0</v>
          </cell>
          <cell r="P427">
            <v>2.3333333333333335</v>
          </cell>
          <cell r="X427">
            <v>6</v>
          </cell>
          <cell r="Y427">
            <v>2</v>
          </cell>
          <cell r="AC427">
            <v>5</v>
          </cell>
          <cell r="AD427">
            <v>2</v>
          </cell>
          <cell r="AK427">
            <v>13.333333333333334</v>
          </cell>
          <cell r="AL427">
            <v>6.3333333333333339</v>
          </cell>
        </row>
        <row r="428">
          <cell r="F428">
            <v>0</v>
          </cell>
          <cell r="G428">
            <v>0</v>
          </cell>
          <cell r="P428">
            <v>0</v>
          </cell>
          <cell r="X428">
            <v>0</v>
          </cell>
          <cell r="Y428">
            <v>0</v>
          </cell>
          <cell r="AC428">
            <v>0</v>
          </cell>
          <cell r="AD428">
            <v>0</v>
          </cell>
          <cell r="AK428">
            <v>0</v>
          </cell>
          <cell r="AL428">
            <v>0</v>
          </cell>
        </row>
        <row r="429">
          <cell r="F429">
            <v>0</v>
          </cell>
          <cell r="G429">
            <v>0</v>
          </cell>
          <cell r="P429">
            <v>0</v>
          </cell>
          <cell r="X429">
            <v>0</v>
          </cell>
          <cell r="Y429">
            <v>0</v>
          </cell>
          <cell r="AC429">
            <v>0</v>
          </cell>
          <cell r="AD429">
            <v>0</v>
          </cell>
          <cell r="AK429">
            <v>0</v>
          </cell>
          <cell r="AL429">
            <v>0</v>
          </cell>
        </row>
        <row r="430">
          <cell r="F430">
            <v>9.6666666666666661</v>
          </cell>
          <cell r="G430">
            <v>3</v>
          </cell>
          <cell r="P430">
            <v>1</v>
          </cell>
          <cell r="X430">
            <v>0</v>
          </cell>
          <cell r="Y430">
            <v>0</v>
          </cell>
          <cell r="AC430">
            <v>0</v>
          </cell>
          <cell r="AD430">
            <v>0</v>
          </cell>
          <cell r="AK430">
            <v>12</v>
          </cell>
          <cell r="AL430">
            <v>5</v>
          </cell>
        </row>
        <row r="431">
          <cell r="F431">
            <v>0</v>
          </cell>
          <cell r="G431">
            <v>0</v>
          </cell>
          <cell r="P431">
            <v>0</v>
          </cell>
          <cell r="X431">
            <v>0</v>
          </cell>
          <cell r="Y431">
            <v>0</v>
          </cell>
          <cell r="AC431">
            <v>0</v>
          </cell>
          <cell r="AD431">
            <v>0</v>
          </cell>
          <cell r="AK431">
            <v>0</v>
          </cell>
          <cell r="AL431">
            <v>0</v>
          </cell>
        </row>
        <row r="432">
          <cell r="F432">
            <v>2.3333333333333335</v>
          </cell>
          <cell r="G432">
            <v>1</v>
          </cell>
          <cell r="P432">
            <v>0.66666666666666663</v>
          </cell>
          <cell r="X432">
            <v>0.66666666666666663</v>
          </cell>
          <cell r="Y432">
            <v>0</v>
          </cell>
          <cell r="AC432">
            <v>0.66666666666666663</v>
          </cell>
          <cell r="AD432">
            <v>0</v>
          </cell>
          <cell r="AK432">
            <v>4.333333333333333</v>
          </cell>
          <cell r="AL432">
            <v>1.6666666666666665</v>
          </cell>
        </row>
        <row r="433">
          <cell r="F433">
            <v>1.6666666666666667</v>
          </cell>
          <cell r="G433">
            <v>1</v>
          </cell>
          <cell r="P433">
            <v>0.66666666666666663</v>
          </cell>
          <cell r="X433">
            <v>0.66666666666666663</v>
          </cell>
          <cell r="Y433">
            <v>0</v>
          </cell>
          <cell r="AC433">
            <v>0.66666666666666663</v>
          </cell>
          <cell r="AD433">
            <v>0</v>
          </cell>
          <cell r="AK433">
            <v>3.6666666666666665</v>
          </cell>
          <cell r="AL433">
            <v>1.6666666666666665</v>
          </cell>
        </row>
        <row r="434">
          <cell r="F434">
            <v>6.666666666666667</v>
          </cell>
          <cell r="G434">
            <v>2</v>
          </cell>
          <cell r="P434">
            <v>4.666666666666667</v>
          </cell>
          <cell r="X434">
            <v>3</v>
          </cell>
          <cell r="Y434">
            <v>1</v>
          </cell>
          <cell r="AC434">
            <v>2</v>
          </cell>
          <cell r="AD434">
            <v>1</v>
          </cell>
          <cell r="AK434">
            <v>33</v>
          </cell>
          <cell r="AL434">
            <v>18.666666666666668</v>
          </cell>
        </row>
        <row r="435">
          <cell r="F435">
            <v>0</v>
          </cell>
          <cell r="G435">
            <v>0</v>
          </cell>
          <cell r="P435">
            <v>0</v>
          </cell>
          <cell r="X435">
            <v>0</v>
          </cell>
          <cell r="Y435">
            <v>0</v>
          </cell>
          <cell r="AC435">
            <v>0</v>
          </cell>
          <cell r="AD435">
            <v>0</v>
          </cell>
          <cell r="AK435">
            <v>0</v>
          </cell>
          <cell r="AL435">
            <v>0</v>
          </cell>
        </row>
        <row r="436">
          <cell r="F436">
            <v>0</v>
          </cell>
          <cell r="G436">
            <v>0</v>
          </cell>
          <cell r="P436">
            <v>0</v>
          </cell>
          <cell r="X436">
            <v>0</v>
          </cell>
          <cell r="Y436">
            <v>0</v>
          </cell>
          <cell r="AC436">
            <v>0</v>
          </cell>
          <cell r="AD436">
            <v>0</v>
          </cell>
          <cell r="AK436">
            <v>0</v>
          </cell>
          <cell r="AL436">
            <v>53</v>
          </cell>
        </row>
        <row r="437">
          <cell r="F437">
            <v>1</v>
          </cell>
          <cell r="G437">
            <v>0</v>
          </cell>
          <cell r="P437">
            <v>0</v>
          </cell>
          <cell r="X437">
            <v>0</v>
          </cell>
          <cell r="Y437">
            <v>0</v>
          </cell>
          <cell r="AC437">
            <v>0</v>
          </cell>
          <cell r="AD437">
            <v>0</v>
          </cell>
          <cell r="AK437">
            <v>1</v>
          </cell>
          <cell r="AL437">
            <v>1</v>
          </cell>
        </row>
        <row r="438">
          <cell r="F438">
            <v>0</v>
          </cell>
          <cell r="G438">
            <v>0</v>
          </cell>
          <cell r="P438">
            <v>0</v>
          </cell>
          <cell r="X438">
            <v>0</v>
          </cell>
          <cell r="Y438">
            <v>0</v>
          </cell>
          <cell r="AC438">
            <v>0</v>
          </cell>
          <cell r="AD438">
            <v>0</v>
          </cell>
          <cell r="AK438">
            <v>0</v>
          </cell>
          <cell r="AL438">
            <v>0</v>
          </cell>
        </row>
        <row r="439">
          <cell r="F439">
            <v>0</v>
          </cell>
          <cell r="G439">
            <v>0</v>
          </cell>
          <cell r="P439">
            <v>0</v>
          </cell>
          <cell r="X439">
            <v>0</v>
          </cell>
          <cell r="Y439">
            <v>0</v>
          </cell>
          <cell r="AC439">
            <v>0</v>
          </cell>
          <cell r="AD439">
            <v>0</v>
          </cell>
          <cell r="AK439">
            <v>0</v>
          </cell>
          <cell r="AL439">
            <v>0</v>
          </cell>
        </row>
        <row r="440">
          <cell r="F440">
            <v>2.6666666666666665</v>
          </cell>
          <cell r="G440">
            <v>1</v>
          </cell>
          <cell r="P440">
            <v>1</v>
          </cell>
          <cell r="X440">
            <v>4</v>
          </cell>
          <cell r="Y440">
            <v>2</v>
          </cell>
          <cell r="AC440">
            <v>2</v>
          </cell>
          <cell r="AD440">
            <v>1</v>
          </cell>
          <cell r="AK440">
            <v>15.666666666666666</v>
          </cell>
          <cell r="AL440">
            <v>8</v>
          </cell>
        </row>
        <row r="441">
          <cell r="F441">
            <v>0</v>
          </cell>
          <cell r="G441">
            <v>0</v>
          </cell>
          <cell r="P441">
            <v>0</v>
          </cell>
          <cell r="X441">
            <v>0</v>
          </cell>
          <cell r="Y441">
            <v>0</v>
          </cell>
          <cell r="AC441">
            <v>0</v>
          </cell>
          <cell r="AD441">
            <v>0</v>
          </cell>
          <cell r="AK441">
            <v>0</v>
          </cell>
          <cell r="AL441">
            <v>0</v>
          </cell>
        </row>
        <row r="442">
          <cell r="F442">
            <v>0</v>
          </cell>
          <cell r="G442">
            <v>0</v>
          </cell>
          <cell r="P442">
            <v>0</v>
          </cell>
          <cell r="X442">
            <v>3.3333333333333335</v>
          </cell>
          <cell r="Y442">
            <v>1</v>
          </cell>
          <cell r="AC442">
            <v>0</v>
          </cell>
          <cell r="AD442">
            <v>0</v>
          </cell>
          <cell r="AK442">
            <v>3.3333333333333335</v>
          </cell>
          <cell r="AL442">
            <v>1</v>
          </cell>
        </row>
        <row r="443">
          <cell r="F443">
            <v>0.33333333333333331</v>
          </cell>
          <cell r="G443">
            <v>0</v>
          </cell>
          <cell r="P443">
            <v>0.33333333333333331</v>
          </cell>
          <cell r="X443">
            <v>0.33333333333333331</v>
          </cell>
          <cell r="Y443">
            <v>0</v>
          </cell>
          <cell r="AC443">
            <v>0.33333333333333331</v>
          </cell>
          <cell r="AD443">
            <v>0</v>
          </cell>
          <cell r="AK443">
            <v>1.9999999999999998</v>
          </cell>
          <cell r="AL443">
            <v>0.33333333333333331</v>
          </cell>
        </row>
        <row r="444">
          <cell r="F444">
            <v>0</v>
          </cell>
          <cell r="G444">
            <v>0</v>
          </cell>
          <cell r="P444">
            <v>0</v>
          </cell>
          <cell r="X444">
            <v>0</v>
          </cell>
          <cell r="Y444">
            <v>0</v>
          </cell>
          <cell r="AC444">
            <v>0</v>
          </cell>
          <cell r="AD444">
            <v>0</v>
          </cell>
          <cell r="AK444">
            <v>0</v>
          </cell>
          <cell r="AL444">
            <v>0</v>
          </cell>
        </row>
        <row r="445">
          <cell r="F445">
            <v>0</v>
          </cell>
          <cell r="G445">
            <v>0</v>
          </cell>
          <cell r="P445">
            <v>0</v>
          </cell>
          <cell r="X445">
            <v>0</v>
          </cell>
          <cell r="Y445">
            <v>0</v>
          </cell>
          <cell r="AC445">
            <v>0</v>
          </cell>
          <cell r="AD445">
            <v>0</v>
          </cell>
          <cell r="AK445">
            <v>0</v>
          </cell>
          <cell r="AL445">
            <v>0</v>
          </cell>
        </row>
        <row r="446">
          <cell r="F446">
            <v>0</v>
          </cell>
          <cell r="G446">
            <v>0</v>
          </cell>
          <cell r="P446">
            <v>0</v>
          </cell>
          <cell r="X446">
            <v>0</v>
          </cell>
          <cell r="Y446">
            <v>0</v>
          </cell>
          <cell r="AC446">
            <v>0</v>
          </cell>
          <cell r="AD446">
            <v>0</v>
          </cell>
          <cell r="AK446">
            <v>0</v>
          </cell>
          <cell r="AL446">
            <v>0</v>
          </cell>
        </row>
        <row r="447">
          <cell r="F447">
            <v>0</v>
          </cell>
          <cell r="G447">
            <v>0</v>
          </cell>
          <cell r="P447">
            <v>0</v>
          </cell>
          <cell r="X447">
            <v>0</v>
          </cell>
          <cell r="Y447">
            <v>0</v>
          </cell>
          <cell r="AC447">
            <v>0</v>
          </cell>
          <cell r="AD447">
            <v>0</v>
          </cell>
          <cell r="AK447">
            <v>0</v>
          </cell>
          <cell r="AL447">
            <v>0</v>
          </cell>
        </row>
        <row r="448">
          <cell r="F448">
            <v>0</v>
          </cell>
          <cell r="G448">
            <v>0</v>
          </cell>
          <cell r="P448">
            <v>0</v>
          </cell>
          <cell r="X448">
            <v>0</v>
          </cell>
          <cell r="Y448">
            <v>0</v>
          </cell>
          <cell r="AC448">
            <v>0</v>
          </cell>
          <cell r="AD448">
            <v>0</v>
          </cell>
          <cell r="AK448">
            <v>0</v>
          </cell>
          <cell r="AL448">
            <v>0</v>
          </cell>
        </row>
        <row r="449">
          <cell r="F449">
            <v>0</v>
          </cell>
          <cell r="G449">
            <v>0</v>
          </cell>
          <cell r="P449">
            <v>0</v>
          </cell>
          <cell r="X449">
            <v>0</v>
          </cell>
          <cell r="Y449">
            <v>0</v>
          </cell>
          <cell r="AC449">
            <v>0</v>
          </cell>
          <cell r="AD449">
            <v>0</v>
          </cell>
          <cell r="AK449">
            <v>0</v>
          </cell>
          <cell r="AL449">
            <v>0</v>
          </cell>
        </row>
        <row r="450">
          <cell r="G450">
            <v>0</v>
          </cell>
          <cell r="P450">
            <v>0</v>
          </cell>
          <cell r="X450">
            <v>0</v>
          </cell>
          <cell r="Y450">
            <v>0</v>
          </cell>
          <cell r="AC450">
            <v>0</v>
          </cell>
          <cell r="AD450">
            <v>0</v>
          </cell>
          <cell r="AK450">
            <v>0</v>
          </cell>
          <cell r="AL450">
            <v>2</v>
          </cell>
        </row>
        <row r="451">
          <cell r="P451">
            <v>0</v>
          </cell>
          <cell r="X451">
            <v>0</v>
          </cell>
          <cell r="Y451">
            <v>0</v>
          </cell>
          <cell r="AC451">
            <v>0</v>
          </cell>
          <cell r="AD451">
            <v>0</v>
          </cell>
          <cell r="AK451">
            <v>0</v>
          </cell>
          <cell r="AL451">
            <v>0</v>
          </cell>
        </row>
      </sheetData>
      <sheetData sheetId="2">
        <row r="8">
          <cell r="AF8" t="str">
            <v>ЗАТВЕРДЖУЮ</v>
          </cell>
        </row>
        <row r="19">
          <cell r="AC19" t="str">
            <v>звіт</v>
          </cell>
        </row>
        <row r="23">
          <cell r="AF23" t="str">
            <v>ЗАТВЕРДЖУЮ</v>
          </cell>
        </row>
        <row r="24">
          <cell r="AF24" t="str">
            <v>ГОЛОВА ПРАЛІННЯ  КЕ</v>
          </cell>
        </row>
        <row r="27">
          <cell r="AF27" t="str">
            <v xml:space="preserve">                   ПЛАЧКОВ І.В.</v>
          </cell>
          <cell r="AG27" t="str">
            <v>І.В.ПЛАЧКОВ</v>
          </cell>
        </row>
        <row r="31">
          <cell r="D31" t="str">
            <v>ВИК.ДИР.</v>
          </cell>
          <cell r="E31" t="str">
            <v>Е/Е</v>
          </cell>
          <cell r="F31" t="str">
            <v xml:space="preserve"> Т/Е</v>
          </cell>
          <cell r="L31" t="str">
            <v>КМ план</v>
          </cell>
          <cell r="P31" t="str">
            <v>ВИРОБН</v>
          </cell>
          <cell r="Q31" t="str">
            <v>ПЕРЕД</v>
          </cell>
          <cell r="R31" t="str">
            <v>ТЕЦ-5 ВСЬОГО</v>
          </cell>
          <cell r="S31" t="str">
            <v>звіт</v>
          </cell>
          <cell r="T31" t="str">
            <v>Е/Е</v>
          </cell>
          <cell r="U31" t="str">
            <v xml:space="preserve"> Т/Е</v>
          </cell>
          <cell r="V31" t="str">
            <v>ТЕЦ-6 ВСЬОГО</v>
          </cell>
          <cell r="W31" t="str">
            <v>звіт</v>
          </cell>
          <cell r="X31" t="str">
            <v>Е/Е</v>
          </cell>
          <cell r="Y31" t="str">
            <v xml:space="preserve"> Т/Е</v>
          </cell>
          <cell r="Z31" t="str">
            <v>ТРМ ВСЬОГО</v>
          </cell>
          <cell r="AA31" t="str">
            <v>ТРМ  АК КЕ</v>
          </cell>
          <cell r="AB31" t="str">
            <v>ТРМ СТОР</v>
          </cell>
          <cell r="AC31" t="str">
            <v>ТРМ ВСЬОГО</v>
          </cell>
          <cell r="AD31" t="str">
            <v>ТРМ  АК КЕ</v>
          </cell>
          <cell r="AE31" t="str">
            <v>ТРМ СТОР</v>
          </cell>
          <cell r="AF31" t="str">
            <v xml:space="preserve">ДОП.ВИР. </v>
          </cell>
          <cell r="AG31" t="str">
            <v>РЕЗЕРВ</v>
          </cell>
          <cell r="AH31" t="str">
            <v>Е/Е</v>
          </cell>
          <cell r="AI31" t="str">
            <v xml:space="preserve"> Т/Е</v>
          </cell>
        </row>
        <row r="32">
          <cell r="T32">
            <v>427</v>
          </cell>
          <cell r="X32">
            <v>353</v>
          </cell>
        </row>
        <row r="33">
          <cell r="T33">
            <v>388.95</v>
          </cell>
          <cell r="X33">
            <v>323.55</v>
          </cell>
        </row>
        <row r="39">
          <cell r="L39">
            <v>0</v>
          </cell>
        </row>
        <row r="40">
          <cell r="U40">
            <v>667</v>
          </cell>
          <cell r="Y40">
            <v>585</v>
          </cell>
        </row>
        <row r="42">
          <cell r="D42">
            <v>2558.727272727273</v>
          </cell>
          <cell r="L42">
            <v>2094.727272727273</v>
          </cell>
          <cell r="P42">
            <v>20817.202727272728</v>
          </cell>
          <cell r="Q42">
            <v>3051.2518181818186</v>
          </cell>
          <cell r="R42">
            <v>2382.9090909090883</v>
          </cell>
          <cell r="V42">
            <v>1332.6363636363603</v>
          </cell>
          <cell r="W42">
            <v>1700</v>
          </cell>
          <cell r="Z42">
            <v>3118.212121212121</v>
          </cell>
          <cell r="AA42">
            <v>2527.5454545454545</v>
          </cell>
          <cell r="AB42">
            <v>590.66666666666674</v>
          </cell>
          <cell r="AC42" t="e">
            <v>#VALUE!</v>
          </cell>
          <cell r="AD42">
            <v>2792</v>
          </cell>
          <cell r="AE42">
            <v>846</v>
          </cell>
        </row>
        <row r="44">
          <cell r="D44">
            <v>488</v>
          </cell>
          <cell r="E44">
            <v>180</v>
          </cell>
          <cell r="F44">
            <v>308</v>
          </cell>
          <cell r="L44">
            <v>388</v>
          </cell>
          <cell r="P44">
            <v>249.5</v>
          </cell>
          <cell r="Q44">
            <v>249.5</v>
          </cell>
          <cell r="R44">
            <v>157</v>
          </cell>
          <cell r="S44">
            <v>93</v>
          </cell>
          <cell r="T44">
            <v>67</v>
          </cell>
          <cell r="U44">
            <v>90</v>
          </cell>
          <cell r="V44">
            <v>267</v>
          </cell>
          <cell r="W44">
            <v>109</v>
          </cell>
          <cell r="X44">
            <v>109</v>
          </cell>
          <cell r="Y44">
            <v>158</v>
          </cell>
          <cell r="Z44">
            <v>226.33333333333334</v>
          </cell>
          <cell r="AA44">
            <v>155</v>
          </cell>
          <cell r="AB44">
            <v>71.333333333333343</v>
          </cell>
          <cell r="AC44">
            <v>302</v>
          </cell>
          <cell r="AD44">
            <v>229</v>
          </cell>
          <cell r="AE44">
            <v>73</v>
          </cell>
          <cell r="AG44">
            <v>0</v>
          </cell>
          <cell r="AH44">
            <v>0</v>
          </cell>
          <cell r="AI44">
            <v>0</v>
          </cell>
        </row>
        <row r="45">
          <cell r="D45">
            <v>67.833333333333343</v>
          </cell>
          <cell r="E45">
            <v>20</v>
          </cell>
          <cell r="F45">
            <v>47.833333333333343</v>
          </cell>
          <cell r="L45">
            <v>336.7</v>
          </cell>
          <cell r="R45">
            <v>55.666666666666664</v>
          </cell>
          <cell r="T45">
            <v>24</v>
          </cell>
          <cell r="U45">
            <v>31.666666666666664</v>
          </cell>
          <cell r="V45">
            <v>45.633333333333333</v>
          </cell>
          <cell r="X45">
            <v>19</v>
          </cell>
          <cell r="Y45">
            <v>26.633333333333333</v>
          </cell>
          <cell r="Z45">
            <v>187.79999999999998</v>
          </cell>
          <cell r="AA45">
            <v>125.2</v>
          </cell>
          <cell r="AB45">
            <v>62.59999999999998</v>
          </cell>
        </row>
        <row r="46">
          <cell r="D46">
            <v>0</v>
          </cell>
          <cell r="E46">
            <v>0</v>
          </cell>
          <cell r="F46">
            <v>0</v>
          </cell>
          <cell r="L46">
            <v>0</v>
          </cell>
          <cell r="R46">
            <v>56.666666666666664</v>
          </cell>
          <cell r="T46">
            <v>24</v>
          </cell>
          <cell r="U46">
            <v>32.666666666666664</v>
          </cell>
          <cell r="V46">
            <v>160</v>
          </cell>
          <cell r="X46">
            <v>65</v>
          </cell>
          <cell r="Y46">
            <v>95</v>
          </cell>
          <cell r="AB46">
            <v>0</v>
          </cell>
        </row>
        <row r="47">
          <cell r="D47">
            <v>343.60666666666663</v>
          </cell>
          <cell r="E47">
            <v>103</v>
          </cell>
          <cell r="F47">
            <v>240.60666666666663</v>
          </cell>
          <cell r="L47">
            <v>9.6199999999999992</v>
          </cell>
          <cell r="R47">
            <v>32.666666666666664</v>
          </cell>
          <cell r="T47">
            <v>15</v>
          </cell>
          <cell r="U47">
            <v>17.666666666666664</v>
          </cell>
          <cell r="V47">
            <v>32.56</v>
          </cell>
          <cell r="X47">
            <v>13</v>
          </cell>
          <cell r="Y47">
            <v>19.560000000000002</v>
          </cell>
          <cell r="Z47">
            <v>17.266666666666666</v>
          </cell>
          <cell r="AA47">
            <v>17.266666666666666</v>
          </cell>
          <cell r="AB47">
            <v>0</v>
          </cell>
        </row>
        <row r="48">
          <cell r="D48">
            <v>1</v>
          </cell>
          <cell r="E48">
            <v>0</v>
          </cell>
          <cell r="F48">
            <v>1</v>
          </cell>
          <cell r="L48">
            <v>35</v>
          </cell>
          <cell r="P48">
            <v>330.72</v>
          </cell>
          <cell r="Q48">
            <v>93.279999999999973</v>
          </cell>
          <cell r="R48">
            <v>926</v>
          </cell>
          <cell r="S48">
            <v>927</v>
          </cell>
          <cell r="T48">
            <v>396</v>
          </cell>
          <cell r="U48">
            <v>530</v>
          </cell>
          <cell r="V48">
            <v>67</v>
          </cell>
          <cell r="W48">
            <v>62</v>
          </cell>
          <cell r="X48">
            <v>27</v>
          </cell>
          <cell r="Y48">
            <v>40</v>
          </cell>
          <cell r="Z48">
            <v>162.33333333333334</v>
          </cell>
          <cell r="AA48">
            <v>112</v>
          </cell>
          <cell r="AB48">
            <v>50.333333333333343</v>
          </cell>
          <cell r="AC48">
            <v>101</v>
          </cell>
          <cell r="AD48">
            <v>71</v>
          </cell>
          <cell r="AE48">
            <v>30</v>
          </cell>
          <cell r="AG48">
            <v>0</v>
          </cell>
          <cell r="AH48">
            <v>0</v>
          </cell>
          <cell r="AI48">
            <v>0</v>
          </cell>
        </row>
        <row r="49">
          <cell r="D49">
            <v>0</v>
          </cell>
          <cell r="E49">
            <v>0</v>
          </cell>
          <cell r="F49">
            <v>0</v>
          </cell>
          <cell r="P49">
            <v>22</v>
          </cell>
          <cell r="Q49">
            <v>0</v>
          </cell>
          <cell r="R49">
            <v>839</v>
          </cell>
          <cell r="S49">
            <v>838</v>
          </cell>
          <cell r="T49">
            <v>359</v>
          </cell>
          <cell r="U49">
            <v>480</v>
          </cell>
          <cell r="V49">
            <v>14</v>
          </cell>
          <cell r="W49">
            <v>7</v>
          </cell>
          <cell r="X49">
            <v>6</v>
          </cell>
          <cell r="Y49">
            <v>8</v>
          </cell>
          <cell r="Z49">
            <v>0</v>
          </cell>
          <cell r="AA49">
            <v>0</v>
          </cell>
          <cell r="AB49">
            <v>0</v>
          </cell>
          <cell r="AC49">
            <v>0</v>
          </cell>
        </row>
        <row r="50">
          <cell r="D50">
            <v>0</v>
          </cell>
          <cell r="E50">
            <v>0</v>
          </cell>
          <cell r="F50">
            <v>0</v>
          </cell>
          <cell r="L50">
            <v>0</v>
          </cell>
          <cell r="P50">
            <v>15905</v>
          </cell>
          <cell r="Q50">
            <v>0</v>
          </cell>
          <cell r="R50">
            <v>42454</v>
          </cell>
          <cell r="S50">
            <v>31171</v>
          </cell>
          <cell r="T50">
            <v>27692</v>
          </cell>
          <cell r="U50">
            <v>14762</v>
          </cell>
          <cell r="V50">
            <v>33739</v>
          </cell>
          <cell r="W50">
            <v>25487</v>
          </cell>
          <cell r="X50">
            <v>21106</v>
          </cell>
          <cell r="Y50">
            <v>12633</v>
          </cell>
          <cell r="Z50">
            <v>0</v>
          </cell>
          <cell r="AA50">
            <v>0</v>
          </cell>
          <cell r="AB50">
            <v>0</v>
          </cell>
          <cell r="AC50">
            <v>0</v>
          </cell>
        </row>
        <row r="51">
          <cell r="D51">
            <v>0</v>
          </cell>
          <cell r="E51">
            <v>0</v>
          </cell>
          <cell r="F51">
            <v>0</v>
          </cell>
          <cell r="L51">
            <v>0</v>
          </cell>
          <cell r="P51">
            <v>15905</v>
          </cell>
          <cell r="Q51">
            <v>0</v>
          </cell>
          <cell r="R51">
            <v>42454</v>
          </cell>
          <cell r="S51">
            <v>31171</v>
          </cell>
          <cell r="T51">
            <v>27692</v>
          </cell>
          <cell r="U51">
            <v>14762</v>
          </cell>
          <cell r="V51">
            <v>33739</v>
          </cell>
          <cell r="W51">
            <v>25487</v>
          </cell>
          <cell r="X51">
            <v>21106</v>
          </cell>
          <cell r="Y51">
            <v>12633</v>
          </cell>
          <cell r="Z51">
            <v>0</v>
          </cell>
          <cell r="AA51">
            <v>0</v>
          </cell>
          <cell r="AB51">
            <v>0</v>
          </cell>
          <cell r="AC51">
            <v>0</v>
          </cell>
          <cell r="AF51">
            <v>0</v>
          </cell>
        </row>
        <row r="52">
          <cell r="D52">
            <v>0</v>
          </cell>
          <cell r="E52">
            <v>0</v>
          </cell>
          <cell r="F52">
            <v>0</v>
          </cell>
          <cell r="P52">
            <v>0</v>
          </cell>
          <cell r="Q52">
            <v>0</v>
          </cell>
          <cell r="R52">
            <v>0</v>
          </cell>
          <cell r="T52">
            <v>0</v>
          </cell>
          <cell r="U52">
            <v>0</v>
          </cell>
          <cell r="V52">
            <v>0</v>
          </cell>
          <cell r="X52">
            <v>0</v>
          </cell>
          <cell r="Y52">
            <v>0</v>
          </cell>
          <cell r="Z52">
            <v>0</v>
          </cell>
          <cell r="AA52">
            <v>0</v>
          </cell>
          <cell r="AB52">
            <v>0</v>
          </cell>
          <cell r="AC52">
            <v>0</v>
          </cell>
        </row>
        <row r="53">
          <cell r="D53">
            <v>7</v>
          </cell>
          <cell r="E53">
            <v>2</v>
          </cell>
          <cell r="F53">
            <v>5</v>
          </cell>
          <cell r="L53">
            <v>59</v>
          </cell>
          <cell r="P53">
            <v>3197</v>
          </cell>
          <cell r="Q53">
            <v>0</v>
          </cell>
          <cell r="R53">
            <v>0</v>
          </cell>
          <cell r="T53">
            <v>0</v>
          </cell>
          <cell r="U53">
            <v>0</v>
          </cell>
          <cell r="V53">
            <v>0</v>
          </cell>
          <cell r="X53">
            <v>0</v>
          </cell>
          <cell r="Y53">
            <v>0</v>
          </cell>
          <cell r="Z53">
            <v>890</v>
          </cell>
          <cell r="AA53">
            <v>442</v>
          </cell>
          <cell r="AB53">
            <v>448</v>
          </cell>
          <cell r="AC53">
            <v>612</v>
          </cell>
          <cell r="AD53">
            <v>199</v>
          </cell>
          <cell r="AE53">
            <v>413</v>
          </cell>
        </row>
        <row r="54">
          <cell r="D54">
            <v>260.72727272727275</v>
          </cell>
          <cell r="E54">
            <v>78</v>
          </cell>
          <cell r="F54">
            <v>182.72727272727275</v>
          </cell>
          <cell r="L54">
            <v>475.72727272727275</v>
          </cell>
          <cell r="P54">
            <v>436.32272727272726</v>
          </cell>
          <cell r="Q54">
            <v>454.13181818181823</v>
          </cell>
          <cell r="R54">
            <v>282.90909090909093</v>
          </cell>
          <cell r="S54">
            <v>253</v>
          </cell>
          <cell r="T54">
            <v>121</v>
          </cell>
          <cell r="U54">
            <v>161.90909090909093</v>
          </cell>
          <cell r="V54">
            <v>248.63636363636363</v>
          </cell>
          <cell r="W54">
            <v>218</v>
          </cell>
          <cell r="X54">
            <v>101</v>
          </cell>
          <cell r="Y54">
            <v>147.63636363636363</v>
          </cell>
          <cell r="Z54">
            <v>958.5454545454545</v>
          </cell>
          <cell r="AA54">
            <v>958.5454545454545</v>
          </cell>
          <cell r="AB54">
            <v>0</v>
          </cell>
          <cell r="AC54">
            <v>870</v>
          </cell>
          <cell r="AD54">
            <v>870</v>
          </cell>
          <cell r="AG54">
            <v>0</v>
          </cell>
        </row>
        <row r="55">
          <cell r="D55">
            <v>14</v>
          </cell>
          <cell r="E55">
            <v>4</v>
          </cell>
          <cell r="F55">
            <v>10</v>
          </cell>
          <cell r="L55">
            <v>26</v>
          </cell>
          <cell r="P55">
            <v>24</v>
          </cell>
          <cell r="Q55">
            <v>25</v>
          </cell>
          <cell r="R55">
            <v>16</v>
          </cell>
          <cell r="S55">
            <v>14</v>
          </cell>
          <cell r="T55">
            <v>7</v>
          </cell>
          <cell r="U55">
            <v>9</v>
          </cell>
          <cell r="V55">
            <v>14</v>
          </cell>
          <cell r="W55">
            <v>12</v>
          </cell>
          <cell r="X55">
            <v>6</v>
          </cell>
          <cell r="Y55">
            <v>8</v>
          </cell>
          <cell r="Z55">
            <v>53</v>
          </cell>
          <cell r="AA55">
            <v>53</v>
          </cell>
          <cell r="AB55">
            <v>0</v>
          </cell>
          <cell r="AC55">
            <v>48</v>
          </cell>
          <cell r="AD55">
            <v>48</v>
          </cell>
          <cell r="AF55">
            <v>0</v>
          </cell>
          <cell r="AG55">
            <v>0</v>
          </cell>
        </row>
        <row r="56">
          <cell r="D56">
            <v>83</v>
          </cell>
          <cell r="E56">
            <v>44</v>
          </cell>
          <cell r="F56">
            <v>39</v>
          </cell>
          <cell r="L56">
            <v>152</v>
          </cell>
          <cell r="P56">
            <v>140</v>
          </cell>
          <cell r="Q56">
            <v>145</v>
          </cell>
          <cell r="R56">
            <v>91</v>
          </cell>
          <cell r="S56">
            <v>79</v>
          </cell>
          <cell r="T56">
            <v>39</v>
          </cell>
          <cell r="U56">
            <v>52</v>
          </cell>
          <cell r="V56">
            <v>80</v>
          </cell>
          <cell r="W56">
            <v>68</v>
          </cell>
          <cell r="X56">
            <v>33</v>
          </cell>
          <cell r="Y56">
            <v>47</v>
          </cell>
          <cell r="Z56">
            <v>307</v>
          </cell>
          <cell r="AA56">
            <v>307</v>
          </cell>
          <cell r="AB56">
            <v>0</v>
          </cell>
          <cell r="AC56">
            <v>278</v>
          </cell>
          <cell r="AD56">
            <v>278</v>
          </cell>
          <cell r="AF56">
            <v>0</v>
          </cell>
          <cell r="AG56">
            <v>0</v>
          </cell>
        </row>
        <row r="57">
          <cell r="D57">
            <v>0</v>
          </cell>
          <cell r="E57">
            <v>0</v>
          </cell>
          <cell r="F57">
            <v>0</v>
          </cell>
          <cell r="L57">
            <v>0</v>
          </cell>
          <cell r="P57">
            <v>0</v>
          </cell>
          <cell r="Q57">
            <v>0</v>
          </cell>
          <cell r="R57">
            <v>0</v>
          </cell>
          <cell r="T57">
            <v>0</v>
          </cell>
          <cell r="U57">
            <v>0</v>
          </cell>
          <cell r="V57">
            <v>0</v>
          </cell>
          <cell r="X57">
            <v>0</v>
          </cell>
          <cell r="Y57">
            <v>0</v>
          </cell>
          <cell r="Z57">
            <v>0</v>
          </cell>
          <cell r="AA57">
            <v>0</v>
          </cell>
          <cell r="AB57">
            <v>0</v>
          </cell>
          <cell r="AC57">
            <v>0</v>
          </cell>
          <cell r="AG57">
            <v>0</v>
          </cell>
        </row>
        <row r="58">
          <cell r="D58">
            <v>87</v>
          </cell>
          <cell r="E58">
            <v>26</v>
          </cell>
          <cell r="F58">
            <v>61</v>
          </cell>
          <cell r="L58">
            <v>586</v>
          </cell>
          <cell r="P58">
            <v>228.32</v>
          </cell>
          <cell r="Q58">
            <v>1198.68</v>
          </cell>
          <cell r="R58">
            <v>662</v>
          </cell>
          <cell r="S58">
            <v>688</v>
          </cell>
          <cell r="T58">
            <v>283</v>
          </cell>
          <cell r="U58">
            <v>379</v>
          </cell>
          <cell r="V58">
            <v>733</v>
          </cell>
          <cell r="W58">
            <v>736</v>
          </cell>
          <cell r="X58">
            <v>298</v>
          </cell>
          <cell r="Y58">
            <v>435</v>
          </cell>
          <cell r="Z58">
            <v>586.33333333333337</v>
          </cell>
          <cell r="AA58">
            <v>506</v>
          </cell>
          <cell r="AB58">
            <v>80.333333333333371</v>
          </cell>
          <cell r="AC58">
            <v>574</v>
          </cell>
          <cell r="AD58">
            <v>494</v>
          </cell>
          <cell r="AE58">
            <v>80</v>
          </cell>
          <cell r="AG58">
            <v>0</v>
          </cell>
        </row>
        <row r="59">
          <cell r="D59">
            <v>0</v>
          </cell>
          <cell r="L59">
            <v>0</v>
          </cell>
          <cell r="R59">
            <v>0</v>
          </cell>
          <cell r="V59">
            <v>0</v>
          </cell>
          <cell r="Z59">
            <v>0</v>
          </cell>
          <cell r="AA59">
            <v>0</v>
          </cell>
          <cell r="AB59">
            <v>0</v>
          </cell>
          <cell r="AC59">
            <v>0</v>
          </cell>
        </row>
        <row r="60">
          <cell r="D60">
            <v>87</v>
          </cell>
          <cell r="E60">
            <v>26</v>
          </cell>
          <cell r="F60">
            <v>61</v>
          </cell>
          <cell r="L60">
            <v>432</v>
          </cell>
          <cell r="P60">
            <v>266.08</v>
          </cell>
          <cell r="Q60">
            <v>1396.92</v>
          </cell>
          <cell r="R60">
            <v>123</v>
          </cell>
          <cell r="T60">
            <v>53</v>
          </cell>
          <cell r="U60">
            <v>70</v>
          </cell>
          <cell r="V60">
            <v>99</v>
          </cell>
          <cell r="X60">
            <v>40</v>
          </cell>
          <cell r="Y60">
            <v>59</v>
          </cell>
          <cell r="Z60">
            <v>74</v>
          </cell>
          <cell r="AA60">
            <v>74</v>
          </cell>
          <cell r="AB60">
            <v>0</v>
          </cell>
          <cell r="AC60">
            <v>0</v>
          </cell>
          <cell r="AG60">
            <v>0</v>
          </cell>
        </row>
        <row r="61">
          <cell r="D61">
            <v>0</v>
          </cell>
          <cell r="E61">
            <v>0</v>
          </cell>
          <cell r="L61">
            <v>0</v>
          </cell>
          <cell r="P61">
            <v>0</v>
          </cell>
          <cell r="Q61">
            <v>0</v>
          </cell>
          <cell r="R61">
            <v>0</v>
          </cell>
          <cell r="T61">
            <v>0</v>
          </cell>
          <cell r="U61">
            <v>0</v>
          </cell>
          <cell r="V61">
            <v>0</v>
          </cell>
          <cell r="X61">
            <v>0</v>
          </cell>
          <cell r="Y61">
            <v>0</v>
          </cell>
          <cell r="AB61">
            <v>0</v>
          </cell>
          <cell r="AC61">
            <v>0</v>
          </cell>
          <cell r="AG61">
            <v>0</v>
          </cell>
        </row>
        <row r="62">
          <cell r="D62">
            <v>0</v>
          </cell>
          <cell r="E62">
            <v>0</v>
          </cell>
          <cell r="F62">
            <v>0</v>
          </cell>
          <cell r="L62">
            <v>154</v>
          </cell>
          <cell r="P62">
            <v>-37.759999999999991</v>
          </cell>
          <cell r="Q62">
            <v>-198.24</v>
          </cell>
          <cell r="R62">
            <v>539</v>
          </cell>
          <cell r="T62">
            <v>230</v>
          </cell>
          <cell r="U62">
            <v>309</v>
          </cell>
          <cell r="V62">
            <v>634</v>
          </cell>
          <cell r="X62">
            <v>258</v>
          </cell>
          <cell r="Y62">
            <v>376</v>
          </cell>
          <cell r="Z62">
            <v>512.33333333333337</v>
          </cell>
          <cell r="AA62">
            <v>432</v>
          </cell>
          <cell r="AB62">
            <v>80.333333333333371</v>
          </cell>
          <cell r="AC62">
            <v>0</v>
          </cell>
        </row>
        <row r="63">
          <cell r="D63">
            <v>63</v>
          </cell>
          <cell r="E63">
            <v>19</v>
          </cell>
          <cell r="F63">
            <v>44</v>
          </cell>
          <cell r="L63">
            <v>396</v>
          </cell>
          <cell r="P63">
            <v>194</v>
          </cell>
          <cell r="Q63">
            <v>582</v>
          </cell>
          <cell r="R63">
            <v>527</v>
          </cell>
          <cell r="S63">
            <v>513</v>
          </cell>
          <cell r="T63">
            <v>225</v>
          </cell>
          <cell r="U63">
            <v>302</v>
          </cell>
          <cell r="V63">
            <v>417</v>
          </cell>
          <cell r="W63">
            <v>415</v>
          </cell>
          <cell r="X63">
            <v>129</v>
          </cell>
          <cell r="Y63">
            <v>288</v>
          </cell>
          <cell r="Z63">
            <v>265</v>
          </cell>
          <cell r="AA63">
            <v>265</v>
          </cell>
          <cell r="AB63">
            <v>0</v>
          </cell>
          <cell r="AC63">
            <v>381</v>
          </cell>
          <cell r="AD63">
            <v>381</v>
          </cell>
          <cell r="AG63">
            <v>0</v>
          </cell>
        </row>
        <row r="64">
          <cell r="L64">
            <v>52</v>
          </cell>
          <cell r="P64">
            <v>83.75</v>
          </cell>
          <cell r="Q64">
            <v>251.25</v>
          </cell>
          <cell r="R64">
            <v>192</v>
          </cell>
          <cell r="S64">
            <v>195</v>
          </cell>
          <cell r="T64">
            <v>82</v>
          </cell>
          <cell r="U64">
            <v>110</v>
          </cell>
          <cell r="V64">
            <v>144</v>
          </cell>
          <cell r="W64">
            <v>143</v>
          </cell>
          <cell r="X64">
            <v>59</v>
          </cell>
          <cell r="Y64">
            <v>85</v>
          </cell>
          <cell r="Z64">
            <v>88</v>
          </cell>
          <cell r="AA64">
            <v>88</v>
          </cell>
          <cell r="AB64">
            <v>0</v>
          </cell>
          <cell r="AC64">
            <v>97</v>
          </cell>
          <cell r="AD64">
            <v>97</v>
          </cell>
          <cell r="AG64">
            <v>0</v>
          </cell>
        </row>
        <row r="65">
          <cell r="D65">
            <v>0</v>
          </cell>
          <cell r="L65">
            <v>3</v>
          </cell>
          <cell r="P65">
            <v>4.5</v>
          </cell>
          <cell r="Q65">
            <v>13.5</v>
          </cell>
          <cell r="R65">
            <v>11</v>
          </cell>
          <cell r="S65">
            <v>11</v>
          </cell>
          <cell r="T65">
            <v>5</v>
          </cell>
          <cell r="U65">
            <v>6</v>
          </cell>
          <cell r="V65">
            <v>8</v>
          </cell>
          <cell r="W65">
            <v>8</v>
          </cell>
          <cell r="X65">
            <v>3</v>
          </cell>
          <cell r="Y65">
            <v>5</v>
          </cell>
          <cell r="Z65">
            <v>5</v>
          </cell>
          <cell r="AA65">
            <v>5</v>
          </cell>
          <cell r="AB65">
            <v>0</v>
          </cell>
          <cell r="AC65">
            <v>5</v>
          </cell>
          <cell r="AD65">
            <v>5</v>
          </cell>
          <cell r="AG65">
            <v>0</v>
          </cell>
        </row>
        <row r="66">
          <cell r="D66">
            <v>0</v>
          </cell>
          <cell r="L66">
            <v>17</v>
          </cell>
          <cell r="P66">
            <v>26.75</v>
          </cell>
          <cell r="Q66">
            <v>80.25</v>
          </cell>
          <cell r="R66">
            <v>61</v>
          </cell>
          <cell r="S66">
            <v>61</v>
          </cell>
          <cell r="T66">
            <v>26</v>
          </cell>
          <cell r="U66">
            <v>35</v>
          </cell>
          <cell r="V66">
            <v>46</v>
          </cell>
          <cell r="W66">
            <v>45</v>
          </cell>
          <cell r="X66">
            <v>19</v>
          </cell>
          <cell r="Y66">
            <v>27</v>
          </cell>
          <cell r="Z66">
            <v>28</v>
          </cell>
          <cell r="AA66">
            <v>28</v>
          </cell>
          <cell r="AB66">
            <v>0</v>
          </cell>
          <cell r="AC66">
            <v>31</v>
          </cell>
          <cell r="AD66">
            <v>31</v>
          </cell>
          <cell r="AG66">
            <v>0</v>
          </cell>
        </row>
        <row r="67">
          <cell r="D67">
            <v>0</v>
          </cell>
          <cell r="L67">
            <v>0</v>
          </cell>
          <cell r="P67">
            <v>0</v>
          </cell>
          <cell r="Q67">
            <v>0</v>
          </cell>
          <cell r="R67">
            <v>0</v>
          </cell>
          <cell r="T67">
            <v>0</v>
          </cell>
          <cell r="U67">
            <v>0</v>
          </cell>
          <cell r="V67">
            <v>0</v>
          </cell>
          <cell r="X67">
            <v>0</v>
          </cell>
          <cell r="Y67">
            <v>0</v>
          </cell>
          <cell r="Z67">
            <v>0</v>
          </cell>
          <cell r="AA67">
            <v>0</v>
          </cell>
          <cell r="AB67">
            <v>0</v>
          </cell>
          <cell r="AC67">
            <v>0</v>
          </cell>
          <cell r="AG67">
            <v>0</v>
          </cell>
        </row>
        <row r="68">
          <cell r="D68">
            <v>63</v>
          </cell>
          <cell r="L68">
            <v>283</v>
          </cell>
          <cell r="P68">
            <v>194</v>
          </cell>
          <cell r="Q68">
            <v>582</v>
          </cell>
          <cell r="R68">
            <v>527</v>
          </cell>
          <cell r="T68">
            <v>225</v>
          </cell>
          <cell r="U68">
            <v>302</v>
          </cell>
          <cell r="V68">
            <v>417</v>
          </cell>
          <cell r="X68">
            <v>170</v>
          </cell>
          <cell r="Y68">
            <v>247</v>
          </cell>
          <cell r="Z68">
            <v>265</v>
          </cell>
          <cell r="AA68">
            <v>265</v>
          </cell>
          <cell r="AB68">
            <v>0</v>
          </cell>
          <cell r="AC68">
            <v>0</v>
          </cell>
          <cell r="AG68">
            <v>0</v>
          </cell>
        </row>
        <row r="69">
          <cell r="D69">
            <v>0</v>
          </cell>
          <cell r="L69">
            <v>0</v>
          </cell>
          <cell r="P69">
            <v>0</v>
          </cell>
          <cell r="Q69">
            <v>0</v>
          </cell>
          <cell r="R69">
            <v>0</v>
          </cell>
          <cell r="U69">
            <v>0</v>
          </cell>
          <cell r="V69">
            <v>0</v>
          </cell>
          <cell r="X69">
            <v>0</v>
          </cell>
          <cell r="Y69">
            <v>0</v>
          </cell>
          <cell r="AB69">
            <v>0</v>
          </cell>
          <cell r="AC69">
            <v>0</v>
          </cell>
          <cell r="AG69">
            <v>0</v>
          </cell>
        </row>
        <row r="70">
          <cell r="D70">
            <v>1454</v>
          </cell>
          <cell r="E70">
            <v>434</v>
          </cell>
          <cell r="F70">
            <v>1020</v>
          </cell>
          <cell r="L70">
            <v>70</v>
          </cell>
          <cell r="P70">
            <v>74.58</v>
          </cell>
          <cell r="Q70">
            <v>105.42</v>
          </cell>
          <cell r="R70">
            <v>82</v>
          </cell>
          <cell r="S70">
            <v>104</v>
          </cell>
          <cell r="T70">
            <v>35</v>
          </cell>
          <cell r="U70">
            <v>47</v>
          </cell>
          <cell r="V70">
            <v>51</v>
          </cell>
          <cell r="W70">
            <v>80</v>
          </cell>
          <cell r="X70">
            <v>21</v>
          </cell>
          <cell r="Y70">
            <v>30</v>
          </cell>
          <cell r="Z70">
            <v>169.66666666666669</v>
          </cell>
          <cell r="AA70">
            <v>161</v>
          </cell>
          <cell r="AB70">
            <v>8.6666666666666856</v>
          </cell>
          <cell r="AC70">
            <v>444</v>
          </cell>
          <cell r="AD70">
            <v>222</v>
          </cell>
          <cell r="AE70">
            <v>222</v>
          </cell>
          <cell r="AF70">
            <v>996</v>
          </cell>
          <cell r="AG70">
            <v>0</v>
          </cell>
          <cell r="AH70">
            <v>0</v>
          </cell>
          <cell r="AI70">
            <v>0</v>
          </cell>
        </row>
        <row r="71">
          <cell r="D71">
            <v>62</v>
          </cell>
          <cell r="E71">
            <v>19</v>
          </cell>
          <cell r="F71">
            <v>43</v>
          </cell>
          <cell r="P71">
            <v>0</v>
          </cell>
          <cell r="Q71">
            <v>0</v>
          </cell>
          <cell r="T71">
            <v>0</v>
          </cell>
          <cell r="U71">
            <v>0</v>
          </cell>
          <cell r="AB71">
            <v>0</v>
          </cell>
          <cell r="AC71">
            <v>0</v>
          </cell>
          <cell r="AG71">
            <v>0</v>
          </cell>
        </row>
        <row r="72">
          <cell r="D72">
            <v>1392</v>
          </cell>
          <cell r="E72">
            <v>415</v>
          </cell>
          <cell r="F72">
            <v>977</v>
          </cell>
          <cell r="L72">
            <v>70</v>
          </cell>
          <cell r="P72">
            <v>74.58</v>
          </cell>
          <cell r="Q72">
            <v>105.42</v>
          </cell>
          <cell r="R72">
            <v>82</v>
          </cell>
          <cell r="S72">
            <v>104</v>
          </cell>
          <cell r="T72">
            <v>35</v>
          </cell>
          <cell r="U72">
            <v>47</v>
          </cell>
          <cell r="V72">
            <v>51</v>
          </cell>
          <cell r="W72">
            <v>80</v>
          </cell>
          <cell r="X72">
            <v>21</v>
          </cell>
          <cell r="Y72">
            <v>30</v>
          </cell>
          <cell r="Z72">
            <v>169.66666666666669</v>
          </cell>
          <cell r="AA72">
            <v>161</v>
          </cell>
          <cell r="AB72">
            <v>8.6666666666666856</v>
          </cell>
          <cell r="AC72">
            <v>444</v>
          </cell>
          <cell r="AD72">
            <v>222</v>
          </cell>
          <cell r="AE72">
            <v>222</v>
          </cell>
          <cell r="AF72">
            <v>996</v>
          </cell>
          <cell r="AI72">
            <v>3263</v>
          </cell>
        </row>
        <row r="73">
          <cell r="D73">
            <v>383</v>
          </cell>
          <cell r="E73">
            <v>114</v>
          </cell>
          <cell r="F73">
            <v>269</v>
          </cell>
          <cell r="L73">
            <v>44</v>
          </cell>
          <cell r="P73">
            <v>74.58</v>
          </cell>
          <cell r="Q73">
            <v>38.42</v>
          </cell>
          <cell r="R73">
            <v>45</v>
          </cell>
          <cell r="S73">
            <v>49</v>
          </cell>
          <cell r="T73">
            <v>19</v>
          </cell>
          <cell r="U73">
            <v>26</v>
          </cell>
          <cell r="V73">
            <v>27</v>
          </cell>
          <cell r="W73">
            <v>27</v>
          </cell>
          <cell r="X73">
            <v>21</v>
          </cell>
          <cell r="Y73">
            <v>30</v>
          </cell>
          <cell r="Z73">
            <v>105.66666666666667</v>
          </cell>
          <cell r="AA73">
            <v>97</v>
          </cell>
          <cell r="AB73">
            <v>8.6666666666666714</v>
          </cell>
          <cell r="AC73">
            <v>333</v>
          </cell>
          <cell r="AD73">
            <v>111</v>
          </cell>
          <cell r="AE73">
            <v>222</v>
          </cell>
          <cell r="AG73">
            <v>0</v>
          </cell>
          <cell r="AI73">
            <v>1236.3661129568106</v>
          </cell>
        </row>
        <row r="74">
          <cell r="E74">
            <v>0</v>
          </cell>
          <cell r="F74">
            <v>0</v>
          </cell>
          <cell r="AC74">
            <v>0</v>
          </cell>
          <cell r="AG74">
            <v>0</v>
          </cell>
        </row>
        <row r="75">
          <cell r="D75">
            <v>348</v>
          </cell>
          <cell r="E75">
            <v>104</v>
          </cell>
          <cell r="F75">
            <v>244</v>
          </cell>
          <cell r="R75">
            <v>0</v>
          </cell>
          <cell r="V75">
            <v>0</v>
          </cell>
          <cell r="AC75">
            <v>0</v>
          </cell>
          <cell r="AI75">
            <v>0</v>
          </cell>
        </row>
        <row r="76">
          <cell r="E76">
            <v>0</v>
          </cell>
          <cell r="F76">
            <v>0</v>
          </cell>
          <cell r="R76">
            <v>0</v>
          </cell>
          <cell r="V76">
            <v>0</v>
          </cell>
          <cell r="Z76">
            <v>6</v>
          </cell>
          <cell r="AA76">
            <v>6</v>
          </cell>
          <cell r="AC76">
            <v>0</v>
          </cell>
          <cell r="AG76">
            <v>0</v>
          </cell>
        </row>
        <row r="77">
          <cell r="E77">
            <v>0</v>
          </cell>
          <cell r="F77">
            <v>0</v>
          </cell>
          <cell r="S77">
            <v>36</v>
          </cell>
          <cell r="W77">
            <v>32</v>
          </cell>
          <cell r="AC77">
            <v>92</v>
          </cell>
          <cell r="AD77">
            <v>92</v>
          </cell>
          <cell r="AE77">
            <v>0</v>
          </cell>
          <cell r="AF77">
            <v>362</v>
          </cell>
        </row>
        <row r="78">
          <cell r="D78">
            <v>286</v>
          </cell>
          <cell r="E78">
            <v>85</v>
          </cell>
          <cell r="F78">
            <v>201</v>
          </cell>
          <cell r="L78">
            <v>12</v>
          </cell>
          <cell r="R78">
            <v>19</v>
          </cell>
          <cell r="S78">
            <v>18</v>
          </cell>
          <cell r="V78">
            <v>5</v>
          </cell>
          <cell r="W78">
            <v>21</v>
          </cell>
          <cell r="Z78">
            <v>34</v>
          </cell>
          <cell r="AA78">
            <v>34</v>
          </cell>
          <cell r="AB78">
            <v>0</v>
          </cell>
          <cell r="AC78">
            <v>4</v>
          </cell>
          <cell r="AD78">
            <v>4</v>
          </cell>
          <cell r="AF78">
            <v>39</v>
          </cell>
        </row>
        <row r="79">
          <cell r="D79">
            <v>375</v>
          </cell>
          <cell r="E79">
            <v>112</v>
          </cell>
          <cell r="F79">
            <v>263</v>
          </cell>
          <cell r="L79">
            <v>14</v>
          </cell>
          <cell r="R79">
            <v>18</v>
          </cell>
          <cell r="S79">
            <v>1</v>
          </cell>
          <cell r="V79">
            <v>19</v>
          </cell>
          <cell r="Z79">
            <v>30</v>
          </cell>
          <cell r="AA79">
            <v>30</v>
          </cell>
          <cell r="AB79">
            <v>0</v>
          </cell>
          <cell r="AC79">
            <v>15</v>
          </cell>
          <cell r="AD79">
            <v>15</v>
          </cell>
          <cell r="AF79">
            <v>595</v>
          </cell>
        </row>
        <row r="80">
          <cell r="D80">
            <v>2457.727272727273</v>
          </cell>
          <cell r="E80">
            <v>787</v>
          </cell>
          <cell r="F80">
            <v>1670.7272727272727</v>
          </cell>
          <cell r="L80">
            <v>2187.727272727273</v>
          </cell>
          <cell r="P80">
            <v>20779.44272727273</v>
          </cell>
          <cell r="Q80">
            <v>2853.0118181818184</v>
          </cell>
          <cell r="R80">
            <v>45197.909090909088</v>
          </cell>
          <cell r="S80">
            <v>33842</v>
          </cell>
          <cell r="T80">
            <v>28865</v>
          </cell>
          <cell r="U80">
            <v>16332.90909090909</v>
          </cell>
          <cell r="V80">
            <v>35616.63636363636</v>
          </cell>
          <cell r="W80">
            <v>27187</v>
          </cell>
          <cell r="X80">
            <v>21830</v>
          </cell>
          <cell r="Y80">
            <v>13786.636363636364</v>
          </cell>
          <cell r="Z80">
            <v>3618.212121212121</v>
          </cell>
          <cell r="AA80">
            <v>2959.5454545454545</v>
          </cell>
          <cell r="AB80">
            <v>658.66666666666674</v>
          </cell>
          <cell r="AC80">
            <v>0</v>
          </cell>
          <cell r="AD80">
            <v>2792</v>
          </cell>
          <cell r="AE80">
            <v>818</v>
          </cell>
          <cell r="AF80">
            <v>996</v>
          </cell>
          <cell r="AG80">
            <v>0</v>
          </cell>
        </row>
        <row r="81">
          <cell r="D81">
            <v>2457.727272727273</v>
          </cell>
          <cell r="E81">
            <v>787</v>
          </cell>
          <cell r="F81">
            <v>1670.7272727272727</v>
          </cell>
          <cell r="L81">
            <v>2187.727272727273</v>
          </cell>
          <cell r="R81">
            <v>2743.9090909090883</v>
          </cell>
          <cell r="V81">
            <v>1877.6363636363603</v>
          </cell>
          <cell r="Z81">
            <v>3618.212121212121</v>
          </cell>
          <cell r="AA81">
            <v>2959.5454545454545</v>
          </cell>
          <cell r="AB81">
            <v>658.66666666666674</v>
          </cell>
          <cell r="AG81">
            <v>0</v>
          </cell>
        </row>
        <row r="82">
          <cell r="AG82">
            <v>0</v>
          </cell>
        </row>
        <row r="83">
          <cell r="D83">
            <v>0</v>
          </cell>
          <cell r="E83">
            <v>0</v>
          </cell>
          <cell r="AG83">
            <v>0</v>
          </cell>
        </row>
        <row r="84">
          <cell r="D84">
            <v>2457.727272727273</v>
          </cell>
          <cell r="E84">
            <v>787</v>
          </cell>
          <cell r="F84">
            <v>1670.7272727272727</v>
          </cell>
          <cell r="L84">
            <v>2187.727272727273</v>
          </cell>
          <cell r="P84">
            <v>20779.44272727273</v>
          </cell>
          <cell r="Q84">
            <v>2853.0118181818184</v>
          </cell>
          <cell r="R84">
            <v>45197.909090909088</v>
          </cell>
          <cell r="S84">
            <v>33842</v>
          </cell>
          <cell r="T84">
            <v>28865</v>
          </cell>
          <cell r="U84">
            <v>16332.90909090909</v>
          </cell>
          <cell r="V84">
            <v>35616.63636363636</v>
          </cell>
          <cell r="W84">
            <v>27187</v>
          </cell>
          <cell r="X84">
            <v>21830</v>
          </cell>
          <cell r="Y84">
            <v>13786.636363636364</v>
          </cell>
          <cell r="Z84">
            <v>3618.212121212121</v>
          </cell>
          <cell r="AA84">
            <v>2959.5454545454545</v>
          </cell>
          <cell r="AB84">
            <v>658.66666666666674</v>
          </cell>
          <cell r="AC84" t="e">
            <v>#VALUE!</v>
          </cell>
          <cell r="AD84">
            <v>2792</v>
          </cell>
          <cell r="AE84">
            <v>818</v>
          </cell>
          <cell r="AF84">
            <v>996</v>
          </cell>
          <cell r="AG84">
            <v>0</v>
          </cell>
        </row>
        <row r="85">
          <cell r="D85">
            <v>0</v>
          </cell>
          <cell r="E85">
            <v>0</v>
          </cell>
          <cell r="F85">
            <v>0</v>
          </cell>
          <cell r="AG85">
            <v>0</v>
          </cell>
        </row>
        <row r="86">
          <cell r="D86">
            <v>1166</v>
          </cell>
          <cell r="E86">
            <v>590</v>
          </cell>
          <cell r="F86">
            <v>576</v>
          </cell>
          <cell r="AG86">
            <v>0</v>
          </cell>
        </row>
        <row r="87">
          <cell r="D87">
            <v>600</v>
          </cell>
          <cell r="E87">
            <v>179</v>
          </cell>
          <cell r="F87">
            <v>421</v>
          </cell>
          <cell r="P87">
            <v>0</v>
          </cell>
          <cell r="Q87">
            <v>0</v>
          </cell>
          <cell r="R87">
            <v>0</v>
          </cell>
          <cell r="S87">
            <v>0</v>
          </cell>
          <cell r="T87">
            <v>0</v>
          </cell>
          <cell r="U87">
            <v>0</v>
          </cell>
          <cell r="V87">
            <v>0</v>
          </cell>
          <cell r="W87">
            <v>0</v>
          </cell>
          <cell r="X87">
            <v>0</v>
          </cell>
          <cell r="Y87">
            <v>0</v>
          </cell>
          <cell r="Z87">
            <v>0</v>
          </cell>
          <cell r="AA87">
            <v>0</v>
          </cell>
          <cell r="AB87">
            <v>0</v>
          </cell>
          <cell r="AG87">
            <v>0</v>
          </cell>
        </row>
        <row r="88">
          <cell r="D88">
            <v>15</v>
          </cell>
          <cell r="E88">
            <v>4</v>
          </cell>
          <cell r="F88">
            <v>11</v>
          </cell>
          <cell r="L88">
            <v>61</v>
          </cell>
          <cell r="R88">
            <v>150</v>
          </cell>
          <cell r="T88">
            <v>72</v>
          </cell>
          <cell r="U88">
            <v>78</v>
          </cell>
          <cell r="V88">
            <v>27</v>
          </cell>
          <cell r="X88">
            <v>11</v>
          </cell>
          <cell r="Y88">
            <v>16</v>
          </cell>
          <cell r="Z88">
            <v>12.333333333333334</v>
          </cell>
          <cell r="AA88">
            <v>0</v>
          </cell>
          <cell r="AB88">
            <v>12.333333333333334</v>
          </cell>
          <cell r="AC88">
            <v>28</v>
          </cell>
          <cell r="AE88">
            <v>28</v>
          </cell>
        </row>
        <row r="89">
          <cell r="D89">
            <v>4238.727272727273</v>
          </cell>
          <cell r="E89">
            <v>1560</v>
          </cell>
          <cell r="F89">
            <v>2678.727272727273</v>
          </cell>
          <cell r="L89">
            <v>2248.727272727273</v>
          </cell>
          <cell r="P89">
            <v>20779.44272727273</v>
          </cell>
          <cell r="Q89">
            <v>2853.0118181818184</v>
          </cell>
          <cell r="R89">
            <v>45347.909090909088</v>
          </cell>
          <cell r="S89">
            <v>33842</v>
          </cell>
          <cell r="T89">
            <v>28937</v>
          </cell>
          <cell r="U89">
            <v>16410.909090909088</v>
          </cell>
          <cell r="V89">
            <v>35643.63636363636</v>
          </cell>
          <cell r="W89">
            <v>27187</v>
          </cell>
          <cell r="X89">
            <v>21841</v>
          </cell>
          <cell r="Y89">
            <v>13802.636363636364</v>
          </cell>
          <cell r="Z89">
            <v>3630.5454545454545</v>
          </cell>
          <cell r="AA89">
            <v>2959.5454545454545</v>
          </cell>
          <cell r="AB89">
            <v>671.00000000000011</v>
          </cell>
          <cell r="AC89" t="e">
            <v>#VALUE!</v>
          </cell>
          <cell r="AD89">
            <v>2792</v>
          </cell>
          <cell r="AE89">
            <v>846</v>
          </cell>
          <cell r="AF89">
            <v>996</v>
          </cell>
          <cell r="AG89">
            <v>0</v>
          </cell>
        </row>
        <row r="90">
          <cell r="D90">
            <v>4238.727272727273</v>
          </cell>
          <cell r="E90">
            <v>1560</v>
          </cell>
          <cell r="F90">
            <v>2678.727272727273</v>
          </cell>
          <cell r="L90">
            <v>2248.727272727273</v>
          </cell>
          <cell r="P90">
            <v>4874.4427272727298</v>
          </cell>
          <cell r="Q90">
            <v>2853.0118181818184</v>
          </cell>
          <cell r="R90">
            <v>2893.9090909090883</v>
          </cell>
          <cell r="S90">
            <v>2671</v>
          </cell>
          <cell r="T90">
            <v>1245</v>
          </cell>
          <cell r="U90">
            <v>1648.9090909090883</v>
          </cell>
          <cell r="V90">
            <v>1904.6363636363603</v>
          </cell>
          <cell r="W90">
            <v>1700</v>
          </cell>
          <cell r="X90">
            <v>735</v>
          </cell>
          <cell r="Y90">
            <v>1169.636363636364</v>
          </cell>
          <cell r="Z90">
            <v>3630.5454545454545</v>
          </cell>
          <cell r="AA90">
            <v>2959.5454545454545</v>
          </cell>
          <cell r="AB90">
            <v>671.00000000000011</v>
          </cell>
          <cell r="AC90" t="e">
            <v>#VALUE!</v>
          </cell>
          <cell r="AD90">
            <v>2792</v>
          </cell>
          <cell r="AE90">
            <v>846</v>
          </cell>
          <cell r="AF90">
            <v>996</v>
          </cell>
          <cell r="AG90">
            <v>0</v>
          </cell>
        </row>
        <row r="91">
          <cell r="D91">
            <v>202</v>
          </cell>
          <cell r="L91">
            <v>432</v>
          </cell>
          <cell r="R91">
            <v>123</v>
          </cell>
          <cell r="V91">
            <v>99</v>
          </cell>
          <cell r="Z91">
            <v>74</v>
          </cell>
          <cell r="AA91">
            <v>74</v>
          </cell>
          <cell r="AF91">
            <v>0</v>
          </cell>
          <cell r="AG91">
            <v>0</v>
          </cell>
        </row>
        <row r="92">
          <cell r="D92">
            <v>87</v>
          </cell>
          <cell r="L92">
            <v>432</v>
          </cell>
          <cell r="R92">
            <v>123</v>
          </cell>
          <cell r="V92">
            <v>99</v>
          </cell>
          <cell r="Z92">
            <v>74</v>
          </cell>
          <cell r="AA92">
            <v>74</v>
          </cell>
          <cell r="AF92">
            <v>0</v>
          </cell>
          <cell r="AG92">
            <v>0</v>
          </cell>
        </row>
        <row r="93">
          <cell r="D93">
            <v>0</v>
          </cell>
          <cell r="L93">
            <v>0</v>
          </cell>
          <cell r="R93">
            <v>0</v>
          </cell>
          <cell r="V93">
            <v>0</v>
          </cell>
          <cell r="Z93">
            <v>0</v>
          </cell>
          <cell r="AA93">
            <v>0</v>
          </cell>
          <cell r="AF93">
            <v>0</v>
          </cell>
          <cell r="AG93">
            <v>0</v>
          </cell>
        </row>
        <row r="94">
          <cell r="D94">
            <v>115</v>
          </cell>
          <cell r="L94">
            <v>0</v>
          </cell>
          <cell r="R94">
            <v>0</v>
          </cell>
          <cell r="V94">
            <v>0</v>
          </cell>
          <cell r="Z94">
            <v>0</v>
          </cell>
          <cell r="AA94">
            <v>0</v>
          </cell>
          <cell r="AF94">
            <v>0</v>
          </cell>
          <cell r="AG94">
            <v>0</v>
          </cell>
        </row>
        <row r="95">
          <cell r="AG95">
            <v>0</v>
          </cell>
        </row>
        <row r="96">
          <cell r="AG96">
            <v>0</v>
          </cell>
        </row>
        <row r="97">
          <cell r="D97">
            <v>115</v>
          </cell>
          <cell r="L97">
            <v>0</v>
          </cell>
          <cell r="R97">
            <v>0</v>
          </cell>
          <cell r="V97">
            <v>5</v>
          </cell>
          <cell r="Z97">
            <v>0</v>
          </cell>
          <cell r="AA97">
            <v>0</v>
          </cell>
          <cell r="AF97">
            <v>39</v>
          </cell>
          <cell r="AG97">
            <v>0</v>
          </cell>
        </row>
        <row r="98">
          <cell r="D98">
            <v>115</v>
          </cell>
          <cell r="L98">
            <v>0</v>
          </cell>
          <cell r="R98">
            <v>0</v>
          </cell>
          <cell r="V98">
            <v>0</v>
          </cell>
          <cell r="Z98">
            <v>0</v>
          </cell>
          <cell r="AA98">
            <v>0</v>
          </cell>
          <cell r="AF98">
            <v>0</v>
          </cell>
          <cell r="AG98">
            <v>0</v>
          </cell>
        </row>
        <row r="99">
          <cell r="L99">
            <v>0</v>
          </cell>
          <cell r="R99">
            <v>0</v>
          </cell>
          <cell r="V99">
            <v>0</v>
          </cell>
          <cell r="Z99">
            <v>0</v>
          </cell>
          <cell r="AA99">
            <v>0</v>
          </cell>
          <cell r="AF99">
            <v>0</v>
          </cell>
          <cell r="AG99">
            <v>0</v>
          </cell>
        </row>
        <row r="100">
          <cell r="D100">
            <v>0</v>
          </cell>
          <cell r="L100">
            <v>0</v>
          </cell>
          <cell r="R100">
            <v>0</v>
          </cell>
          <cell r="V100">
            <v>5</v>
          </cell>
          <cell r="Z100">
            <v>0</v>
          </cell>
          <cell r="AA100">
            <v>0</v>
          </cell>
          <cell r="AF100">
            <v>39</v>
          </cell>
          <cell r="AG100">
            <v>0</v>
          </cell>
        </row>
        <row r="101">
          <cell r="D101">
            <v>31</v>
          </cell>
          <cell r="L101">
            <v>0</v>
          </cell>
          <cell r="R101">
            <v>0</v>
          </cell>
          <cell r="V101">
            <v>19</v>
          </cell>
          <cell r="Z101">
            <v>0</v>
          </cell>
          <cell r="AA101">
            <v>0</v>
          </cell>
          <cell r="AF101">
            <v>595</v>
          </cell>
          <cell r="AG101">
            <v>0</v>
          </cell>
        </row>
        <row r="102">
          <cell r="D102">
            <v>31</v>
          </cell>
          <cell r="L102">
            <v>0</v>
          </cell>
          <cell r="V102">
            <v>0</v>
          </cell>
          <cell r="Z102">
            <v>0</v>
          </cell>
          <cell r="AA102">
            <v>0</v>
          </cell>
          <cell r="AG102">
            <v>0</v>
          </cell>
        </row>
        <row r="103">
          <cell r="D103">
            <v>0</v>
          </cell>
          <cell r="L103">
            <v>0</v>
          </cell>
          <cell r="R103">
            <v>0</v>
          </cell>
          <cell r="V103">
            <v>19</v>
          </cell>
          <cell r="Z103">
            <v>0</v>
          </cell>
          <cell r="AA103">
            <v>0</v>
          </cell>
          <cell r="AF103">
            <v>595</v>
          </cell>
          <cell r="AG103">
            <v>0</v>
          </cell>
        </row>
        <row r="104">
          <cell r="D104">
            <v>605.41409090909156</v>
          </cell>
          <cell r="L104">
            <v>0</v>
          </cell>
          <cell r="P104">
            <v>0</v>
          </cell>
          <cell r="V104">
            <v>0</v>
          </cell>
          <cell r="Z104">
            <v>0</v>
          </cell>
          <cell r="AA104">
            <v>0</v>
          </cell>
          <cell r="AG104">
            <v>0</v>
          </cell>
        </row>
        <row r="105">
          <cell r="D105">
            <v>0</v>
          </cell>
          <cell r="L105">
            <v>0</v>
          </cell>
          <cell r="AG105">
            <v>0</v>
          </cell>
        </row>
        <row r="106">
          <cell r="D106">
            <v>0</v>
          </cell>
          <cell r="R106">
            <v>0</v>
          </cell>
          <cell r="V106">
            <v>0</v>
          </cell>
          <cell r="Z106">
            <v>0</v>
          </cell>
          <cell r="AA106">
            <v>0</v>
          </cell>
          <cell r="AG106">
            <v>0</v>
          </cell>
        </row>
        <row r="107">
          <cell r="L107">
            <v>0</v>
          </cell>
          <cell r="R107">
            <v>0</v>
          </cell>
          <cell r="V107">
            <v>0</v>
          </cell>
          <cell r="Z107">
            <v>0</v>
          </cell>
          <cell r="AA107">
            <v>0</v>
          </cell>
          <cell r="AG107">
            <v>0</v>
          </cell>
        </row>
        <row r="108">
          <cell r="D108">
            <v>0</v>
          </cell>
          <cell r="L108">
            <v>0</v>
          </cell>
          <cell r="R108">
            <v>0</v>
          </cell>
          <cell r="V108">
            <v>38</v>
          </cell>
          <cell r="Z108">
            <v>0</v>
          </cell>
          <cell r="AA108">
            <v>0</v>
          </cell>
          <cell r="AF108">
            <v>363</v>
          </cell>
          <cell r="AG108">
            <v>0</v>
          </cell>
        </row>
        <row r="109">
          <cell r="D109">
            <v>2</v>
          </cell>
          <cell r="L109">
            <v>0</v>
          </cell>
          <cell r="R109">
            <v>28</v>
          </cell>
          <cell r="V109">
            <v>0</v>
          </cell>
          <cell r="Z109">
            <v>0</v>
          </cell>
          <cell r="AA109">
            <v>0</v>
          </cell>
          <cell r="AF109">
            <v>7</v>
          </cell>
          <cell r="AG109">
            <v>0</v>
          </cell>
        </row>
        <row r="110">
          <cell r="D110">
            <v>401.20704545454578</v>
          </cell>
          <cell r="AG110">
            <v>0</v>
          </cell>
        </row>
        <row r="111">
          <cell r="D111">
            <v>0</v>
          </cell>
        </row>
        <row r="112">
          <cell r="D112">
            <v>3725</v>
          </cell>
          <cell r="AG112">
            <v>0</v>
          </cell>
        </row>
        <row r="114">
          <cell r="D114">
            <v>0</v>
          </cell>
          <cell r="AG114">
            <v>0</v>
          </cell>
        </row>
        <row r="115">
          <cell r="D115">
            <v>4879.6211363636376</v>
          </cell>
          <cell r="E115">
            <v>0</v>
          </cell>
          <cell r="F115">
            <v>0</v>
          </cell>
          <cell r="L115">
            <v>0</v>
          </cell>
          <cell r="P115" t="e">
            <v>#VALUE!</v>
          </cell>
          <cell r="Q115">
            <v>0</v>
          </cell>
          <cell r="R115">
            <v>28</v>
          </cell>
          <cell r="T115">
            <v>0</v>
          </cell>
          <cell r="U115">
            <v>0</v>
          </cell>
          <cell r="V115">
            <v>62</v>
          </cell>
          <cell r="X115">
            <v>0</v>
          </cell>
          <cell r="Y115">
            <v>0</v>
          </cell>
          <cell r="Z115">
            <v>0</v>
          </cell>
          <cell r="AA115">
            <v>0</v>
          </cell>
          <cell r="AB115">
            <v>0</v>
          </cell>
          <cell r="AF115">
            <v>1004</v>
          </cell>
          <cell r="AG115">
            <v>0</v>
          </cell>
        </row>
        <row r="116">
          <cell r="D116">
            <v>868.41409090909156</v>
          </cell>
          <cell r="E116">
            <v>0</v>
          </cell>
          <cell r="F116">
            <v>0</v>
          </cell>
          <cell r="L116">
            <v>0</v>
          </cell>
          <cell r="R116">
            <v>28</v>
          </cell>
          <cell r="T116">
            <v>0</v>
          </cell>
          <cell r="U116">
            <v>0</v>
          </cell>
          <cell r="V116">
            <v>62</v>
          </cell>
          <cell r="Z116">
            <v>0</v>
          </cell>
          <cell r="AA116">
            <v>0</v>
          </cell>
          <cell r="AF116">
            <v>1004</v>
          </cell>
          <cell r="AG116">
            <v>0</v>
          </cell>
        </row>
        <row r="117">
          <cell r="AG117">
            <v>0</v>
          </cell>
        </row>
        <row r="118">
          <cell r="AG118">
            <v>0</v>
          </cell>
        </row>
        <row r="119">
          <cell r="AG119">
            <v>0</v>
          </cell>
        </row>
        <row r="120">
          <cell r="AG120">
            <v>0</v>
          </cell>
        </row>
        <row r="121">
          <cell r="AG121">
            <v>0</v>
          </cell>
        </row>
        <row r="122">
          <cell r="AG122">
            <v>0</v>
          </cell>
        </row>
        <row r="123">
          <cell r="AG123">
            <v>0</v>
          </cell>
        </row>
        <row r="124">
          <cell r="AG124">
            <v>0</v>
          </cell>
        </row>
        <row r="125">
          <cell r="AG125">
            <v>0</v>
          </cell>
        </row>
        <row r="126">
          <cell r="AG126">
            <v>0</v>
          </cell>
        </row>
        <row r="127">
          <cell r="AG127">
            <v>0</v>
          </cell>
        </row>
        <row r="128">
          <cell r="AG128">
            <v>0</v>
          </cell>
        </row>
        <row r="129">
          <cell r="AG129">
            <v>0</v>
          </cell>
        </row>
        <row r="130">
          <cell r="AG130">
            <v>0</v>
          </cell>
        </row>
        <row r="131">
          <cell r="AG131">
            <v>0</v>
          </cell>
        </row>
        <row r="132">
          <cell r="AG132">
            <v>0</v>
          </cell>
        </row>
        <row r="133">
          <cell r="AG133">
            <v>0</v>
          </cell>
        </row>
        <row r="134">
          <cell r="AG134">
            <v>0</v>
          </cell>
        </row>
        <row r="135">
          <cell r="AG135">
            <v>0</v>
          </cell>
        </row>
        <row r="136">
          <cell r="AG136">
            <v>0</v>
          </cell>
        </row>
        <row r="137">
          <cell r="AG137">
            <v>0</v>
          </cell>
        </row>
        <row r="138">
          <cell r="AG138">
            <v>0</v>
          </cell>
        </row>
        <row r="139">
          <cell r="AG139">
            <v>0</v>
          </cell>
        </row>
        <row r="140">
          <cell r="AG140">
            <v>0</v>
          </cell>
        </row>
        <row r="141">
          <cell r="AG141">
            <v>0</v>
          </cell>
        </row>
        <row r="142">
          <cell r="AG142">
            <v>0</v>
          </cell>
        </row>
        <row r="143">
          <cell r="AG143">
            <v>0</v>
          </cell>
        </row>
        <row r="144">
          <cell r="AG144">
            <v>0</v>
          </cell>
        </row>
        <row r="145">
          <cell r="AG145">
            <v>0</v>
          </cell>
        </row>
        <row r="146">
          <cell r="AG146">
            <v>0</v>
          </cell>
        </row>
        <row r="147">
          <cell r="AG147">
            <v>0</v>
          </cell>
        </row>
        <row r="148">
          <cell r="AG148">
            <v>0</v>
          </cell>
        </row>
        <row r="149">
          <cell r="D149">
            <v>0</v>
          </cell>
          <cell r="L149">
            <v>0</v>
          </cell>
          <cell r="R149">
            <v>0</v>
          </cell>
          <cell r="V149">
            <v>0</v>
          </cell>
          <cell r="AF149">
            <v>0</v>
          </cell>
          <cell r="AG149">
            <v>0</v>
          </cell>
        </row>
        <row r="150">
          <cell r="D150">
            <v>63</v>
          </cell>
          <cell r="L150">
            <v>396</v>
          </cell>
          <cell r="R150">
            <v>527</v>
          </cell>
          <cell r="V150">
            <v>417</v>
          </cell>
          <cell r="Z150">
            <v>265</v>
          </cell>
          <cell r="AA150">
            <v>265</v>
          </cell>
          <cell r="AG150">
            <v>0</v>
          </cell>
        </row>
        <row r="151">
          <cell r="D151">
            <v>63</v>
          </cell>
          <cell r="L151">
            <v>145</v>
          </cell>
          <cell r="R151">
            <v>226</v>
          </cell>
          <cell r="V151">
            <v>198</v>
          </cell>
          <cell r="Z151">
            <v>84</v>
          </cell>
          <cell r="AA151">
            <v>84</v>
          </cell>
          <cell r="AG151">
            <v>0</v>
          </cell>
        </row>
        <row r="152">
          <cell r="L152">
            <v>283</v>
          </cell>
          <cell r="R152">
            <v>263</v>
          </cell>
          <cell r="V152">
            <v>219</v>
          </cell>
          <cell r="Z152">
            <v>133</v>
          </cell>
          <cell r="AA152">
            <v>133</v>
          </cell>
        </row>
        <row r="153">
          <cell r="L153">
            <v>72</v>
          </cell>
          <cell r="R153">
            <v>264</v>
          </cell>
          <cell r="V153">
            <v>198</v>
          </cell>
          <cell r="Z153">
            <v>121</v>
          </cell>
          <cell r="AA153">
            <v>121</v>
          </cell>
        </row>
        <row r="155">
          <cell r="L155">
            <v>0</v>
          </cell>
          <cell r="V155">
            <v>369</v>
          </cell>
        </row>
        <row r="156">
          <cell r="L156">
            <v>0</v>
          </cell>
          <cell r="R156">
            <v>0</v>
          </cell>
          <cell r="V156">
            <v>0</v>
          </cell>
        </row>
        <row r="157">
          <cell r="D157">
            <v>17.179166666666667</v>
          </cell>
          <cell r="L157">
            <v>502</v>
          </cell>
          <cell r="R157">
            <v>213</v>
          </cell>
        </row>
        <row r="158">
          <cell r="L158">
            <v>0</v>
          </cell>
          <cell r="R158">
            <v>0</v>
          </cell>
        </row>
        <row r="159">
          <cell r="D159">
            <v>0</v>
          </cell>
          <cell r="L159">
            <v>396</v>
          </cell>
          <cell r="R159">
            <v>527</v>
          </cell>
          <cell r="V159">
            <v>417</v>
          </cell>
          <cell r="Z159">
            <v>265</v>
          </cell>
          <cell r="AA159">
            <v>265</v>
          </cell>
        </row>
        <row r="160">
          <cell r="L160">
            <v>396</v>
          </cell>
          <cell r="R160">
            <v>527</v>
          </cell>
          <cell r="V160">
            <v>417</v>
          </cell>
        </row>
        <row r="161">
          <cell r="D161">
            <v>80</v>
          </cell>
          <cell r="L161">
            <v>0</v>
          </cell>
          <cell r="R161">
            <v>0</v>
          </cell>
          <cell r="V161">
            <v>0</v>
          </cell>
        </row>
        <row r="162">
          <cell r="L162">
            <v>0</v>
          </cell>
          <cell r="R162">
            <v>1530</v>
          </cell>
          <cell r="V162">
            <v>0</v>
          </cell>
          <cell r="Z162">
            <v>0</v>
          </cell>
          <cell r="AA162">
            <v>0</v>
          </cell>
        </row>
        <row r="163">
          <cell r="L163">
            <v>0</v>
          </cell>
        </row>
        <row r="164">
          <cell r="D164">
            <v>233</v>
          </cell>
          <cell r="E164">
            <v>0</v>
          </cell>
          <cell r="F164">
            <v>0</v>
          </cell>
          <cell r="L164">
            <v>432</v>
          </cell>
          <cell r="P164">
            <v>0</v>
          </cell>
          <cell r="Q164">
            <v>0</v>
          </cell>
          <cell r="R164">
            <v>123</v>
          </cell>
          <cell r="T164">
            <v>0</v>
          </cell>
          <cell r="U164">
            <v>0</v>
          </cell>
          <cell r="V164">
            <v>99</v>
          </cell>
          <cell r="X164">
            <v>0</v>
          </cell>
          <cell r="Y164">
            <v>0</v>
          </cell>
          <cell r="Z164">
            <v>74</v>
          </cell>
          <cell r="AA164">
            <v>74</v>
          </cell>
          <cell r="AF164">
            <v>0</v>
          </cell>
          <cell r="AG164">
            <v>0</v>
          </cell>
        </row>
        <row r="165">
          <cell r="D165">
            <v>357.72727272727275</v>
          </cell>
          <cell r="E165">
            <v>126</v>
          </cell>
          <cell r="F165">
            <v>231.72727272727275</v>
          </cell>
          <cell r="L165">
            <v>725.72727272727275</v>
          </cell>
          <cell r="P165">
            <v>715.32272727272721</v>
          </cell>
          <cell r="Q165">
            <v>969.13181818181829</v>
          </cell>
          <cell r="R165">
            <v>653.90909090909099</v>
          </cell>
          <cell r="S165">
            <v>613</v>
          </cell>
          <cell r="T165">
            <v>280</v>
          </cell>
          <cell r="U165">
            <v>373.90909090909093</v>
          </cell>
          <cell r="V165">
            <v>578.63636363636363</v>
          </cell>
          <cell r="W165">
            <v>494</v>
          </cell>
          <cell r="X165">
            <v>221</v>
          </cell>
          <cell r="Y165">
            <v>319.63636363636363</v>
          </cell>
          <cell r="Z165">
            <v>1439.5454545454545</v>
          </cell>
          <cell r="AA165">
            <v>1439.5454545454545</v>
          </cell>
          <cell r="AB165">
            <v>0</v>
          </cell>
          <cell r="AC165">
            <v>1329</v>
          </cell>
          <cell r="AD165">
            <v>1329</v>
          </cell>
          <cell r="AF165">
            <v>363</v>
          </cell>
          <cell r="AG165">
            <v>0</v>
          </cell>
          <cell r="AH165">
            <v>0</v>
          </cell>
          <cell r="AI165">
            <v>0</v>
          </cell>
        </row>
        <row r="166">
          <cell r="D166">
            <v>1888.0000000000002</v>
          </cell>
          <cell r="E166">
            <v>-130</v>
          </cell>
          <cell r="F166">
            <v>-242.72727272727275</v>
          </cell>
          <cell r="L166">
            <v>480.00000000000023</v>
          </cell>
          <cell r="P166">
            <v>20079.88</v>
          </cell>
          <cell r="Q166">
            <v>2082.1200000000003</v>
          </cell>
          <cell r="R166">
            <v>61.999999999997272</v>
          </cell>
          <cell r="S166">
            <v>-1451</v>
          </cell>
          <cell r="T166">
            <v>-711</v>
          </cell>
          <cell r="U166">
            <v>-931.90909090909099</v>
          </cell>
          <cell r="V166">
            <v>177.9999999999967</v>
          </cell>
          <cell r="W166">
            <v>1199</v>
          </cell>
          <cell r="X166">
            <v>-238</v>
          </cell>
          <cell r="Y166">
            <v>-343.63636363636363</v>
          </cell>
          <cell r="Z166">
            <v>1327.3333333333333</v>
          </cell>
          <cell r="AA166">
            <v>749</v>
          </cell>
          <cell r="AB166">
            <v>578.33333333333337</v>
          </cell>
          <cell r="AC166" t="e">
            <v>#VALUE!</v>
          </cell>
          <cell r="AD166">
            <v>1463</v>
          </cell>
          <cell r="AF166">
            <v>-965</v>
          </cell>
          <cell r="AG166">
            <v>0</v>
          </cell>
          <cell r="AH166">
            <v>0</v>
          </cell>
          <cell r="AI166">
            <v>0</v>
          </cell>
        </row>
        <row r="167">
          <cell r="D167">
            <v>17</v>
          </cell>
          <cell r="E167">
            <v>4</v>
          </cell>
          <cell r="F167">
            <v>11</v>
          </cell>
          <cell r="L167">
            <v>61</v>
          </cell>
          <cell r="P167">
            <v>22</v>
          </cell>
          <cell r="Q167">
            <v>0</v>
          </cell>
          <cell r="R167">
            <v>1017</v>
          </cell>
          <cell r="S167">
            <v>838</v>
          </cell>
          <cell r="T167">
            <v>431</v>
          </cell>
          <cell r="U167">
            <v>558</v>
          </cell>
          <cell r="V167">
            <v>41</v>
          </cell>
          <cell r="W167">
            <v>7</v>
          </cell>
          <cell r="X167">
            <v>17</v>
          </cell>
          <cell r="Y167">
            <v>24</v>
          </cell>
          <cell r="Z167">
            <v>12.333333333333334</v>
          </cell>
          <cell r="AA167">
            <v>0</v>
          </cell>
          <cell r="AB167">
            <v>12.333333333333334</v>
          </cell>
          <cell r="AC167">
            <v>28</v>
          </cell>
          <cell r="AD167">
            <v>0</v>
          </cell>
          <cell r="AF167">
            <v>7</v>
          </cell>
          <cell r="AG167">
            <v>0</v>
          </cell>
          <cell r="AH167">
            <v>0</v>
          </cell>
          <cell r="AI167">
            <v>0</v>
          </cell>
        </row>
        <row r="193">
          <cell r="D193" t="str">
            <v>АПАРАТ ВСЬОГО</v>
          </cell>
          <cell r="E193" t="str">
            <v>АПАРАТ ЕЛЕКТРО</v>
          </cell>
          <cell r="F193" t="str">
            <v>АПАРАТ ТЕПЛО</v>
          </cell>
          <cell r="L193" t="str">
            <v>ККМ</v>
          </cell>
          <cell r="R193" t="str">
            <v>ТЕЦ-5 ВСЬОГО</v>
          </cell>
          <cell r="T193" t="str">
            <v>Е/Е</v>
          </cell>
          <cell r="U193" t="str">
            <v xml:space="preserve"> Т/Е</v>
          </cell>
          <cell r="V193" t="str">
            <v>ТЕЦ-6 ВСЬОГО</v>
          </cell>
          <cell r="X193" t="str">
            <v>Е/Е</v>
          </cell>
          <cell r="Y193" t="str">
            <v xml:space="preserve"> Т/Е</v>
          </cell>
          <cell r="AF193" t="str">
            <v xml:space="preserve">ДОП.ВИР. </v>
          </cell>
          <cell r="AG193" t="str">
            <v>ДОП.ВИР. СТ.ОРГ.</v>
          </cell>
        </row>
        <row r="194">
          <cell r="D194">
            <v>2.78</v>
          </cell>
          <cell r="P194">
            <v>3.427</v>
          </cell>
          <cell r="Q194">
            <v>3.427</v>
          </cell>
          <cell r="R194">
            <v>3.427</v>
          </cell>
          <cell r="T194">
            <v>3.427</v>
          </cell>
          <cell r="U194">
            <v>3.427</v>
          </cell>
          <cell r="V194">
            <v>3.427</v>
          </cell>
          <cell r="X194">
            <v>3.427</v>
          </cell>
          <cell r="Y194">
            <v>3.427</v>
          </cell>
          <cell r="AA194">
            <v>3.427</v>
          </cell>
          <cell r="AF194">
            <v>3.427</v>
          </cell>
          <cell r="AG194">
            <v>3.427</v>
          </cell>
          <cell r="AH194">
            <v>3.427</v>
          </cell>
          <cell r="AI194">
            <v>3.427</v>
          </cell>
        </row>
        <row r="196">
          <cell r="R196">
            <v>81.3</v>
          </cell>
          <cell r="V196">
            <v>66</v>
          </cell>
        </row>
        <row r="197">
          <cell r="R197">
            <v>93.5</v>
          </cell>
          <cell r="V197">
            <v>75.900000000000006</v>
          </cell>
        </row>
        <row r="198">
          <cell r="L198">
            <v>0</v>
          </cell>
        </row>
        <row r="199">
          <cell r="L199">
            <v>0</v>
          </cell>
          <cell r="R199">
            <v>141.5</v>
          </cell>
          <cell r="V199">
            <v>141.5</v>
          </cell>
          <cell r="W199">
            <v>178</v>
          </cell>
          <cell r="Z199">
            <v>178</v>
          </cell>
          <cell r="AA199">
            <v>141.5</v>
          </cell>
          <cell r="AB199">
            <v>141.5</v>
          </cell>
          <cell r="AC199">
            <v>141.5</v>
          </cell>
          <cell r="AD199">
            <v>178</v>
          </cell>
          <cell r="AF199">
            <v>178</v>
          </cell>
          <cell r="AG199">
            <v>178</v>
          </cell>
          <cell r="AI199">
            <v>178</v>
          </cell>
        </row>
        <row r="200">
          <cell r="R200">
            <v>11504</v>
          </cell>
          <cell r="V200">
            <v>9339</v>
          </cell>
        </row>
        <row r="202">
          <cell r="R202">
            <v>0</v>
          </cell>
          <cell r="V202">
            <v>0</v>
          </cell>
        </row>
        <row r="203">
          <cell r="R203">
            <v>0</v>
          </cell>
          <cell r="V203">
            <v>0</v>
          </cell>
        </row>
        <row r="205">
          <cell r="R205">
            <v>141.5</v>
          </cell>
          <cell r="V205">
            <v>141.5</v>
          </cell>
        </row>
        <row r="206">
          <cell r="R206">
            <v>0</v>
          </cell>
          <cell r="V206">
            <v>0</v>
          </cell>
        </row>
        <row r="208">
          <cell r="R208">
            <v>61.9</v>
          </cell>
          <cell r="V208">
            <v>48.8</v>
          </cell>
        </row>
        <row r="209">
          <cell r="R209">
            <v>85.5</v>
          </cell>
          <cell r="V209">
            <v>67.400000000000006</v>
          </cell>
        </row>
        <row r="210">
          <cell r="D210">
            <v>75</v>
          </cell>
          <cell r="L210">
            <v>75</v>
          </cell>
          <cell r="R210">
            <v>82</v>
          </cell>
          <cell r="V210">
            <v>82</v>
          </cell>
          <cell r="AG210">
            <v>0</v>
          </cell>
        </row>
        <row r="211">
          <cell r="P211">
            <v>0</v>
          </cell>
          <cell r="Q211">
            <v>0</v>
          </cell>
          <cell r="R211">
            <v>500</v>
          </cell>
          <cell r="S211">
            <v>500</v>
          </cell>
          <cell r="V211">
            <v>500</v>
          </cell>
          <cell r="W211">
            <v>458</v>
          </cell>
          <cell r="Z211">
            <v>458</v>
          </cell>
          <cell r="AA211">
            <v>458</v>
          </cell>
          <cell r="AB211">
            <v>458</v>
          </cell>
          <cell r="AC211">
            <v>458</v>
          </cell>
          <cell r="AD211">
            <v>458</v>
          </cell>
          <cell r="AF211">
            <v>458</v>
          </cell>
          <cell r="AG211">
            <v>458</v>
          </cell>
          <cell r="AI211">
            <v>458</v>
          </cell>
        </row>
        <row r="212">
          <cell r="R212">
            <v>30950</v>
          </cell>
          <cell r="V212">
            <v>24400</v>
          </cell>
        </row>
        <row r="214">
          <cell r="R214">
            <v>179</v>
          </cell>
          <cell r="T214">
            <v>76.5</v>
          </cell>
          <cell r="U214">
            <v>102.5</v>
          </cell>
          <cell r="V214">
            <v>143.30000000000001</v>
          </cell>
          <cell r="X214">
            <v>58.3</v>
          </cell>
          <cell r="Y214">
            <v>85.000000000000014</v>
          </cell>
        </row>
        <row r="215">
          <cell r="R215">
            <v>42454</v>
          </cell>
          <cell r="T215">
            <v>27692</v>
          </cell>
          <cell r="U215">
            <v>14762</v>
          </cell>
          <cell r="V215">
            <v>33739</v>
          </cell>
          <cell r="X215">
            <v>21106</v>
          </cell>
          <cell r="Y215">
            <v>12633</v>
          </cell>
        </row>
        <row r="216">
          <cell r="R216">
            <v>237.17</v>
          </cell>
          <cell r="T216">
            <v>361.99</v>
          </cell>
          <cell r="U216">
            <v>144.02000000000001</v>
          </cell>
          <cell r="V216">
            <v>235.44</v>
          </cell>
          <cell r="X216">
            <v>362.02</v>
          </cell>
          <cell r="Y216">
            <v>148.62</v>
          </cell>
          <cell r="AF216">
            <v>0</v>
          </cell>
          <cell r="AG216">
            <v>0</v>
          </cell>
        </row>
        <row r="218">
          <cell r="R218">
            <v>42455</v>
          </cell>
          <cell r="V218">
            <v>33739</v>
          </cell>
        </row>
        <row r="239">
          <cell r="D239" t="str">
            <v>ВИКОН.ДИР.</v>
          </cell>
          <cell r="L239" t="str">
            <v>ККМ</v>
          </cell>
          <cell r="R239" t="str">
            <v>ТЕЦ-5 ВСЬОГО</v>
          </cell>
          <cell r="V239" t="str">
            <v>ТЕЦ-6 ВСЬОГО</v>
          </cell>
          <cell r="AA239" t="str">
            <v>ТРМ ВСЬОГО</v>
          </cell>
        </row>
        <row r="240">
          <cell r="D240">
            <v>3546.727272727273</v>
          </cell>
          <cell r="L240">
            <v>2094.727272727273</v>
          </cell>
          <cell r="R240">
            <v>2382.9090909090883</v>
          </cell>
          <cell r="V240">
            <v>-72</v>
          </cell>
          <cell r="AA240">
            <v>2527.5454545454545</v>
          </cell>
        </row>
        <row r="242">
          <cell r="D242">
            <v>9597.141363636365</v>
          </cell>
          <cell r="L242">
            <v>2094.727272727273</v>
          </cell>
          <cell r="R242">
            <v>2382.9090909090883</v>
          </cell>
          <cell r="V242">
            <v>-72</v>
          </cell>
          <cell r="AA242">
            <v>2527.5454545454545</v>
          </cell>
        </row>
        <row r="243">
          <cell r="D243">
            <v>4089.3529545454548</v>
          </cell>
          <cell r="L243">
            <v>645.68000000000029</v>
          </cell>
          <cell r="R243">
            <v>1767.9999999999977</v>
          </cell>
          <cell r="V243">
            <v>36754.003030303029</v>
          </cell>
          <cell r="AA243">
            <v>655.5333333333333</v>
          </cell>
        </row>
        <row r="244">
          <cell r="D244">
            <v>58857.621136363639</v>
          </cell>
          <cell r="L244">
            <v>0</v>
          </cell>
          <cell r="R244">
            <v>0</v>
          </cell>
          <cell r="V244">
            <v>35616.63636363636</v>
          </cell>
          <cell r="AA244">
            <v>0</v>
          </cell>
        </row>
        <row r="245">
          <cell r="D245">
            <v>48798</v>
          </cell>
        </row>
        <row r="246">
          <cell r="D246">
            <v>0</v>
          </cell>
        </row>
        <row r="247">
          <cell r="D247">
            <v>5266</v>
          </cell>
          <cell r="L247">
            <v>0</v>
          </cell>
          <cell r="R247">
            <v>0</v>
          </cell>
          <cell r="V247">
            <v>35616.63636363636</v>
          </cell>
          <cell r="AA247">
            <v>0</v>
          </cell>
        </row>
        <row r="248">
          <cell r="D248">
            <v>0</v>
          </cell>
        </row>
        <row r="249">
          <cell r="D249">
            <v>0</v>
          </cell>
        </row>
        <row r="250">
          <cell r="D250">
            <v>0</v>
          </cell>
        </row>
        <row r="251">
          <cell r="D251">
            <v>3500</v>
          </cell>
        </row>
        <row r="252">
          <cell r="D252">
            <v>0</v>
          </cell>
        </row>
        <row r="253">
          <cell r="D253">
            <v>1766</v>
          </cell>
          <cell r="L253">
            <v>0</v>
          </cell>
          <cell r="R253">
            <v>0</v>
          </cell>
          <cell r="V253">
            <v>35616.63636363636</v>
          </cell>
          <cell r="AA253">
            <v>0</v>
          </cell>
        </row>
        <row r="254">
          <cell r="D254">
            <v>4731.6211363636376</v>
          </cell>
        </row>
        <row r="255">
          <cell r="D255">
            <v>62</v>
          </cell>
          <cell r="L255">
            <v>0</v>
          </cell>
          <cell r="R255">
            <v>0</v>
          </cell>
          <cell r="V255">
            <v>0</v>
          </cell>
          <cell r="AA255">
            <v>0</v>
          </cell>
        </row>
        <row r="256">
          <cell r="D256">
            <v>62404.348409090911</v>
          </cell>
          <cell r="L256">
            <v>2094.727272727273</v>
          </cell>
          <cell r="R256">
            <v>2382.9090909090883</v>
          </cell>
          <cell r="V256">
            <v>35544.63636363636</v>
          </cell>
          <cell r="AA256">
            <v>2527.5454545454545</v>
          </cell>
        </row>
        <row r="257">
          <cell r="D257">
            <v>1362.1672727272726</v>
          </cell>
          <cell r="L257">
            <v>1781.0472727272727</v>
          </cell>
          <cell r="R257">
            <v>1817.909090909091</v>
          </cell>
          <cell r="V257">
            <v>35634.829696969697</v>
          </cell>
          <cell r="AA257">
            <v>2055.0121212121212</v>
          </cell>
        </row>
        <row r="258">
          <cell r="D258">
            <v>357.72727272727275</v>
          </cell>
          <cell r="L258">
            <v>725.72727272727275</v>
          </cell>
          <cell r="R258">
            <v>653.90909090909099</v>
          </cell>
          <cell r="V258">
            <v>1465.6363636363635</v>
          </cell>
          <cell r="AA258">
            <v>1439.5454545454545</v>
          </cell>
        </row>
        <row r="259">
          <cell r="D259">
            <v>0</v>
          </cell>
          <cell r="L259">
            <v>0</v>
          </cell>
          <cell r="R259">
            <v>839</v>
          </cell>
          <cell r="V259">
            <v>32.56</v>
          </cell>
          <cell r="AA259">
            <v>0</v>
          </cell>
        </row>
        <row r="260">
          <cell r="D260">
            <v>997.43999999999994</v>
          </cell>
          <cell r="L260">
            <v>696.31999999999994</v>
          </cell>
          <cell r="R260">
            <v>268.33333333333331</v>
          </cell>
          <cell r="V260">
            <v>130.63333333333333</v>
          </cell>
          <cell r="AA260">
            <v>173.46666666666667</v>
          </cell>
        </row>
        <row r="261">
          <cell r="D261">
            <v>67.833333333333343</v>
          </cell>
          <cell r="L261">
            <v>336.7</v>
          </cell>
          <cell r="R261">
            <v>55.666666666666664</v>
          </cell>
          <cell r="V261">
            <v>0</v>
          </cell>
          <cell r="AA261">
            <v>125.2</v>
          </cell>
        </row>
        <row r="262">
          <cell r="D262">
            <v>343.60666666666663</v>
          </cell>
          <cell r="L262">
            <v>9.6199999999999992</v>
          </cell>
          <cell r="R262">
            <v>32.666666666666664</v>
          </cell>
          <cell r="V262">
            <v>45.633333333333333</v>
          </cell>
          <cell r="AA262">
            <v>17.266666666666666</v>
          </cell>
        </row>
        <row r="263">
          <cell r="L263">
            <v>220</v>
          </cell>
          <cell r="R263">
            <v>130</v>
          </cell>
          <cell r="V263">
            <v>85</v>
          </cell>
          <cell r="AA263">
            <v>0</v>
          </cell>
        </row>
        <row r="264">
          <cell r="D264">
            <v>586</v>
          </cell>
          <cell r="L264">
            <v>130</v>
          </cell>
          <cell r="R264">
            <v>50</v>
          </cell>
          <cell r="V264">
            <v>0</v>
          </cell>
          <cell r="AA264">
            <v>31</v>
          </cell>
        </row>
        <row r="265">
          <cell r="D265">
            <v>7</v>
          </cell>
          <cell r="L265">
            <v>59</v>
          </cell>
          <cell r="R265">
            <v>56.666666666666664</v>
          </cell>
          <cell r="V265">
            <v>34006</v>
          </cell>
          <cell r="AA265">
            <v>442</v>
          </cell>
        </row>
        <row r="266">
          <cell r="D266">
            <v>0</v>
          </cell>
          <cell r="L266">
            <v>0</v>
          </cell>
          <cell r="R266">
            <v>56.666666666666664</v>
          </cell>
          <cell r="V266">
            <v>267</v>
          </cell>
          <cell r="AA266">
            <v>0</v>
          </cell>
        </row>
        <row r="267">
          <cell r="D267">
            <v>7</v>
          </cell>
          <cell r="L267">
            <v>59</v>
          </cell>
          <cell r="R267">
            <v>0</v>
          </cell>
          <cell r="V267">
            <v>33739</v>
          </cell>
          <cell r="AA267">
            <v>442</v>
          </cell>
        </row>
        <row r="269">
          <cell r="L269">
            <v>300</v>
          </cell>
          <cell r="R269">
            <v>0</v>
          </cell>
          <cell r="V269">
            <v>0</v>
          </cell>
          <cell r="AA269">
            <v>0</v>
          </cell>
        </row>
        <row r="270">
          <cell r="D270">
            <v>61042.181136363637</v>
          </cell>
          <cell r="L270">
            <v>313.68000000000029</v>
          </cell>
          <cell r="R270">
            <v>564.99999999999727</v>
          </cell>
          <cell r="V270">
            <v>-90.193333333336341</v>
          </cell>
          <cell r="AA270">
            <v>472.5333333333333</v>
          </cell>
        </row>
        <row r="272">
          <cell r="D272">
            <v>1503.7391666666665</v>
          </cell>
          <cell r="L272">
            <v>-12.319999999999993</v>
          </cell>
          <cell r="R272">
            <v>128.00000000000003</v>
          </cell>
          <cell r="V272">
            <v>648.44303030302694</v>
          </cell>
          <cell r="AA272">
            <v>133.5333333333333</v>
          </cell>
        </row>
        <row r="273">
          <cell r="D273">
            <v>17.179166666666667</v>
          </cell>
          <cell r="L273">
            <v>-18</v>
          </cell>
          <cell r="R273">
            <v>83</v>
          </cell>
          <cell r="V273">
            <v>284</v>
          </cell>
          <cell r="AA273">
            <v>0</v>
          </cell>
        </row>
        <row r="274">
          <cell r="D274">
            <v>0</v>
          </cell>
          <cell r="L274">
            <v>-202</v>
          </cell>
          <cell r="R274">
            <v>-314</v>
          </cell>
          <cell r="V274">
            <v>-1195</v>
          </cell>
          <cell r="AA274">
            <v>-152</v>
          </cell>
        </row>
        <row r="275">
          <cell r="D275">
            <v>0</v>
          </cell>
          <cell r="L275">
            <v>0</v>
          </cell>
          <cell r="R275">
            <v>0</v>
          </cell>
          <cell r="V275">
            <v>-5</v>
          </cell>
          <cell r="AA275">
            <v>0</v>
          </cell>
        </row>
        <row r="276">
          <cell r="D276">
            <v>0</v>
          </cell>
          <cell r="L276">
            <v>0</v>
          </cell>
          <cell r="R276">
            <v>0</v>
          </cell>
          <cell r="V276">
            <v>0</v>
          </cell>
          <cell r="AA276">
            <v>0</v>
          </cell>
        </row>
        <row r="277">
          <cell r="D277">
            <v>1469.56</v>
          </cell>
          <cell r="L277">
            <v>146.68</v>
          </cell>
          <cell r="R277">
            <v>181.00000000000003</v>
          </cell>
          <cell r="V277">
            <v>1564.4430303030269</v>
          </cell>
          <cell r="AA277">
            <v>285.5333333333333</v>
          </cell>
        </row>
        <row r="278">
          <cell r="D278">
            <v>76.56</v>
          </cell>
          <cell r="L278">
            <v>41.680000000000014</v>
          </cell>
          <cell r="R278">
            <v>12.000000000000021</v>
          </cell>
          <cell r="V278">
            <v>1020.0030303030269</v>
          </cell>
          <cell r="AA278">
            <v>12.533333333333331</v>
          </cell>
        </row>
        <row r="279">
          <cell r="D279">
            <v>1</v>
          </cell>
          <cell r="L279">
            <v>35</v>
          </cell>
          <cell r="R279">
            <v>87</v>
          </cell>
          <cell r="V279">
            <v>127.44</v>
          </cell>
          <cell r="AA279">
            <v>112</v>
          </cell>
        </row>
        <row r="280">
          <cell r="D280">
            <v>1392</v>
          </cell>
          <cell r="L280">
            <v>70</v>
          </cell>
          <cell r="R280">
            <v>82</v>
          </cell>
          <cell r="V280">
            <v>417</v>
          </cell>
          <cell r="AA280">
            <v>161</v>
          </cell>
        </row>
        <row r="281">
          <cell r="L281">
            <v>0</v>
          </cell>
          <cell r="AA281">
            <v>0</v>
          </cell>
        </row>
        <row r="282">
          <cell r="D282">
            <v>17</v>
          </cell>
          <cell r="L282">
            <v>61</v>
          </cell>
          <cell r="R282">
            <v>178</v>
          </cell>
          <cell r="V282">
            <v>0</v>
          </cell>
          <cell r="AA282">
            <v>0</v>
          </cell>
        </row>
        <row r="283">
          <cell r="D283">
            <v>61042.181136363637</v>
          </cell>
          <cell r="L283">
            <v>313.68000000000029</v>
          </cell>
          <cell r="R283">
            <v>564.99999999999727</v>
          </cell>
          <cell r="V283">
            <v>-90.193333333336341</v>
          </cell>
          <cell r="AA283">
            <v>472.5333333333333</v>
          </cell>
        </row>
        <row r="284">
          <cell r="AA284">
            <v>0</v>
          </cell>
        </row>
        <row r="286">
          <cell r="D286">
            <v>61042.181136363637</v>
          </cell>
          <cell r="L286">
            <v>313.68000000000029</v>
          </cell>
          <cell r="R286">
            <v>564.99999999999727</v>
          </cell>
          <cell r="V286">
            <v>-90.193333333336341</v>
          </cell>
          <cell r="AA286">
            <v>472.5333333333333</v>
          </cell>
        </row>
        <row r="287">
          <cell r="D287">
            <v>0</v>
          </cell>
        </row>
        <row r="288">
          <cell r="D288">
            <v>0</v>
          </cell>
          <cell r="L288">
            <v>0</v>
          </cell>
          <cell r="R288">
            <v>0</v>
          </cell>
          <cell r="V288">
            <v>0</v>
          </cell>
          <cell r="AA288">
            <v>0</v>
          </cell>
        </row>
        <row r="289">
          <cell r="D289">
            <v>0</v>
          </cell>
          <cell r="L289">
            <v>0</v>
          </cell>
          <cell r="R289">
            <v>0</v>
          </cell>
          <cell r="V289">
            <v>0</v>
          </cell>
          <cell r="AA289">
            <v>0</v>
          </cell>
        </row>
        <row r="291">
          <cell r="D291">
            <v>61042.181136363637</v>
          </cell>
          <cell r="L291">
            <v>313.68000000000029</v>
          </cell>
          <cell r="R291">
            <v>564.99999999999727</v>
          </cell>
          <cell r="V291">
            <v>-90.193333333336341</v>
          </cell>
          <cell r="AA291">
            <v>472.5333333333333</v>
          </cell>
        </row>
        <row r="293">
          <cell r="L293">
            <v>300</v>
          </cell>
        </row>
        <row r="295">
          <cell r="V295">
            <v>417</v>
          </cell>
        </row>
        <row r="296">
          <cell r="D296">
            <v>990</v>
          </cell>
        </row>
        <row r="300">
          <cell r="D300">
            <v>61042.181136363637</v>
          </cell>
          <cell r="L300">
            <v>313.68000000000029</v>
          </cell>
          <cell r="R300">
            <v>564.99999999999727</v>
          </cell>
          <cell r="V300">
            <v>-90.193333333336341</v>
          </cell>
          <cell r="AA300">
            <v>472.5333333333333</v>
          </cell>
        </row>
        <row r="321">
          <cell r="T321" t="str">
            <v>ФМЗ ( з відрахуван)</v>
          </cell>
          <cell r="V321">
            <v>25</v>
          </cell>
        </row>
      </sheetData>
      <sheetData sheetId="3" refreshError="1">
        <row r="8">
          <cell r="AF8" t="str">
            <v>ЗАТВЕРДЖУЮ</v>
          </cell>
        </row>
        <row r="15">
          <cell r="AN15" t="str">
            <v>ЗАТВЕРДЖУЮ</v>
          </cell>
        </row>
        <row r="16">
          <cell r="AN16" t="str">
            <v>ГОЛОВА ПРАВЛІННЯ-</v>
          </cell>
        </row>
        <row r="17">
          <cell r="AN17" t="str">
            <v>ГЕНЕРАЛЬНИЙ ДИРЕКТОР</v>
          </cell>
        </row>
        <row r="18">
          <cell r="AO18" t="str">
            <v xml:space="preserve">    І.В.ПЛАЧКОВ</v>
          </cell>
        </row>
        <row r="19">
          <cell r="AC19" t="str">
            <v>звіт</v>
          </cell>
        </row>
        <row r="20">
          <cell r="N20" t="str">
            <v>ЗАТВЕРДЖУЮ</v>
          </cell>
          <cell r="AJ20">
            <v>0</v>
          </cell>
          <cell r="AK20" t="str">
            <v>ПЛАЧКОВ І.В.</v>
          </cell>
        </row>
        <row r="21">
          <cell r="N21" t="str">
            <v xml:space="preserve">                   ПЛАЧКОВ І.В.</v>
          </cell>
          <cell r="AI21" t="str">
            <v xml:space="preserve">         Затверджую</v>
          </cell>
          <cell r="AJ21" t="str">
            <v>ЗАТВЕРДЖУЮ</v>
          </cell>
        </row>
        <row r="22">
          <cell r="AI22" t="str">
            <v xml:space="preserve"> Голова правління </v>
          </cell>
          <cell r="AJ22" t="str">
            <v xml:space="preserve">                   ПЛАЧКОВ І.В.</v>
          </cell>
        </row>
        <row r="23">
          <cell r="AF23" t="str">
            <v>ЗАТВЕРДЖУЮ</v>
          </cell>
        </row>
        <row r="24">
          <cell r="AF24" t="str">
            <v>ГОЛОВА ПРАЛІННЯ  КЕ</v>
          </cell>
          <cell r="AI24" t="str">
            <v xml:space="preserve">                        І.В.Плачков</v>
          </cell>
        </row>
        <row r="25">
          <cell r="F25" t="e">
            <v>#REF!</v>
          </cell>
          <cell r="AI25" t="str">
            <v xml:space="preserve">   "_____" ________2000 р.</v>
          </cell>
        </row>
        <row r="27">
          <cell r="AF27" t="str">
            <v xml:space="preserve">                   ПЛАЧКОВ І.В.</v>
          </cell>
          <cell r="AG27" t="str">
            <v>І.В.ПЛАЧКОВ</v>
          </cell>
        </row>
        <row r="28">
          <cell r="AJ28" t="str">
            <v xml:space="preserve">                      ПЛАЧКОВ І.В.</v>
          </cell>
        </row>
        <row r="31">
          <cell r="D31" t="str">
            <v>ВИК.ДИР.</v>
          </cell>
          <cell r="E31" t="str">
            <v>Е/Е</v>
          </cell>
          <cell r="F31" t="str">
            <v xml:space="preserve"> Т/Е</v>
          </cell>
          <cell r="L31" t="str">
            <v>КМ план</v>
          </cell>
          <cell r="M31" t="str">
            <v>ККМ звіт</v>
          </cell>
          <cell r="N31" t="str">
            <v>ТМ план</v>
          </cell>
          <cell r="O31" t="str">
            <v>ТМ звіт</v>
          </cell>
          <cell r="P31" t="str">
            <v>ВИРОБН</v>
          </cell>
          <cell r="Q31" t="str">
            <v>ПЕРЕД</v>
          </cell>
          <cell r="R31" t="str">
            <v>ТЕЦ-5 ВСЬОГО</v>
          </cell>
          <cell r="S31" t="str">
            <v>звіт</v>
          </cell>
          <cell r="T31" t="str">
            <v>Е/Е</v>
          </cell>
          <cell r="U31" t="str">
            <v xml:space="preserve"> Т/Е</v>
          </cell>
          <cell r="V31" t="str">
            <v>ТЕЦ-6 ВСЬОГО</v>
          </cell>
          <cell r="W31" t="str">
            <v>звіт</v>
          </cell>
          <cell r="X31" t="str">
            <v>Е/Е</v>
          </cell>
          <cell r="Y31" t="str">
            <v xml:space="preserve"> Т/Е</v>
          </cell>
          <cell r="Z31" t="str">
            <v>ТРМ ВСЬОГО</v>
          </cell>
          <cell r="AA31" t="str">
            <v>ТРМ  АК КЕ</v>
          </cell>
          <cell r="AB31" t="str">
            <v>ТРМ СТОР</v>
          </cell>
          <cell r="AC31" t="str">
            <v>ТРМ ВСЬОГО</v>
          </cell>
          <cell r="AD31" t="str">
            <v>ТРМ  АК КЕ</v>
          </cell>
          <cell r="AE31" t="str">
            <v>ТРМ СТОР</v>
          </cell>
          <cell r="AF31" t="str">
            <v xml:space="preserve">ДОП.ВИР. </v>
          </cell>
          <cell r="AG31" t="str">
            <v>РЕЗЕРВ</v>
          </cell>
          <cell r="AH31" t="str">
            <v>Е/Е</v>
          </cell>
          <cell r="AI31" t="str">
            <v xml:space="preserve"> Т/Е</v>
          </cell>
          <cell r="AJ31" t="str">
            <v>АК КЕ ВСЬОГО</v>
          </cell>
          <cell r="AK31" t="str">
            <v>Е/Е</v>
          </cell>
          <cell r="AL31" t="str">
            <v xml:space="preserve"> Т/Е</v>
          </cell>
          <cell r="AM31" t="str">
            <v>АК КЕ ВСЬОГО звіт</v>
          </cell>
          <cell r="AN31" t="str">
            <v>СТАНЦІї ЕЛЕКТРО</v>
          </cell>
          <cell r="AO31" t="str">
            <v>СТАНЦІІ ТЕПЛОВІ</v>
          </cell>
          <cell r="AP31" t="str">
            <v>МЕРЕЖІ ЕЛЕКТРО</v>
          </cell>
          <cell r="AQ31" t="str">
            <v>МЕРЕЖІ ТЕПЛОВІ</v>
          </cell>
        </row>
        <row r="32">
          <cell r="T32">
            <v>427</v>
          </cell>
          <cell r="X32">
            <v>353</v>
          </cell>
          <cell r="AK32">
            <v>780</v>
          </cell>
        </row>
        <row r="33">
          <cell r="F33" t="str">
            <v>ВИКОН.ДИР.</v>
          </cell>
          <cell r="P33" t="str">
            <v xml:space="preserve">КМ </v>
          </cell>
          <cell r="S33" t="str">
            <v xml:space="preserve">ТМ </v>
          </cell>
          <cell r="T33">
            <v>388.95</v>
          </cell>
          <cell r="U33" t="str">
            <v>ПЕРЕД</v>
          </cell>
          <cell r="X33">
            <v>323.55</v>
          </cell>
          <cell r="Y33" t="str">
            <v>Е/Е</v>
          </cell>
          <cell r="Z33" t="str">
            <v xml:space="preserve"> Т/Е</v>
          </cell>
          <cell r="AC33" t="str">
            <v>ТЕЦ-6 ВСЬОГО</v>
          </cell>
          <cell r="AD33" t="str">
            <v>Е/Е</v>
          </cell>
          <cell r="AE33" t="str">
            <v xml:space="preserve"> Т/Е</v>
          </cell>
          <cell r="AF33" t="str">
            <v>ТРМ ВСЬОГО</v>
          </cell>
          <cell r="AG33" t="str">
            <v>ТРМ  АК КЕ</v>
          </cell>
          <cell r="AH33" t="str">
            <v>ТРМ СТОР</v>
          </cell>
          <cell r="AI33" t="str">
            <v xml:space="preserve">ДОП.ВИР. </v>
          </cell>
          <cell r="AJ33" t="str">
            <v>ДОП.ВИР. СТ.ОРГ.</v>
          </cell>
          <cell r="AK33">
            <v>712.5</v>
          </cell>
          <cell r="AL33" t="str">
            <v xml:space="preserve"> Е/Е</v>
          </cell>
          <cell r="AM33" t="str">
            <v xml:space="preserve"> Т/Е</v>
          </cell>
          <cell r="AN33" t="str">
            <v>СТАНЦІї ЕЛЕКТРО</v>
          </cell>
          <cell r="AO33" t="str">
            <v>СТАНЦІІ ТЕПЛОВІ</v>
          </cell>
          <cell r="AP33" t="str">
            <v>МЕРЕЖІ ЕЛЕКТРО</v>
          </cell>
          <cell r="AQ33" t="str">
            <v>МЕРЕЖІ ТЕПЛОВІ</v>
          </cell>
        </row>
        <row r="34">
          <cell r="AK34">
            <v>712.5</v>
          </cell>
          <cell r="AL34">
            <v>605</v>
          </cell>
        </row>
        <row r="35">
          <cell r="AK35">
            <v>0</v>
          </cell>
          <cell r="AL35">
            <v>536.20000000000005</v>
          </cell>
        </row>
        <row r="36">
          <cell r="AK36">
            <v>160</v>
          </cell>
          <cell r="AL36">
            <v>0</v>
          </cell>
        </row>
        <row r="37">
          <cell r="AK37">
            <v>0</v>
          </cell>
        </row>
        <row r="38">
          <cell r="AK38">
            <v>619.1</v>
          </cell>
          <cell r="AL38">
            <v>0</v>
          </cell>
        </row>
        <row r="39">
          <cell r="L39">
            <v>0</v>
          </cell>
          <cell r="AK39">
            <v>459.1</v>
          </cell>
          <cell r="AL39">
            <v>0</v>
          </cell>
        </row>
        <row r="40">
          <cell r="N40">
            <v>850</v>
          </cell>
          <cell r="U40">
            <v>667</v>
          </cell>
          <cell r="Y40">
            <v>585</v>
          </cell>
          <cell r="AL40">
            <v>2102</v>
          </cell>
        </row>
        <row r="41">
          <cell r="P41">
            <v>0</v>
          </cell>
          <cell r="AL41">
            <v>0</v>
          </cell>
        </row>
        <row r="42">
          <cell r="D42">
            <v>2558.727272727273</v>
          </cell>
          <cell r="L42">
            <v>2094.727272727273</v>
          </cell>
          <cell r="N42">
            <v>8290.4545454545441</v>
          </cell>
          <cell r="P42">
            <v>20817.202727272728</v>
          </cell>
          <cell r="Q42">
            <v>3051.2518181818186</v>
          </cell>
          <cell r="R42">
            <v>2382.9090909090883</v>
          </cell>
          <cell r="V42">
            <v>1332.6363636363603</v>
          </cell>
          <cell r="W42">
            <v>1700</v>
          </cell>
          <cell r="Z42">
            <v>3118.212121212121</v>
          </cell>
          <cell r="AA42">
            <v>2527.5454545454545</v>
          </cell>
          <cell r="AB42">
            <v>590.66666666666674</v>
          </cell>
          <cell r="AC42" t="e">
            <v>#VALUE!</v>
          </cell>
          <cell r="AD42">
            <v>2792</v>
          </cell>
          <cell r="AE42">
            <v>846</v>
          </cell>
          <cell r="AL42">
            <v>1892</v>
          </cell>
          <cell r="AM42">
            <v>1840</v>
          </cell>
        </row>
        <row r="43">
          <cell r="AM43">
            <v>0</v>
          </cell>
        </row>
        <row r="44">
          <cell r="D44">
            <v>488</v>
          </cell>
          <cell r="E44">
            <v>180</v>
          </cell>
          <cell r="F44">
            <v>308</v>
          </cell>
          <cell r="L44">
            <v>388</v>
          </cell>
          <cell r="M44">
            <v>352</v>
          </cell>
          <cell r="N44">
            <v>499</v>
          </cell>
          <cell r="O44">
            <v>583</v>
          </cell>
          <cell r="P44">
            <v>249.5</v>
          </cell>
          <cell r="Q44">
            <v>249.5</v>
          </cell>
          <cell r="R44">
            <v>157</v>
          </cell>
          <cell r="S44">
            <v>93</v>
          </cell>
          <cell r="T44">
            <v>67</v>
          </cell>
          <cell r="U44">
            <v>90</v>
          </cell>
          <cell r="V44">
            <v>267</v>
          </cell>
          <cell r="W44">
            <v>109</v>
          </cell>
          <cell r="X44">
            <v>109</v>
          </cell>
          <cell r="Y44">
            <v>158</v>
          </cell>
          <cell r="Z44">
            <v>226.33333333333334</v>
          </cell>
          <cell r="AA44">
            <v>155</v>
          </cell>
          <cell r="AB44">
            <v>71.333333333333343</v>
          </cell>
          <cell r="AC44">
            <v>302</v>
          </cell>
          <cell r="AD44">
            <v>229</v>
          </cell>
          <cell r="AE44">
            <v>73</v>
          </cell>
          <cell r="AG44">
            <v>0</v>
          </cell>
          <cell r="AH44">
            <v>0</v>
          </cell>
          <cell r="AI44">
            <v>0</v>
          </cell>
          <cell r="AJ44">
            <v>2049</v>
          </cell>
          <cell r="AK44">
            <v>771.6</v>
          </cell>
          <cell r="AL44">
            <v>1277.4000000000001</v>
          </cell>
          <cell r="AM44">
            <v>1904</v>
          </cell>
          <cell r="AN44">
            <v>176</v>
          </cell>
          <cell r="AO44">
            <v>418</v>
          </cell>
          <cell r="AP44">
            <v>595.6</v>
          </cell>
          <cell r="AQ44">
            <v>859.40000000000009</v>
          </cell>
        </row>
        <row r="45">
          <cell r="D45">
            <v>67.833333333333343</v>
          </cell>
          <cell r="E45">
            <v>20</v>
          </cell>
          <cell r="F45">
            <v>47.833333333333343</v>
          </cell>
          <cell r="L45">
            <v>336.7</v>
          </cell>
          <cell r="N45">
            <v>400.83333333333331</v>
          </cell>
          <cell r="P45">
            <v>2175</v>
          </cell>
          <cell r="R45">
            <v>55.666666666666664</v>
          </cell>
          <cell r="S45">
            <v>7897</v>
          </cell>
          <cell r="T45">
            <v>24</v>
          </cell>
          <cell r="U45">
            <v>31.666666666666664</v>
          </cell>
          <cell r="V45">
            <v>45.633333333333333</v>
          </cell>
          <cell r="X45">
            <v>19</v>
          </cell>
          <cell r="Y45">
            <v>26.633333333333333</v>
          </cell>
          <cell r="Z45">
            <v>187.79999999999998</v>
          </cell>
          <cell r="AA45">
            <v>125.2</v>
          </cell>
          <cell r="AB45">
            <v>62.59999999999998</v>
          </cell>
          <cell r="AC45">
            <v>1464</v>
          </cell>
          <cell r="AF45">
            <v>4071.2424242424245</v>
          </cell>
          <cell r="AG45">
            <v>3280.4969696969697</v>
          </cell>
          <cell r="AH45">
            <v>790.74545454545455</v>
          </cell>
          <cell r="AJ45">
            <v>1085.8666666666666</v>
          </cell>
          <cell r="AK45">
            <v>407.7</v>
          </cell>
          <cell r="AL45">
            <v>678.16666666666652</v>
          </cell>
          <cell r="AM45">
            <v>0</v>
          </cell>
        </row>
        <row r="46">
          <cell r="D46">
            <v>0</v>
          </cell>
          <cell r="E46">
            <v>0</v>
          </cell>
          <cell r="F46">
            <v>0</v>
          </cell>
          <cell r="L46">
            <v>0</v>
          </cell>
          <cell r="R46">
            <v>56.666666666666664</v>
          </cell>
          <cell r="T46">
            <v>24</v>
          </cell>
          <cell r="U46">
            <v>32.666666666666664</v>
          </cell>
          <cell r="V46">
            <v>160</v>
          </cell>
          <cell r="X46">
            <v>65</v>
          </cell>
          <cell r="Y46">
            <v>95</v>
          </cell>
          <cell r="AB46">
            <v>0</v>
          </cell>
          <cell r="AJ46">
            <v>216.66666666666666</v>
          </cell>
          <cell r="AK46">
            <v>89</v>
          </cell>
          <cell r="AL46">
            <v>127.66666666666666</v>
          </cell>
          <cell r="AM46">
            <v>0</v>
          </cell>
        </row>
        <row r="47">
          <cell r="D47">
            <v>343.60666666666663</v>
          </cell>
          <cell r="E47">
            <v>103</v>
          </cell>
          <cell r="F47">
            <v>240.60666666666663</v>
          </cell>
          <cell r="L47">
            <v>9.6199999999999992</v>
          </cell>
          <cell r="N47">
            <v>33.333333333333336</v>
          </cell>
          <cell r="P47">
            <v>353</v>
          </cell>
          <cell r="R47">
            <v>32.666666666666664</v>
          </cell>
          <cell r="S47">
            <v>486</v>
          </cell>
          <cell r="T47">
            <v>15</v>
          </cell>
          <cell r="U47">
            <v>17.666666666666664</v>
          </cell>
          <cell r="V47">
            <v>32.56</v>
          </cell>
          <cell r="X47">
            <v>13</v>
          </cell>
          <cell r="Y47">
            <v>19.560000000000002</v>
          </cell>
          <cell r="Z47">
            <v>17.266666666666666</v>
          </cell>
          <cell r="AA47">
            <v>17.266666666666666</v>
          </cell>
          <cell r="AB47">
            <v>0</v>
          </cell>
          <cell r="AC47">
            <v>299</v>
          </cell>
          <cell r="AD47">
            <v>114</v>
          </cell>
          <cell r="AE47">
            <v>185</v>
          </cell>
          <cell r="AF47">
            <v>226.33333333333334</v>
          </cell>
          <cell r="AG47">
            <v>155</v>
          </cell>
          <cell r="AH47">
            <v>71.333333333333343</v>
          </cell>
          <cell r="AJ47">
            <v>469.05333333333328</v>
          </cell>
          <cell r="AK47">
            <v>140.62</v>
          </cell>
          <cell r="AL47">
            <v>328.43333333333328</v>
          </cell>
          <cell r="AM47">
            <v>0</v>
          </cell>
          <cell r="AN47">
            <v>167</v>
          </cell>
          <cell r="AO47">
            <v>420</v>
          </cell>
          <cell r="AP47">
            <v>611.6</v>
          </cell>
          <cell r="AQ47">
            <v>800.06666666666661</v>
          </cell>
        </row>
        <row r="48">
          <cell r="D48">
            <v>1</v>
          </cell>
          <cell r="E48">
            <v>0</v>
          </cell>
          <cell r="F48">
            <v>1</v>
          </cell>
          <cell r="L48">
            <v>35</v>
          </cell>
          <cell r="M48">
            <v>48</v>
          </cell>
          <cell r="N48">
            <v>424</v>
          </cell>
          <cell r="O48">
            <v>524</v>
          </cell>
          <cell r="P48">
            <v>330.72</v>
          </cell>
          <cell r="Q48">
            <v>93.279999999999973</v>
          </cell>
          <cell r="R48">
            <v>926</v>
          </cell>
          <cell r="S48">
            <v>927</v>
          </cell>
          <cell r="T48">
            <v>396</v>
          </cell>
          <cell r="U48">
            <v>530</v>
          </cell>
          <cell r="V48">
            <v>67</v>
          </cell>
          <cell r="W48">
            <v>62</v>
          </cell>
          <cell r="X48">
            <v>27</v>
          </cell>
          <cell r="Y48">
            <v>40</v>
          </cell>
          <cell r="Z48">
            <v>162.33333333333334</v>
          </cell>
          <cell r="AA48">
            <v>112</v>
          </cell>
          <cell r="AB48">
            <v>50.333333333333343</v>
          </cell>
          <cell r="AC48">
            <v>101</v>
          </cell>
          <cell r="AD48">
            <v>71</v>
          </cell>
          <cell r="AE48">
            <v>30</v>
          </cell>
          <cell r="AF48">
            <v>206.95333333333335</v>
          </cell>
          <cell r="AG48">
            <v>0</v>
          </cell>
          <cell r="AH48">
            <v>0</v>
          </cell>
          <cell r="AI48">
            <v>0</v>
          </cell>
          <cell r="AJ48">
            <v>1566</v>
          </cell>
          <cell r="AK48">
            <v>460</v>
          </cell>
          <cell r="AL48">
            <v>1106</v>
          </cell>
          <cell r="AM48">
            <v>1650</v>
          </cell>
          <cell r="AN48">
            <v>423</v>
          </cell>
          <cell r="AO48">
            <v>714</v>
          </cell>
          <cell r="AP48">
            <v>37</v>
          </cell>
          <cell r="AQ48">
            <v>392</v>
          </cell>
        </row>
        <row r="49">
          <cell r="D49">
            <v>0</v>
          </cell>
          <cell r="E49">
            <v>0</v>
          </cell>
          <cell r="F49">
            <v>0</v>
          </cell>
          <cell r="N49">
            <v>22</v>
          </cell>
          <cell r="O49">
            <v>20</v>
          </cell>
          <cell r="P49">
            <v>22</v>
          </cell>
          <cell r="Q49">
            <v>0</v>
          </cell>
          <cell r="R49">
            <v>839</v>
          </cell>
          <cell r="S49">
            <v>838</v>
          </cell>
          <cell r="T49">
            <v>359</v>
          </cell>
          <cell r="U49">
            <v>480</v>
          </cell>
          <cell r="V49">
            <v>14</v>
          </cell>
          <cell r="W49">
            <v>7</v>
          </cell>
          <cell r="X49">
            <v>6</v>
          </cell>
          <cell r="Y49">
            <v>8</v>
          </cell>
          <cell r="Z49">
            <v>0</v>
          </cell>
          <cell r="AA49">
            <v>0</v>
          </cell>
          <cell r="AB49">
            <v>0</v>
          </cell>
          <cell r="AC49">
            <v>0</v>
          </cell>
          <cell r="AD49">
            <v>74</v>
          </cell>
          <cell r="AE49">
            <v>121</v>
          </cell>
          <cell r="AH49">
            <v>0</v>
          </cell>
          <cell r="AJ49">
            <v>875</v>
          </cell>
          <cell r="AK49">
            <v>365</v>
          </cell>
          <cell r="AL49">
            <v>510</v>
          </cell>
          <cell r="AM49">
            <v>865</v>
          </cell>
          <cell r="AN49">
            <v>365</v>
          </cell>
          <cell r="AO49">
            <v>495</v>
          </cell>
          <cell r="AP49">
            <v>0</v>
          </cell>
          <cell r="AQ49">
            <v>15</v>
          </cell>
        </row>
        <row r="50">
          <cell r="D50">
            <v>0</v>
          </cell>
          <cell r="E50">
            <v>0</v>
          </cell>
          <cell r="F50">
            <v>0</v>
          </cell>
          <cell r="L50">
            <v>0</v>
          </cell>
          <cell r="N50">
            <v>15905</v>
          </cell>
          <cell r="O50">
            <v>21044</v>
          </cell>
          <cell r="P50">
            <v>15905</v>
          </cell>
          <cell r="Q50">
            <v>0</v>
          </cell>
          <cell r="R50">
            <v>42454</v>
          </cell>
          <cell r="S50">
            <v>31171</v>
          </cell>
          <cell r="T50">
            <v>27692</v>
          </cell>
          <cell r="U50">
            <v>14762</v>
          </cell>
          <cell r="V50">
            <v>33739</v>
          </cell>
          <cell r="W50">
            <v>25487</v>
          </cell>
          <cell r="X50">
            <v>21106</v>
          </cell>
          <cell r="Y50">
            <v>12633</v>
          </cell>
          <cell r="Z50">
            <v>0</v>
          </cell>
          <cell r="AA50">
            <v>0</v>
          </cell>
          <cell r="AB50">
            <v>0</v>
          </cell>
          <cell r="AC50">
            <v>0</v>
          </cell>
          <cell r="AD50">
            <v>11</v>
          </cell>
          <cell r="AE50">
            <v>18</v>
          </cell>
          <cell r="AF50">
            <v>17.266666666666666</v>
          </cell>
          <cell r="AG50">
            <v>11.824742268041236</v>
          </cell>
          <cell r="AH50">
            <v>5.4419243986254298</v>
          </cell>
          <cell r="AJ50">
            <v>92098</v>
          </cell>
          <cell r="AK50">
            <v>48798</v>
          </cell>
          <cell r="AL50">
            <v>43300</v>
          </cell>
          <cell r="AM50">
            <v>77702</v>
          </cell>
          <cell r="AN50">
            <v>48798</v>
          </cell>
          <cell r="AO50">
            <v>43300</v>
          </cell>
          <cell r="AP50">
            <v>0</v>
          </cell>
          <cell r="AQ50">
            <v>0</v>
          </cell>
        </row>
        <row r="51">
          <cell r="D51">
            <v>0</v>
          </cell>
          <cell r="E51">
            <v>0</v>
          </cell>
          <cell r="F51">
            <v>0</v>
          </cell>
          <cell r="L51">
            <v>0</v>
          </cell>
          <cell r="N51">
            <v>15905</v>
          </cell>
          <cell r="O51">
            <v>21044</v>
          </cell>
          <cell r="P51">
            <v>15905</v>
          </cell>
          <cell r="Q51">
            <v>0</v>
          </cell>
          <cell r="R51">
            <v>42454</v>
          </cell>
          <cell r="S51">
            <v>31171</v>
          </cell>
          <cell r="T51">
            <v>27692</v>
          </cell>
          <cell r="U51">
            <v>14762</v>
          </cell>
          <cell r="V51">
            <v>33739</v>
          </cell>
          <cell r="W51">
            <v>25487</v>
          </cell>
          <cell r="X51">
            <v>21106</v>
          </cell>
          <cell r="Y51">
            <v>12633</v>
          </cell>
          <cell r="Z51">
            <v>0</v>
          </cell>
          <cell r="AA51">
            <v>0</v>
          </cell>
          <cell r="AB51">
            <v>0</v>
          </cell>
          <cell r="AC51">
            <v>0</v>
          </cell>
          <cell r="AD51">
            <v>26</v>
          </cell>
          <cell r="AE51">
            <v>41</v>
          </cell>
          <cell r="AF51">
            <v>0</v>
          </cell>
          <cell r="AG51">
            <v>111.66666666666667</v>
          </cell>
          <cell r="AH51">
            <v>50.666666666666671</v>
          </cell>
          <cell r="AJ51">
            <v>92098</v>
          </cell>
          <cell r="AK51">
            <v>48798</v>
          </cell>
          <cell r="AL51">
            <v>43300</v>
          </cell>
          <cell r="AM51">
            <v>77702</v>
          </cell>
          <cell r="AN51">
            <v>48798</v>
          </cell>
          <cell r="AO51">
            <v>43300</v>
          </cell>
          <cell r="AP51">
            <v>0</v>
          </cell>
          <cell r="AQ51">
            <v>0</v>
          </cell>
        </row>
        <row r="52">
          <cell r="D52">
            <v>0</v>
          </cell>
          <cell r="E52">
            <v>0</v>
          </cell>
          <cell r="F52">
            <v>0</v>
          </cell>
          <cell r="P52">
            <v>0</v>
          </cell>
          <cell r="Q52">
            <v>0</v>
          </cell>
          <cell r="R52">
            <v>0</v>
          </cell>
          <cell r="S52">
            <v>22</v>
          </cell>
          <cell r="T52">
            <v>0</v>
          </cell>
          <cell r="U52">
            <v>0</v>
          </cell>
          <cell r="V52">
            <v>0</v>
          </cell>
          <cell r="X52">
            <v>0</v>
          </cell>
          <cell r="Y52">
            <v>0</v>
          </cell>
          <cell r="Z52">
            <v>0</v>
          </cell>
          <cell r="AA52">
            <v>0</v>
          </cell>
          <cell r="AB52">
            <v>0</v>
          </cell>
          <cell r="AC52">
            <v>0</v>
          </cell>
          <cell r="AD52">
            <v>5</v>
          </cell>
          <cell r="AE52">
            <v>8</v>
          </cell>
          <cell r="AH52">
            <v>0</v>
          </cell>
          <cell r="AJ52">
            <v>0</v>
          </cell>
          <cell r="AK52">
            <v>0</v>
          </cell>
          <cell r="AL52">
            <v>0</v>
          </cell>
          <cell r="AM52">
            <v>0</v>
          </cell>
          <cell r="AN52">
            <v>348</v>
          </cell>
          <cell r="AO52">
            <v>0</v>
          </cell>
          <cell r="AP52">
            <v>0</v>
          </cell>
          <cell r="AQ52">
            <v>15</v>
          </cell>
        </row>
        <row r="53">
          <cell r="D53">
            <v>7</v>
          </cell>
          <cell r="E53">
            <v>2</v>
          </cell>
          <cell r="F53">
            <v>5</v>
          </cell>
          <cell r="L53">
            <v>59</v>
          </cell>
          <cell r="M53">
            <v>46</v>
          </cell>
          <cell r="N53">
            <v>3197</v>
          </cell>
          <cell r="O53">
            <v>3166</v>
          </cell>
          <cell r="P53">
            <v>3197</v>
          </cell>
          <cell r="Q53">
            <v>0</v>
          </cell>
          <cell r="R53">
            <v>0</v>
          </cell>
          <cell r="S53">
            <v>19250</v>
          </cell>
          <cell r="T53">
            <v>0</v>
          </cell>
          <cell r="U53">
            <v>0</v>
          </cell>
          <cell r="V53">
            <v>0</v>
          </cell>
          <cell r="X53">
            <v>0</v>
          </cell>
          <cell r="Y53">
            <v>0</v>
          </cell>
          <cell r="Z53">
            <v>890</v>
          </cell>
          <cell r="AA53">
            <v>442</v>
          </cell>
          <cell r="AB53">
            <v>448</v>
          </cell>
          <cell r="AC53">
            <v>612</v>
          </cell>
          <cell r="AD53">
            <v>199</v>
          </cell>
          <cell r="AE53">
            <v>413</v>
          </cell>
          <cell r="AH53">
            <v>0</v>
          </cell>
          <cell r="AJ53">
            <v>3705</v>
          </cell>
          <cell r="AK53">
            <v>61</v>
          </cell>
          <cell r="AL53">
            <v>3644</v>
          </cell>
          <cell r="AM53">
            <v>3420</v>
          </cell>
          <cell r="AN53">
            <v>0</v>
          </cell>
          <cell r="AO53">
            <v>1087</v>
          </cell>
          <cell r="AP53">
            <v>61</v>
          </cell>
          <cell r="AQ53">
            <v>2557</v>
          </cell>
        </row>
        <row r="54">
          <cell r="D54">
            <v>260.72727272727275</v>
          </cell>
          <cell r="E54">
            <v>78</v>
          </cell>
          <cell r="F54">
            <v>182.72727272727275</v>
          </cell>
          <cell r="L54">
            <v>475.72727272727275</v>
          </cell>
          <cell r="M54">
            <v>444</v>
          </cell>
          <cell r="N54">
            <v>890.4545454545455</v>
          </cell>
          <cell r="O54">
            <v>772</v>
          </cell>
          <cell r="P54">
            <v>436.32272727272726</v>
          </cell>
          <cell r="Q54">
            <v>454.13181818181823</v>
          </cell>
          <cell r="R54">
            <v>282.90909090909093</v>
          </cell>
          <cell r="S54">
            <v>253</v>
          </cell>
          <cell r="T54">
            <v>121</v>
          </cell>
          <cell r="U54">
            <v>161.90909090909093</v>
          </cell>
          <cell r="V54">
            <v>248.63636363636363</v>
          </cell>
          <cell r="W54">
            <v>218</v>
          </cell>
          <cell r="X54">
            <v>101</v>
          </cell>
          <cell r="Y54">
            <v>147.63636363636363</v>
          </cell>
          <cell r="Z54">
            <v>958.5454545454545</v>
          </cell>
          <cell r="AA54">
            <v>958.5454545454545</v>
          </cell>
          <cell r="AB54">
            <v>0</v>
          </cell>
          <cell r="AC54">
            <v>870</v>
          </cell>
          <cell r="AD54">
            <v>870</v>
          </cell>
          <cell r="AE54">
            <v>13842.727272727279</v>
          </cell>
          <cell r="AG54">
            <v>0</v>
          </cell>
          <cell r="AH54">
            <v>0</v>
          </cell>
          <cell r="AI54">
            <v>0</v>
          </cell>
          <cell r="AJ54">
            <v>3056.909090909091</v>
          </cell>
          <cell r="AK54">
            <v>867.81818181818187</v>
          </cell>
          <cell r="AL54">
            <v>2189.090909090909</v>
          </cell>
          <cell r="AM54">
            <v>3034</v>
          </cell>
          <cell r="AN54">
            <v>222</v>
          </cell>
          <cell r="AO54">
            <v>612</v>
          </cell>
          <cell r="AP54">
            <v>645.81818181818187</v>
          </cell>
          <cell r="AQ54">
            <v>1577.090909090909</v>
          </cell>
        </row>
        <row r="55">
          <cell r="D55">
            <v>14</v>
          </cell>
          <cell r="E55">
            <v>4</v>
          </cell>
          <cell r="F55">
            <v>10</v>
          </cell>
          <cell r="L55">
            <v>26</v>
          </cell>
          <cell r="M55">
            <v>23</v>
          </cell>
          <cell r="N55">
            <v>49</v>
          </cell>
          <cell r="O55">
            <v>43</v>
          </cell>
          <cell r="P55">
            <v>24</v>
          </cell>
          <cell r="Q55">
            <v>25</v>
          </cell>
          <cell r="R55">
            <v>16</v>
          </cell>
          <cell r="S55">
            <v>14</v>
          </cell>
          <cell r="T55">
            <v>7</v>
          </cell>
          <cell r="U55">
            <v>9</v>
          </cell>
          <cell r="V55">
            <v>14</v>
          </cell>
          <cell r="W55">
            <v>12</v>
          </cell>
          <cell r="X55">
            <v>6</v>
          </cell>
          <cell r="Y55">
            <v>8</v>
          </cell>
          <cell r="Z55">
            <v>53</v>
          </cell>
          <cell r="AA55">
            <v>53</v>
          </cell>
          <cell r="AB55">
            <v>0</v>
          </cell>
          <cell r="AC55">
            <v>48</v>
          </cell>
          <cell r="AD55">
            <v>48</v>
          </cell>
          <cell r="AF55">
            <v>0</v>
          </cell>
          <cell r="AG55">
            <v>0</v>
          </cell>
          <cell r="AH55">
            <v>0</v>
          </cell>
          <cell r="AJ55">
            <v>167</v>
          </cell>
          <cell r="AK55">
            <v>47</v>
          </cell>
          <cell r="AL55">
            <v>120</v>
          </cell>
          <cell r="AM55">
            <v>166</v>
          </cell>
          <cell r="AN55">
            <v>13</v>
          </cell>
          <cell r="AO55">
            <v>26</v>
          </cell>
          <cell r="AP55">
            <v>34</v>
          </cell>
          <cell r="AQ55">
            <v>94</v>
          </cell>
        </row>
        <row r="56">
          <cell r="D56">
            <v>83</v>
          </cell>
          <cell r="E56">
            <v>44</v>
          </cell>
          <cell r="F56">
            <v>39</v>
          </cell>
          <cell r="L56">
            <v>152</v>
          </cell>
          <cell r="M56">
            <v>138</v>
          </cell>
          <cell r="N56">
            <v>285</v>
          </cell>
          <cell r="O56">
            <v>118</v>
          </cell>
          <cell r="P56">
            <v>140</v>
          </cell>
          <cell r="Q56">
            <v>145</v>
          </cell>
          <cell r="R56">
            <v>91</v>
          </cell>
          <cell r="S56">
            <v>79</v>
          </cell>
          <cell r="T56">
            <v>39</v>
          </cell>
          <cell r="U56">
            <v>52</v>
          </cell>
          <cell r="V56">
            <v>80</v>
          </cell>
          <cell r="W56">
            <v>68</v>
          </cell>
          <cell r="X56">
            <v>33</v>
          </cell>
          <cell r="Y56">
            <v>47</v>
          </cell>
          <cell r="Z56">
            <v>307</v>
          </cell>
          <cell r="AA56">
            <v>307</v>
          </cell>
          <cell r="AB56">
            <v>0</v>
          </cell>
          <cell r="AC56">
            <v>278</v>
          </cell>
          <cell r="AD56">
            <v>278</v>
          </cell>
          <cell r="AE56">
            <v>0</v>
          </cell>
          <cell r="AF56">
            <v>0</v>
          </cell>
          <cell r="AG56">
            <v>0</v>
          </cell>
          <cell r="AH56">
            <v>448</v>
          </cell>
          <cell r="AJ56">
            <v>978</v>
          </cell>
          <cell r="AK56">
            <v>290</v>
          </cell>
          <cell r="AL56">
            <v>688</v>
          </cell>
          <cell r="AM56">
            <v>832</v>
          </cell>
          <cell r="AN56">
            <v>0</v>
          </cell>
          <cell r="AO56">
            <v>0</v>
          </cell>
          <cell r="AP56">
            <v>0</v>
          </cell>
          <cell r="AQ56">
            <v>0</v>
          </cell>
        </row>
        <row r="57">
          <cell r="D57">
            <v>0</v>
          </cell>
          <cell r="E57">
            <v>0</v>
          </cell>
          <cell r="F57">
            <v>0</v>
          </cell>
          <cell r="L57">
            <v>0</v>
          </cell>
          <cell r="N57">
            <v>0</v>
          </cell>
          <cell r="P57">
            <v>0</v>
          </cell>
          <cell r="Q57">
            <v>0</v>
          </cell>
          <cell r="R57">
            <v>0</v>
          </cell>
          <cell r="S57">
            <v>816</v>
          </cell>
          <cell r="T57">
            <v>0</v>
          </cell>
          <cell r="U57">
            <v>0</v>
          </cell>
          <cell r="V57">
            <v>0</v>
          </cell>
          <cell r="X57">
            <v>0</v>
          </cell>
          <cell r="Y57">
            <v>0</v>
          </cell>
          <cell r="Z57">
            <v>0</v>
          </cell>
          <cell r="AA57">
            <v>0</v>
          </cell>
          <cell r="AB57">
            <v>0</v>
          </cell>
          <cell r="AC57">
            <v>0</v>
          </cell>
          <cell r="AD57">
            <v>80</v>
          </cell>
          <cell r="AE57">
            <v>130</v>
          </cell>
          <cell r="AF57">
            <v>960.90909090909088</v>
          </cell>
          <cell r="AG57">
            <v>0</v>
          </cell>
          <cell r="AH57">
            <v>153.74545454545455</v>
          </cell>
          <cell r="AJ57">
            <v>0</v>
          </cell>
          <cell r="AK57">
            <v>0</v>
          </cell>
          <cell r="AL57">
            <v>0</v>
          </cell>
          <cell r="AM57">
            <v>0</v>
          </cell>
          <cell r="AN57">
            <v>0</v>
          </cell>
          <cell r="AO57">
            <v>0</v>
          </cell>
          <cell r="AP57">
            <v>0</v>
          </cell>
          <cell r="AQ57">
            <v>0</v>
          </cell>
        </row>
        <row r="58">
          <cell r="D58">
            <v>87</v>
          </cell>
          <cell r="E58">
            <v>26</v>
          </cell>
          <cell r="F58">
            <v>61</v>
          </cell>
          <cell r="L58">
            <v>586</v>
          </cell>
          <cell r="M58">
            <v>598</v>
          </cell>
          <cell r="N58">
            <v>1427</v>
          </cell>
          <cell r="O58">
            <v>1295</v>
          </cell>
          <cell r="P58">
            <v>228.32</v>
          </cell>
          <cell r="Q58">
            <v>1198.68</v>
          </cell>
          <cell r="R58">
            <v>662</v>
          </cell>
          <cell r="S58">
            <v>688</v>
          </cell>
          <cell r="T58">
            <v>283</v>
          </cell>
          <cell r="U58">
            <v>379</v>
          </cell>
          <cell r="V58">
            <v>733</v>
          </cell>
          <cell r="W58">
            <v>736</v>
          </cell>
          <cell r="X58">
            <v>298</v>
          </cell>
          <cell r="Y58">
            <v>435</v>
          </cell>
          <cell r="Z58">
            <v>586.33333333333337</v>
          </cell>
          <cell r="AA58">
            <v>506</v>
          </cell>
          <cell r="AB58">
            <v>80.333333333333371</v>
          </cell>
          <cell r="AC58">
            <v>574</v>
          </cell>
          <cell r="AD58">
            <v>494</v>
          </cell>
          <cell r="AE58">
            <v>80</v>
          </cell>
          <cell r="AF58">
            <v>53</v>
          </cell>
          <cell r="AG58">
            <v>0</v>
          </cell>
          <cell r="AH58">
            <v>9</v>
          </cell>
          <cell r="AJ58">
            <v>4012</v>
          </cell>
          <cell r="AK58">
            <v>1203</v>
          </cell>
          <cell r="AL58">
            <v>2809</v>
          </cell>
          <cell r="AM58">
            <v>3918</v>
          </cell>
          <cell r="AN58">
            <v>581</v>
          </cell>
          <cell r="AO58">
            <v>1299</v>
          </cell>
          <cell r="AP58">
            <v>622</v>
          </cell>
          <cell r="AQ58">
            <v>1510</v>
          </cell>
        </row>
        <row r="59">
          <cell r="D59">
            <v>0</v>
          </cell>
          <cell r="F59">
            <v>92</v>
          </cell>
          <cell r="L59">
            <v>0</v>
          </cell>
          <cell r="N59">
            <v>0</v>
          </cell>
          <cell r="P59">
            <v>144</v>
          </cell>
          <cell r="R59">
            <v>0</v>
          </cell>
          <cell r="S59">
            <v>261</v>
          </cell>
          <cell r="T59">
            <v>128</v>
          </cell>
          <cell r="U59">
            <v>133</v>
          </cell>
          <cell r="V59">
            <v>0</v>
          </cell>
          <cell r="X59">
            <v>76</v>
          </cell>
          <cell r="Y59">
            <v>33</v>
          </cell>
          <cell r="Z59">
            <v>0</v>
          </cell>
          <cell r="AA59">
            <v>0</v>
          </cell>
          <cell r="AB59">
            <v>0</v>
          </cell>
          <cell r="AC59">
            <v>0</v>
          </cell>
          <cell r="AD59">
            <v>26</v>
          </cell>
          <cell r="AE59">
            <v>41</v>
          </cell>
          <cell r="AF59">
            <v>307</v>
          </cell>
          <cell r="AG59">
            <v>258</v>
          </cell>
          <cell r="AH59">
            <v>49</v>
          </cell>
          <cell r="AI59">
            <v>0</v>
          </cell>
          <cell r="AK59">
            <v>970</v>
          </cell>
          <cell r="AL59">
            <v>293</v>
          </cell>
          <cell r="AM59">
            <v>0</v>
          </cell>
          <cell r="AN59">
            <v>0</v>
          </cell>
          <cell r="AO59">
            <v>0</v>
          </cell>
          <cell r="AP59">
            <v>0</v>
          </cell>
          <cell r="AQ59">
            <v>0</v>
          </cell>
        </row>
        <row r="60">
          <cell r="D60">
            <v>87</v>
          </cell>
          <cell r="E60">
            <v>26</v>
          </cell>
          <cell r="F60">
            <v>61</v>
          </cell>
          <cell r="L60">
            <v>432</v>
          </cell>
          <cell r="N60">
            <v>1663</v>
          </cell>
          <cell r="P60">
            <v>266.08</v>
          </cell>
          <cell r="Q60">
            <v>1396.92</v>
          </cell>
          <cell r="R60">
            <v>123</v>
          </cell>
          <cell r="T60">
            <v>53</v>
          </cell>
          <cell r="U60">
            <v>70</v>
          </cell>
          <cell r="V60">
            <v>99</v>
          </cell>
          <cell r="X60">
            <v>40</v>
          </cell>
          <cell r="Y60">
            <v>59</v>
          </cell>
          <cell r="Z60">
            <v>74</v>
          </cell>
          <cell r="AA60">
            <v>74</v>
          </cell>
          <cell r="AB60">
            <v>0</v>
          </cell>
          <cell r="AC60">
            <v>0</v>
          </cell>
          <cell r="AG60">
            <v>0</v>
          </cell>
          <cell r="AH60">
            <v>0</v>
          </cell>
          <cell r="AJ60">
            <v>2489</v>
          </cell>
          <cell r="AK60">
            <v>551</v>
          </cell>
          <cell r="AL60">
            <v>1938</v>
          </cell>
          <cell r="AM60">
            <v>0</v>
          </cell>
          <cell r="AO60">
            <v>586</v>
          </cell>
        </row>
        <row r="61">
          <cell r="D61">
            <v>0</v>
          </cell>
          <cell r="E61">
            <v>0</v>
          </cell>
          <cell r="F61">
            <v>87.333333333333329</v>
          </cell>
          <cell r="L61">
            <v>0</v>
          </cell>
          <cell r="N61">
            <v>0</v>
          </cell>
          <cell r="P61">
            <v>0</v>
          </cell>
          <cell r="Q61">
            <v>0</v>
          </cell>
          <cell r="R61">
            <v>0</v>
          </cell>
          <cell r="S61">
            <v>1427</v>
          </cell>
          <cell r="T61">
            <v>0</v>
          </cell>
          <cell r="U61">
            <v>0</v>
          </cell>
          <cell r="V61">
            <v>0</v>
          </cell>
          <cell r="X61">
            <v>0</v>
          </cell>
          <cell r="Y61">
            <v>0</v>
          </cell>
          <cell r="Z61">
            <v>401</v>
          </cell>
          <cell r="AB61">
            <v>0</v>
          </cell>
          <cell r="AC61">
            <v>0</v>
          </cell>
          <cell r="AD61">
            <v>280</v>
          </cell>
          <cell r="AE61">
            <v>454</v>
          </cell>
          <cell r="AF61">
            <v>586.33333333333337</v>
          </cell>
          <cell r="AG61">
            <v>0</v>
          </cell>
          <cell r="AH61">
            <v>56</v>
          </cell>
          <cell r="AJ61">
            <v>0</v>
          </cell>
          <cell r="AK61">
            <v>0</v>
          </cell>
          <cell r="AL61">
            <v>0</v>
          </cell>
          <cell r="AM61">
            <v>0</v>
          </cell>
          <cell r="AN61">
            <v>587</v>
          </cell>
          <cell r="AO61">
            <v>0</v>
          </cell>
          <cell r="AP61">
            <v>637</v>
          </cell>
          <cell r="AQ61">
            <v>1519.666666666667</v>
          </cell>
        </row>
        <row r="62">
          <cell r="D62">
            <v>0</v>
          </cell>
          <cell r="E62">
            <v>0</v>
          </cell>
          <cell r="F62">
            <v>0</v>
          </cell>
          <cell r="L62">
            <v>154</v>
          </cell>
          <cell r="N62">
            <v>-236</v>
          </cell>
          <cell r="P62">
            <v>-37.759999999999991</v>
          </cell>
          <cell r="Q62">
            <v>-198.24</v>
          </cell>
          <cell r="R62">
            <v>539</v>
          </cell>
          <cell r="T62">
            <v>230</v>
          </cell>
          <cell r="U62">
            <v>309</v>
          </cell>
          <cell r="V62">
            <v>634</v>
          </cell>
          <cell r="X62">
            <v>258</v>
          </cell>
          <cell r="Y62">
            <v>376</v>
          </cell>
          <cell r="Z62">
            <v>512.33333333333337</v>
          </cell>
          <cell r="AA62">
            <v>432</v>
          </cell>
          <cell r="AB62">
            <v>80.333333333333371</v>
          </cell>
          <cell r="AC62">
            <v>0</v>
          </cell>
          <cell r="AH62">
            <v>0</v>
          </cell>
          <cell r="AI62">
            <v>0</v>
          </cell>
          <cell r="AJ62">
            <v>1523</v>
          </cell>
          <cell r="AK62">
            <v>652</v>
          </cell>
          <cell r="AL62">
            <v>871</v>
          </cell>
          <cell r="AM62">
            <v>0</v>
          </cell>
          <cell r="AN62">
            <v>59</v>
          </cell>
          <cell r="AO62">
            <v>134</v>
          </cell>
          <cell r="AP62">
            <v>64</v>
          </cell>
          <cell r="AQ62">
            <v>152</v>
          </cell>
        </row>
        <row r="63">
          <cell r="D63">
            <v>63</v>
          </cell>
          <cell r="E63">
            <v>19</v>
          </cell>
          <cell r="F63">
            <v>44</v>
          </cell>
          <cell r="L63">
            <v>396</v>
          </cell>
          <cell r="M63">
            <v>391</v>
          </cell>
          <cell r="N63">
            <v>776</v>
          </cell>
          <cell r="O63">
            <v>615</v>
          </cell>
          <cell r="P63">
            <v>194</v>
          </cell>
          <cell r="Q63">
            <v>582</v>
          </cell>
          <cell r="R63">
            <v>527</v>
          </cell>
          <cell r="S63">
            <v>513</v>
          </cell>
          <cell r="T63">
            <v>225</v>
          </cell>
          <cell r="U63">
            <v>302</v>
          </cell>
          <cell r="V63">
            <v>417</v>
          </cell>
          <cell r="W63">
            <v>415</v>
          </cell>
          <cell r="X63">
            <v>129</v>
          </cell>
          <cell r="Y63">
            <v>288</v>
          </cell>
          <cell r="Z63">
            <v>265</v>
          </cell>
          <cell r="AA63">
            <v>265</v>
          </cell>
          <cell r="AB63">
            <v>0</v>
          </cell>
          <cell r="AC63">
            <v>381</v>
          </cell>
          <cell r="AD63">
            <v>381</v>
          </cell>
          <cell r="AF63">
            <v>250</v>
          </cell>
          <cell r="AG63">
            <v>0</v>
          </cell>
          <cell r="AH63">
            <v>0</v>
          </cell>
          <cell r="AJ63">
            <v>2450</v>
          </cell>
          <cell r="AK63">
            <v>773</v>
          </cell>
          <cell r="AL63">
            <v>1677</v>
          </cell>
          <cell r="AM63">
            <v>2322</v>
          </cell>
          <cell r="AN63">
            <v>354</v>
          </cell>
          <cell r="AO63">
            <v>854</v>
          </cell>
          <cell r="AP63">
            <v>419</v>
          </cell>
          <cell r="AQ63">
            <v>823</v>
          </cell>
        </row>
        <row r="64">
          <cell r="F64">
            <v>0</v>
          </cell>
          <cell r="L64">
            <v>52</v>
          </cell>
          <cell r="M64">
            <v>50</v>
          </cell>
          <cell r="N64">
            <v>335</v>
          </cell>
          <cell r="P64">
            <v>83.75</v>
          </cell>
          <cell r="Q64">
            <v>251.25</v>
          </cell>
          <cell r="R64">
            <v>192</v>
          </cell>
          <cell r="S64">
            <v>195</v>
          </cell>
          <cell r="T64">
            <v>82</v>
          </cell>
          <cell r="U64">
            <v>110</v>
          </cell>
          <cell r="V64">
            <v>144</v>
          </cell>
          <cell r="W64">
            <v>143</v>
          </cell>
          <cell r="X64">
            <v>59</v>
          </cell>
          <cell r="Y64">
            <v>85</v>
          </cell>
          <cell r="Z64">
            <v>88</v>
          </cell>
          <cell r="AA64">
            <v>88</v>
          </cell>
          <cell r="AB64">
            <v>0</v>
          </cell>
          <cell r="AC64">
            <v>97</v>
          </cell>
          <cell r="AD64">
            <v>97</v>
          </cell>
          <cell r="AF64">
            <v>0</v>
          </cell>
          <cell r="AG64">
            <v>0</v>
          </cell>
          <cell r="AH64">
            <v>0</v>
          </cell>
          <cell r="AJ64">
            <v>811</v>
          </cell>
          <cell r="AK64">
            <v>193</v>
          </cell>
          <cell r="AL64">
            <v>618</v>
          </cell>
          <cell r="AM64">
            <v>485</v>
          </cell>
          <cell r="AO64">
            <v>0</v>
          </cell>
        </row>
        <row r="65">
          <cell r="D65">
            <v>0</v>
          </cell>
          <cell r="F65">
            <v>19.333333333333329</v>
          </cell>
          <cell r="L65">
            <v>3</v>
          </cell>
          <cell r="M65">
            <v>3</v>
          </cell>
          <cell r="N65">
            <v>18</v>
          </cell>
          <cell r="P65">
            <v>4.5</v>
          </cell>
          <cell r="Q65">
            <v>13.5</v>
          </cell>
          <cell r="R65">
            <v>11</v>
          </cell>
          <cell r="S65">
            <v>11</v>
          </cell>
          <cell r="T65">
            <v>5</v>
          </cell>
          <cell r="U65">
            <v>6</v>
          </cell>
          <cell r="V65">
            <v>8</v>
          </cell>
          <cell r="W65">
            <v>8</v>
          </cell>
          <cell r="X65">
            <v>3</v>
          </cell>
          <cell r="Y65">
            <v>5</v>
          </cell>
          <cell r="Z65">
            <v>5</v>
          </cell>
          <cell r="AA65">
            <v>5</v>
          </cell>
          <cell r="AB65">
            <v>0</v>
          </cell>
          <cell r="AC65">
            <v>5</v>
          </cell>
          <cell r="AD65">
            <v>5</v>
          </cell>
          <cell r="AE65">
            <v>454</v>
          </cell>
          <cell r="AF65">
            <v>336.33333333333337</v>
          </cell>
          <cell r="AG65">
            <v>0</v>
          </cell>
          <cell r="AH65">
            <v>56</v>
          </cell>
          <cell r="AI65">
            <v>0</v>
          </cell>
          <cell r="AJ65">
            <v>45</v>
          </cell>
          <cell r="AK65">
            <v>11</v>
          </cell>
          <cell r="AL65">
            <v>34</v>
          </cell>
          <cell r="AM65">
            <v>27</v>
          </cell>
          <cell r="AN65">
            <v>528</v>
          </cell>
          <cell r="AO65">
            <v>953</v>
          </cell>
          <cell r="AP65">
            <v>573</v>
          </cell>
          <cell r="AQ65">
            <v>1367.666666666667</v>
          </cell>
        </row>
        <row r="66">
          <cell r="D66">
            <v>0</v>
          </cell>
          <cell r="F66">
            <v>63</v>
          </cell>
          <cell r="L66">
            <v>17</v>
          </cell>
          <cell r="M66">
            <v>16</v>
          </cell>
          <cell r="N66">
            <v>107</v>
          </cell>
          <cell r="P66">
            <v>26.75</v>
          </cell>
          <cell r="Q66">
            <v>80.25</v>
          </cell>
          <cell r="R66">
            <v>61</v>
          </cell>
          <cell r="S66">
            <v>61</v>
          </cell>
          <cell r="T66">
            <v>26</v>
          </cell>
          <cell r="U66">
            <v>35</v>
          </cell>
          <cell r="V66">
            <v>46</v>
          </cell>
          <cell r="W66">
            <v>45</v>
          </cell>
          <cell r="X66">
            <v>19</v>
          </cell>
          <cell r="Y66">
            <v>27</v>
          </cell>
          <cell r="Z66">
            <v>28</v>
          </cell>
          <cell r="AA66">
            <v>28</v>
          </cell>
          <cell r="AB66">
            <v>0</v>
          </cell>
          <cell r="AC66">
            <v>31</v>
          </cell>
          <cell r="AD66">
            <v>31</v>
          </cell>
          <cell r="AE66">
            <v>297</v>
          </cell>
          <cell r="AF66">
            <v>506</v>
          </cell>
          <cell r="AG66">
            <v>0</v>
          </cell>
          <cell r="AH66">
            <v>0</v>
          </cell>
          <cell r="AJ66">
            <v>259</v>
          </cell>
          <cell r="AK66">
            <v>62</v>
          </cell>
          <cell r="AL66">
            <v>197</v>
          </cell>
          <cell r="AM66">
            <v>153</v>
          </cell>
          <cell r="AN66">
            <v>422</v>
          </cell>
          <cell r="AO66">
            <v>852</v>
          </cell>
          <cell r="AP66">
            <v>400</v>
          </cell>
          <cell r="AQ66">
            <v>1014</v>
          </cell>
        </row>
        <row r="67">
          <cell r="D67">
            <v>0</v>
          </cell>
          <cell r="F67">
            <v>0</v>
          </cell>
          <cell r="L67">
            <v>0</v>
          </cell>
          <cell r="N67">
            <v>0</v>
          </cell>
          <cell r="P67">
            <v>0</v>
          </cell>
          <cell r="Q67">
            <v>0</v>
          </cell>
          <cell r="R67">
            <v>0</v>
          </cell>
          <cell r="S67">
            <v>296</v>
          </cell>
          <cell r="T67">
            <v>0</v>
          </cell>
          <cell r="U67">
            <v>0</v>
          </cell>
          <cell r="V67">
            <v>0</v>
          </cell>
          <cell r="X67">
            <v>0</v>
          </cell>
          <cell r="Y67">
            <v>0</v>
          </cell>
          <cell r="Z67">
            <v>0</v>
          </cell>
          <cell r="AA67">
            <v>0</v>
          </cell>
          <cell r="AB67">
            <v>0</v>
          </cell>
          <cell r="AC67">
            <v>0</v>
          </cell>
          <cell r="AD67">
            <v>55</v>
          </cell>
          <cell r="AE67">
            <v>89</v>
          </cell>
          <cell r="AF67">
            <v>85.090909090909093</v>
          </cell>
          <cell r="AG67">
            <v>0</v>
          </cell>
          <cell r="AH67">
            <v>0</v>
          </cell>
          <cell r="AJ67">
            <v>0</v>
          </cell>
          <cell r="AK67">
            <v>0</v>
          </cell>
          <cell r="AL67">
            <v>0</v>
          </cell>
          <cell r="AM67">
            <v>0</v>
          </cell>
        </row>
        <row r="68">
          <cell r="D68">
            <v>63</v>
          </cell>
          <cell r="F68">
            <v>0</v>
          </cell>
          <cell r="L68">
            <v>283</v>
          </cell>
          <cell r="N68">
            <v>776</v>
          </cell>
          <cell r="P68">
            <v>194</v>
          </cell>
          <cell r="Q68">
            <v>582</v>
          </cell>
          <cell r="R68">
            <v>527</v>
          </cell>
          <cell r="S68">
            <v>16</v>
          </cell>
          <cell r="T68">
            <v>225</v>
          </cell>
          <cell r="U68">
            <v>302</v>
          </cell>
          <cell r="V68">
            <v>417</v>
          </cell>
          <cell r="X68">
            <v>170</v>
          </cell>
          <cell r="Y68">
            <v>247</v>
          </cell>
          <cell r="Z68">
            <v>265</v>
          </cell>
          <cell r="AA68">
            <v>265</v>
          </cell>
          <cell r="AB68">
            <v>0</v>
          </cell>
          <cell r="AC68">
            <v>0</v>
          </cell>
          <cell r="AD68">
            <v>3</v>
          </cell>
          <cell r="AE68">
            <v>5</v>
          </cell>
          <cell r="AF68">
            <v>5</v>
          </cell>
          <cell r="AG68">
            <v>0</v>
          </cell>
          <cell r="AH68">
            <v>0</v>
          </cell>
          <cell r="AJ68">
            <v>2337</v>
          </cell>
          <cell r="AK68">
            <v>688</v>
          </cell>
          <cell r="AL68">
            <v>1649</v>
          </cell>
          <cell r="AM68">
            <v>0</v>
          </cell>
        </row>
        <row r="69">
          <cell r="D69">
            <v>0</v>
          </cell>
          <cell r="F69">
            <v>0</v>
          </cell>
          <cell r="L69">
            <v>0</v>
          </cell>
          <cell r="N69">
            <v>0</v>
          </cell>
          <cell r="P69">
            <v>0</v>
          </cell>
          <cell r="Q69">
            <v>0</v>
          </cell>
          <cell r="R69">
            <v>0</v>
          </cell>
          <cell r="S69">
            <v>95</v>
          </cell>
          <cell r="U69">
            <v>0</v>
          </cell>
          <cell r="V69">
            <v>0</v>
          </cell>
          <cell r="X69">
            <v>0</v>
          </cell>
          <cell r="Y69">
            <v>0</v>
          </cell>
          <cell r="Z69">
            <v>36</v>
          </cell>
          <cell r="AB69">
            <v>0</v>
          </cell>
          <cell r="AC69">
            <v>0</v>
          </cell>
          <cell r="AD69">
            <v>17</v>
          </cell>
          <cell r="AE69">
            <v>28</v>
          </cell>
          <cell r="AF69">
            <v>27</v>
          </cell>
          <cell r="AG69">
            <v>0</v>
          </cell>
          <cell r="AH69">
            <v>0</v>
          </cell>
          <cell r="AJ69">
            <v>0</v>
          </cell>
          <cell r="AK69">
            <v>0</v>
          </cell>
          <cell r="AL69">
            <v>0</v>
          </cell>
          <cell r="AM69">
            <v>0</v>
          </cell>
        </row>
        <row r="70">
          <cell r="D70">
            <v>1454</v>
          </cell>
          <cell r="E70">
            <v>434</v>
          </cell>
          <cell r="F70">
            <v>1020</v>
          </cell>
          <cell r="L70">
            <v>70</v>
          </cell>
          <cell r="M70">
            <v>104</v>
          </cell>
          <cell r="N70">
            <v>180</v>
          </cell>
          <cell r="O70">
            <v>332</v>
          </cell>
          <cell r="P70">
            <v>74.58</v>
          </cell>
          <cell r="Q70">
            <v>105.42</v>
          </cell>
          <cell r="R70">
            <v>82</v>
          </cell>
          <cell r="S70">
            <v>104</v>
          </cell>
          <cell r="T70">
            <v>35</v>
          </cell>
          <cell r="U70">
            <v>47</v>
          </cell>
          <cell r="V70">
            <v>51</v>
          </cell>
          <cell r="W70">
            <v>80</v>
          </cell>
          <cell r="X70">
            <v>21</v>
          </cell>
          <cell r="Y70">
            <v>30</v>
          </cell>
          <cell r="Z70">
            <v>169.66666666666669</v>
          </cell>
          <cell r="AA70">
            <v>161</v>
          </cell>
          <cell r="AB70">
            <v>8.6666666666666856</v>
          </cell>
          <cell r="AC70">
            <v>444</v>
          </cell>
          <cell r="AD70">
            <v>222</v>
          </cell>
          <cell r="AE70">
            <v>222</v>
          </cell>
          <cell r="AF70">
            <v>996</v>
          </cell>
          <cell r="AG70">
            <v>0</v>
          </cell>
          <cell r="AH70">
            <v>0</v>
          </cell>
          <cell r="AI70">
            <v>0</v>
          </cell>
          <cell r="AJ70">
            <v>3325</v>
          </cell>
          <cell r="AK70">
            <v>1255.3661129568104</v>
          </cell>
          <cell r="AL70">
            <v>2069.6338870431896</v>
          </cell>
          <cell r="AM70">
            <v>3588</v>
          </cell>
          <cell r="AN70">
            <v>56</v>
          </cell>
          <cell r="AO70">
            <v>138</v>
          </cell>
          <cell r="AP70">
            <v>1199.3661129568104</v>
          </cell>
          <cell r="AQ70">
            <v>1931.6338870431896</v>
          </cell>
        </row>
        <row r="71">
          <cell r="D71">
            <v>62</v>
          </cell>
          <cell r="E71">
            <v>19</v>
          </cell>
          <cell r="F71">
            <v>43</v>
          </cell>
          <cell r="P71">
            <v>0</v>
          </cell>
          <cell r="Q71">
            <v>0</v>
          </cell>
          <cell r="S71">
            <v>719</v>
          </cell>
          <cell r="T71">
            <v>0</v>
          </cell>
          <cell r="U71">
            <v>0</v>
          </cell>
          <cell r="X71">
            <v>550</v>
          </cell>
          <cell r="Y71">
            <v>239</v>
          </cell>
          <cell r="Z71">
            <v>311</v>
          </cell>
          <cell r="AB71">
            <v>0</v>
          </cell>
          <cell r="AC71">
            <v>0</v>
          </cell>
          <cell r="AD71">
            <v>183</v>
          </cell>
          <cell r="AE71">
            <v>297</v>
          </cell>
          <cell r="AF71">
            <v>506</v>
          </cell>
          <cell r="AG71">
            <v>0</v>
          </cell>
          <cell r="AH71">
            <v>0</v>
          </cell>
          <cell r="AJ71">
            <v>62</v>
          </cell>
          <cell r="AK71">
            <v>19</v>
          </cell>
          <cell r="AL71">
            <v>43</v>
          </cell>
          <cell r="AM71">
            <v>-5</v>
          </cell>
          <cell r="AN71">
            <v>0</v>
          </cell>
          <cell r="AO71">
            <v>0</v>
          </cell>
          <cell r="AP71">
            <v>19</v>
          </cell>
          <cell r="AQ71">
            <v>43</v>
          </cell>
        </row>
        <row r="72">
          <cell r="D72">
            <v>1392</v>
          </cell>
          <cell r="E72">
            <v>415</v>
          </cell>
          <cell r="F72">
            <v>977</v>
          </cell>
          <cell r="L72">
            <v>70</v>
          </cell>
          <cell r="M72">
            <v>104</v>
          </cell>
          <cell r="N72">
            <v>180</v>
          </cell>
          <cell r="O72">
            <v>332</v>
          </cell>
          <cell r="P72">
            <v>74.58</v>
          </cell>
          <cell r="Q72">
            <v>105.42</v>
          </cell>
          <cell r="R72">
            <v>82</v>
          </cell>
          <cell r="S72">
            <v>104</v>
          </cell>
          <cell r="T72">
            <v>35</v>
          </cell>
          <cell r="U72">
            <v>47</v>
          </cell>
          <cell r="V72">
            <v>51</v>
          </cell>
          <cell r="W72">
            <v>80</v>
          </cell>
          <cell r="X72">
            <v>21</v>
          </cell>
          <cell r="Y72">
            <v>30</v>
          </cell>
          <cell r="Z72">
            <v>169.66666666666669</v>
          </cell>
          <cell r="AA72">
            <v>161</v>
          </cell>
          <cell r="AB72">
            <v>8.6666666666666856</v>
          </cell>
          <cell r="AC72">
            <v>444</v>
          </cell>
          <cell r="AD72">
            <v>222</v>
          </cell>
          <cell r="AE72">
            <v>222</v>
          </cell>
          <cell r="AF72">
            <v>996</v>
          </cell>
          <cell r="AH72">
            <v>0</v>
          </cell>
          <cell r="AI72">
            <v>3263</v>
          </cell>
          <cell r="AJ72">
            <v>3263</v>
          </cell>
          <cell r="AK72">
            <v>1236.3661129568104</v>
          </cell>
          <cell r="AL72">
            <v>2026.6338870431896</v>
          </cell>
          <cell r="AM72">
            <v>3593</v>
          </cell>
          <cell r="AN72">
            <v>56</v>
          </cell>
          <cell r="AO72">
            <v>138</v>
          </cell>
          <cell r="AP72">
            <v>1180.3661129568104</v>
          </cell>
          <cell r="AQ72">
            <v>1888.6338870431896</v>
          </cell>
        </row>
        <row r="73">
          <cell r="D73">
            <v>383</v>
          </cell>
          <cell r="E73">
            <v>114</v>
          </cell>
          <cell r="F73">
            <v>269</v>
          </cell>
          <cell r="L73">
            <v>44</v>
          </cell>
          <cell r="M73">
            <v>52</v>
          </cell>
          <cell r="N73">
            <v>113</v>
          </cell>
          <cell r="O73">
            <v>114</v>
          </cell>
          <cell r="P73">
            <v>74.58</v>
          </cell>
          <cell r="Q73">
            <v>38.42</v>
          </cell>
          <cell r="R73">
            <v>45</v>
          </cell>
          <cell r="S73">
            <v>49</v>
          </cell>
          <cell r="T73">
            <v>19</v>
          </cell>
          <cell r="U73">
            <v>26</v>
          </cell>
          <cell r="V73">
            <v>27</v>
          </cell>
          <cell r="W73">
            <v>27</v>
          </cell>
          <cell r="X73">
            <v>21</v>
          </cell>
          <cell r="Y73">
            <v>30</v>
          </cell>
          <cell r="Z73">
            <v>105.66666666666667</v>
          </cell>
          <cell r="AA73">
            <v>97</v>
          </cell>
          <cell r="AB73">
            <v>8.6666666666666714</v>
          </cell>
          <cell r="AC73">
            <v>333</v>
          </cell>
          <cell r="AD73">
            <v>111</v>
          </cell>
          <cell r="AE73">
            <v>222</v>
          </cell>
          <cell r="AF73">
            <v>105.66666666666667</v>
          </cell>
          <cell r="AG73">
            <v>0</v>
          </cell>
          <cell r="AH73">
            <v>9</v>
          </cell>
          <cell r="AI73">
            <v>1236.3661129568106</v>
          </cell>
          <cell r="AJ73">
            <v>762</v>
          </cell>
          <cell r="AK73">
            <v>238</v>
          </cell>
          <cell r="AL73">
            <v>524</v>
          </cell>
          <cell r="AM73">
            <v>1369</v>
          </cell>
          <cell r="AN73">
            <v>40</v>
          </cell>
          <cell r="AO73">
            <v>92</v>
          </cell>
          <cell r="AP73">
            <v>378</v>
          </cell>
          <cell r="AQ73">
            <v>524</v>
          </cell>
        </row>
        <row r="74">
          <cell r="E74">
            <v>0</v>
          </cell>
          <cell r="F74">
            <v>0</v>
          </cell>
          <cell r="N74">
            <v>0</v>
          </cell>
          <cell r="P74">
            <v>0</v>
          </cell>
          <cell r="T74">
            <v>0</v>
          </cell>
          <cell r="U74">
            <v>0</v>
          </cell>
          <cell r="Y74">
            <v>0</v>
          </cell>
          <cell r="Z74">
            <v>0</v>
          </cell>
          <cell r="AC74">
            <v>0</v>
          </cell>
          <cell r="AE74">
            <v>0</v>
          </cell>
          <cell r="AG74">
            <v>0</v>
          </cell>
          <cell r="AH74">
            <v>0</v>
          </cell>
          <cell r="AJ74">
            <v>269</v>
          </cell>
          <cell r="AK74">
            <v>83</v>
          </cell>
          <cell r="AL74">
            <v>186</v>
          </cell>
          <cell r="AM74">
            <v>0</v>
          </cell>
          <cell r="AN74">
            <v>0</v>
          </cell>
          <cell r="AO74">
            <v>0</v>
          </cell>
          <cell r="AP74">
            <v>29</v>
          </cell>
          <cell r="AQ74">
            <v>186</v>
          </cell>
        </row>
        <row r="75">
          <cell r="D75">
            <v>348</v>
          </cell>
          <cell r="E75">
            <v>104</v>
          </cell>
          <cell r="F75">
            <v>244</v>
          </cell>
          <cell r="P75">
            <v>45</v>
          </cell>
          <cell r="R75">
            <v>0</v>
          </cell>
          <cell r="S75">
            <v>110</v>
          </cell>
          <cell r="T75">
            <v>72.600000000000009</v>
          </cell>
          <cell r="U75">
            <v>37.399999999999991</v>
          </cell>
          <cell r="V75">
            <v>0</v>
          </cell>
          <cell r="X75">
            <v>68</v>
          </cell>
          <cell r="Y75">
            <v>30</v>
          </cell>
          <cell r="Z75">
            <v>38</v>
          </cell>
          <cell r="AC75">
            <v>0</v>
          </cell>
          <cell r="AD75">
            <v>10</v>
          </cell>
          <cell r="AE75">
            <v>17</v>
          </cell>
          <cell r="AF75">
            <v>105.66666666666667</v>
          </cell>
          <cell r="AG75">
            <v>96.666666666666671</v>
          </cell>
          <cell r="AH75">
            <v>9</v>
          </cell>
          <cell r="AI75">
            <v>0</v>
          </cell>
          <cell r="AJ75">
            <v>348</v>
          </cell>
          <cell r="AK75">
            <v>104</v>
          </cell>
          <cell r="AL75">
            <v>244</v>
          </cell>
          <cell r="AM75">
            <v>0</v>
          </cell>
          <cell r="AN75">
            <v>40</v>
          </cell>
          <cell r="AO75">
            <v>92</v>
          </cell>
          <cell r="AP75">
            <v>349</v>
          </cell>
          <cell r="AQ75">
            <v>570.33333333333348</v>
          </cell>
        </row>
        <row r="76">
          <cell r="E76">
            <v>0</v>
          </cell>
          <cell r="F76">
            <v>0</v>
          </cell>
          <cell r="N76">
            <v>12</v>
          </cell>
          <cell r="P76">
            <v>45</v>
          </cell>
          <cell r="R76">
            <v>0</v>
          </cell>
          <cell r="S76">
            <v>110</v>
          </cell>
          <cell r="T76">
            <v>72.600000000000009</v>
          </cell>
          <cell r="U76">
            <v>37.399999999999991</v>
          </cell>
          <cell r="V76">
            <v>0</v>
          </cell>
          <cell r="X76">
            <v>68</v>
          </cell>
          <cell r="Y76">
            <v>30</v>
          </cell>
          <cell r="Z76">
            <v>6</v>
          </cell>
          <cell r="AA76">
            <v>6</v>
          </cell>
          <cell r="AC76">
            <v>0</v>
          </cell>
          <cell r="AD76">
            <v>10</v>
          </cell>
          <cell r="AE76">
            <v>17</v>
          </cell>
          <cell r="AF76">
            <v>105.66666666666667</v>
          </cell>
          <cell r="AG76">
            <v>0</v>
          </cell>
          <cell r="AH76">
            <v>9</v>
          </cell>
          <cell r="AJ76">
            <v>18</v>
          </cell>
          <cell r="AK76">
            <v>0</v>
          </cell>
          <cell r="AL76">
            <v>18</v>
          </cell>
          <cell r="AM76">
            <v>0</v>
          </cell>
          <cell r="AQ76">
            <v>476.33333333333337</v>
          </cell>
        </row>
        <row r="77">
          <cell r="E77">
            <v>0</v>
          </cell>
          <cell r="F77">
            <v>0</v>
          </cell>
          <cell r="M77">
            <v>42</v>
          </cell>
          <cell r="O77">
            <v>118</v>
          </cell>
          <cell r="P77">
            <v>0</v>
          </cell>
          <cell r="S77">
            <v>36</v>
          </cell>
          <cell r="W77">
            <v>32</v>
          </cell>
          <cell r="AC77">
            <v>92</v>
          </cell>
          <cell r="AD77">
            <v>92</v>
          </cell>
          <cell r="AE77">
            <v>0</v>
          </cell>
          <cell r="AF77">
            <v>362</v>
          </cell>
          <cell r="AJ77">
            <v>362</v>
          </cell>
          <cell r="AK77">
            <v>108.07884828349945</v>
          </cell>
          <cell r="AL77">
            <v>253.92115171650056</v>
          </cell>
          <cell r="AM77">
            <v>572</v>
          </cell>
          <cell r="AQ77">
            <v>186</v>
          </cell>
        </row>
        <row r="78">
          <cell r="D78">
            <v>286</v>
          </cell>
          <cell r="E78">
            <v>85</v>
          </cell>
          <cell r="F78">
            <v>201</v>
          </cell>
          <cell r="L78">
            <v>12</v>
          </cell>
          <cell r="M78">
            <v>8</v>
          </cell>
          <cell r="N78">
            <v>30</v>
          </cell>
          <cell r="O78">
            <v>87</v>
          </cell>
          <cell r="R78">
            <v>19</v>
          </cell>
          <cell r="S78">
            <v>18</v>
          </cell>
          <cell r="V78">
            <v>5</v>
          </cell>
          <cell r="W78">
            <v>21</v>
          </cell>
          <cell r="Z78">
            <v>34</v>
          </cell>
          <cell r="AA78">
            <v>34</v>
          </cell>
          <cell r="AB78">
            <v>0</v>
          </cell>
          <cell r="AC78">
            <v>4</v>
          </cell>
          <cell r="AD78">
            <v>4</v>
          </cell>
          <cell r="AF78">
            <v>39</v>
          </cell>
          <cell r="AJ78">
            <v>427</v>
          </cell>
          <cell r="AK78">
            <v>139.643853820598</v>
          </cell>
          <cell r="AL78">
            <v>287.356146179402</v>
          </cell>
          <cell r="AM78">
            <v>1538</v>
          </cell>
        </row>
        <row r="79">
          <cell r="D79">
            <v>375</v>
          </cell>
          <cell r="E79">
            <v>112</v>
          </cell>
          <cell r="F79">
            <v>263</v>
          </cell>
          <cell r="L79">
            <v>14</v>
          </cell>
          <cell r="M79">
            <v>2</v>
          </cell>
          <cell r="N79">
            <v>37</v>
          </cell>
          <cell r="O79">
            <v>13</v>
          </cell>
          <cell r="P79">
            <v>14.700000000000003</v>
          </cell>
          <cell r="R79">
            <v>18</v>
          </cell>
          <cell r="S79">
            <v>1</v>
          </cell>
          <cell r="V79">
            <v>19</v>
          </cell>
          <cell r="Z79">
            <v>30</v>
          </cell>
          <cell r="AA79">
            <v>30</v>
          </cell>
          <cell r="AB79">
            <v>0</v>
          </cell>
          <cell r="AC79">
            <v>15</v>
          </cell>
          <cell r="AD79">
            <v>15</v>
          </cell>
          <cell r="AF79">
            <v>595</v>
          </cell>
          <cell r="AH79">
            <v>0</v>
          </cell>
          <cell r="AJ79">
            <v>1095</v>
          </cell>
          <cell r="AK79">
            <v>563.64341085271315</v>
          </cell>
          <cell r="AL79">
            <v>531.35658914728685</v>
          </cell>
          <cell r="AM79">
            <v>114</v>
          </cell>
        </row>
        <row r="80">
          <cell r="D80">
            <v>2457.727272727273</v>
          </cell>
          <cell r="E80">
            <v>787</v>
          </cell>
          <cell r="F80">
            <v>1670.7272727272727</v>
          </cell>
          <cell r="L80">
            <v>2187.727272727273</v>
          </cell>
          <cell r="M80">
            <v>2144</v>
          </cell>
          <cell r="N80">
            <v>23632.454545454544</v>
          </cell>
          <cell r="O80">
            <v>28492</v>
          </cell>
          <cell r="P80">
            <v>20779.44272727273</v>
          </cell>
          <cell r="Q80">
            <v>2853.0118181818184</v>
          </cell>
          <cell r="R80">
            <v>45197.909090909088</v>
          </cell>
          <cell r="S80">
            <v>33842</v>
          </cell>
          <cell r="T80">
            <v>28865</v>
          </cell>
          <cell r="U80">
            <v>16332.90909090909</v>
          </cell>
          <cell r="V80">
            <v>35616.63636363636</v>
          </cell>
          <cell r="W80">
            <v>27187</v>
          </cell>
          <cell r="X80">
            <v>21830</v>
          </cell>
          <cell r="Y80">
            <v>13786.636363636364</v>
          </cell>
          <cell r="Z80">
            <v>3618.212121212121</v>
          </cell>
          <cell r="AA80">
            <v>2959.5454545454545</v>
          </cell>
          <cell r="AB80">
            <v>658.66666666666674</v>
          </cell>
          <cell r="AC80">
            <v>0</v>
          </cell>
          <cell r="AD80">
            <v>2792</v>
          </cell>
          <cell r="AE80">
            <v>818</v>
          </cell>
          <cell r="AF80">
            <v>996</v>
          </cell>
          <cell r="AG80">
            <v>0</v>
          </cell>
          <cell r="AH80">
            <v>846.74545454545455</v>
          </cell>
          <cell r="AI80">
            <v>0</v>
          </cell>
          <cell r="AJ80">
            <v>113406.90909090909</v>
          </cell>
          <cell r="AK80">
            <v>54526.784294774996</v>
          </cell>
          <cell r="AL80">
            <v>58880.1247961341</v>
          </cell>
          <cell r="AM80">
            <v>98536</v>
          </cell>
          <cell r="AN80">
            <v>50623</v>
          </cell>
          <cell r="AO80">
            <v>48448</v>
          </cell>
          <cell r="AP80">
            <v>3613.7842947749923</v>
          </cell>
          <cell r="AQ80">
            <v>9744.1247961340996</v>
          </cell>
        </row>
        <row r="81">
          <cell r="D81">
            <v>2457.727272727273</v>
          </cell>
          <cell r="E81">
            <v>787</v>
          </cell>
          <cell r="F81">
            <v>1670.7272727272727</v>
          </cell>
          <cell r="L81">
            <v>2187.727272727273</v>
          </cell>
          <cell r="N81">
            <v>7727.4545454545441</v>
          </cell>
          <cell r="O81">
            <v>7448</v>
          </cell>
          <cell r="P81">
            <v>502</v>
          </cell>
          <cell r="Q81">
            <v>0</v>
          </cell>
          <cell r="R81">
            <v>2743.9090909090883</v>
          </cell>
          <cell r="S81">
            <v>1112</v>
          </cell>
          <cell r="T81">
            <v>399.84</v>
          </cell>
          <cell r="U81">
            <v>416.16</v>
          </cell>
          <cell r="V81">
            <v>1877.6363636363603</v>
          </cell>
          <cell r="W81">
            <v>0</v>
          </cell>
          <cell r="X81">
            <v>436</v>
          </cell>
          <cell r="Y81">
            <v>189</v>
          </cell>
          <cell r="Z81">
            <v>3618.212121212121</v>
          </cell>
          <cell r="AA81">
            <v>2959.5454545454545</v>
          </cell>
          <cell r="AB81">
            <v>658.66666666666674</v>
          </cell>
          <cell r="AC81">
            <v>354</v>
          </cell>
          <cell r="AD81">
            <v>135</v>
          </cell>
          <cell r="AE81">
            <v>219</v>
          </cell>
          <cell r="AF81">
            <v>1046</v>
          </cell>
          <cell r="AG81">
            <v>0</v>
          </cell>
          <cell r="AH81">
            <v>153.74545454545455</v>
          </cell>
          <cell r="AI81">
            <v>0</v>
          </cell>
          <cell r="AJ81">
            <v>21308.909090909088</v>
          </cell>
          <cell r="AK81">
            <v>5728.7842947749959</v>
          </cell>
          <cell r="AL81">
            <v>15580.1247961341</v>
          </cell>
          <cell r="AM81">
            <v>20834</v>
          </cell>
          <cell r="AN81">
            <v>1825</v>
          </cell>
          <cell r="AO81">
            <v>5148</v>
          </cell>
          <cell r="AP81">
            <v>3613.7842947749923</v>
          </cell>
          <cell r="AQ81">
            <v>9744.1247961340996</v>
          </cell>
        </row>
        <row r="82">
          <cell r="AG82">
            <v>0</v>
          </cell>
          <cell r="AL82">
            <v>57353.122727272712</v>
          </cell>
          <cell r="AM82">
            <v>0</v>
          </cell>
        </row>
        <row r="83">
          <cell r="D83">
            <v>0</v>
          </cell>
          <cell r="E83">
            <v>0</v>
          </cell>
          <cell r="F83">
            <v>0</v>
          </cell>
          <cell r="AG83">
            <v>0</v>
          </cell>
          <cell r="AJ83">
            <v>0</v>
          </cell>
          <cell r="AK83">
            <v>0</v>
          </cell>
          <cell r="AL83">
            <v>0</v>
          </cell>
          <cell r="AM83">
            <v>0</v>
          </cell>
          <cell r="AN83">
            <v>0</v>
          </cell>
          <cell r="AO83">
            <v>0</v>
          </cell>
          <cell r="AP83">
            <v>0</v>
          </cell>
          <cell r="AQ83">
            <v>0</v>
          </cell>
        </row>
        <row r="84">
          <cell r="D84">
            <v>2457.727272727273</v>
          </cell>
          <cell r="E84">
            <v>787</v>
          </cell>
          <cell r="F84">
            <v>1670.7272727272727</v>
          </cell>
          <cell r="L84">
            <v>2187.727272727273</v>
          </cell>
          <cell r="M84">
            <v>2144</v>
          </cell>
          <cell r="N84">
            <v>23632.454545454544</v>
          </cell>
          <cell r="O84">
            <v>28492</v>
          </cell>
          <cell r="P84">
            <v>20779.44272727273</v>
          </cell>
          <cell r="Q84">
            <v>2853.0118181818184</v>
          </cell>
          <cell r="R84">
            <v>45197.909090909088</v>
          </cell>
          <cell r="S84">
            <v>33842</v>
          </cell>
          <cell r="T84">
            <v>28865</v>
          </cell>
          <cell r="U84">
            <v>16332.90909090909</v>
          </cell>
          <cell r="V84">
            <v>35616.63636363636</v>
          </cell>
          <cell r="W84">
            <v>27187</v>
          </cell>
          <cell r="X84">
            <v>21830</v>
          </cell>
          <cell r="Y84">
            <v>13786.636363636364</v>
          </cell>
          <cell r="Z84">
            <v>3618.212121212121</v>
          </cell>
          <cell r="AA84">
            <v>2959.5454545454545</v>
          </cell>
          <cell r="AB84">
            <v>658.66666666666674</v>
          </cell>
          <cell r="AC84" t="e">
            <v>#VALUE!</v>
          </cell>
          <cell r="AD84">
            <v>2792</v>
          </cell>
          <cell r="AE84">
            <v>818</v>
          </cell>
          <cell r="AF84">
            <v>996</v>
          </cell>
          <cell r="AG84">
            <v>0</v>
          </cell>
          <cell r="AH84">
            <v>846.74545454545455</v>
          </cell>
          <cell r="AI84">
            <v>0</v>
          </cell>
          <cell r="AJ84">
            <v>113406.90909090909</v>
          </cell>
          <cell r="AK84">
            <v>54526.784294774996</v>
          </cell>
          <cell r="AL84">
            <v>58880.1247961341</v>
          </cell>
          <cell r="AM84">
            <v>98536</v>
          </cell>
          <cell r="AN84">
            <v>50623</v>
          </cell>
          <cell r="AO84">
            <v>48448</v>
          </cell>
          <cell r="AP84">
            <v>3613.7842947749923</v>
          </cell>
          <cell r="AQ84">
            <v>9744.1247961340996</v>
          </cell>
        </row>
        <row r="85">
          <cell r="D85">
            <v>0</v>
          </cell>
          <cell r="E85">
            <v>0</v>
          </cell>
          <cell r="F85">
            <v>0</v>
          </cell>
          <cell r="AG85">
            <v>0</v>
          </cell>
          <cell r="AH85">
            <v>0</v>
          </cell>
          <cell r="AK85">
            <v>834</v>
          </cell>
          <cell r="AL85">
            <v>0</v>
          </cell>
          <cell r="AM85">
            <v>0</v>
          </cell>
          <cell r="AN85">
            <v>0</v>
          </cell>
          <cell r="AO85">
            <v>0</v>
          </cell>
          <cell r="AP85">
            <v>0</v>
          </cell>
          <cell r="AQ85">
            <v>0</v>
          </cell>
        </row>
        <row r="86">
          <cell r="D86">
            <v>1166</v>
          </cell>
          <cell r="E86">
            <v>590</v>
          </cell>
          <cell r="F86">
            <v>576</v>
          </cell>
          <cell r="AG86">
            <v>0</v>
          </cell>
          <cell r="AH86">
            <v>0</v>
          </cell>
          <cell r="AJ86">
            <v>1166</v>
          </cell>
          <cell r="AK86">
            <v>590</v>
          </cell>
          <cell r="AL86">
            <v>576</v>
          </cell>
          <cell r="AM86">
            <v>1516</v>
          </cell>
          <cell r="AN86">
            <v>0</v>
          </cell>
          <cell r="AO86">
            <v>0</v>
          </cell>
          <cell r="AP86">
            <v>590</v>
          </cell>
          <cell r="AQ86">
            <v>576</v>
          </cell>
        </row>
        <row r="87">
          <cell r="D87">
            <v>600</v>
          </cell>
          <cell r="E87">
            <v>179</v>
          </cell>
          <cell r="F87">
            <v>421</v>
          </cell>
          <cell r="N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J87">
            <v>600</v>
          </cell>
          <cell r="AK87">
            <v>179</v>
          </cell>
          <cell r="AL87">
            <v>421</v>
          </cell>
          <cell r="AM87">
            <v>287</v>
          </cell>
          <cell r="AN87">
            <v>0</v>
          </cell>
          <cell r="AO87">
            <v>0</v>
          </cell>
          <cell r="AP87">
            <v>179</v>
          </cell>
          <cell r="AQ87">
            <v>421</v>
          </cell>
        </row>
        <row r="88">
          <cell r="D88">
            <v>15</v>
          </cell>
          <cell r="E88">
            <v>4</v>
          </cell>
          <cell r="F88">
            <v>11</v>
          </cell>
          <cell r="L88">
            <v>61</v>
          </cell>
          <cell r="M88">
            <v>1</v>
          </cell>
          <cell r="P88">
            <v>60</v>
          </cell>
          <cell r="R88">
            <v>150</v>
          </cell>
          <cell r="S88">
            <v>1</v>
          </cell>
          <cell r="T88">
            <v>72</v>
          </cell>
          <cell r="U88">
            <v>78</v>
          </cell>
          <cell r="V88">
            <v>27</v>
          </cell>
          <cell r="X88">
            <v>11</v>
          </cell>
          <cell r="Y88">
            <v>16</v>
          </cell>
          <cell r="Z88">
            <v>12.333333333333334</v>
          </cell>
          <cell r="AA88">
            <v>0</v>
          </cell>
          <cell r="AB88">
            <v>12.333333333333334</v>
          </cell>
          <cell r="AC88">
            <v>28</v>
          </cell>
          <cell r="AD88">
            <v>16</v>
          </cell>
          <cell r="AE88">
            <v>28</v>
          </cell>
          <cell r="AF88">
            <v>12</v>
          </cell>
          <cell r="AG88">
            <v>11</v>
          </cell>
          <cell r="AH88">
            <v>1</v>
          </cell>
          <cell r="AJ88">
            <v>225.2</v>
          </cell>
          <cell r="AK88">
            <v>148</v>
          </cell>
          <cell r="AL88">
            <v>77.199999999999989</v>
          </cell>
          <cell r="AM88">
            <v>12</v>
          </cell>
          <cell r="AN88">
            <v>83</v>
          </cell>
          <cell r="AO88">
            <v>94</v>
          </cell>
          <cell r="AP88">
            <v>65</v>
          </cell>
          <cell r="AQ88">
            <v>-16.800000000000011</v>
          </cell>
        </row>
        <row r="89">
          <cell r="D89">
            <v>4238.727272727273</v>
          </cell>
          <cell r="E89">
            <v>1560</v>
          </cell>
          <cell r="F89">
            <v>2678.727272727273</v>
          </cell>
          <cell r="L89">
            <v>2248.727272727273</v>
          </cell>
          <cell r="M89">
            <v>2145</v>
          </cell>
          <cell r="N89">
            <v>23632.454545454544</v>
          </cell>
          <cell r="O89">
            <v>28492</v>
          </cell>
          <cell r="P89">
            <v>20779.44272727273</v>
          </cell>
          <cell r="Q89">
            <v>2853.0118181818184</v>
          </cell>
          <cell r="R89">
            <v>45347.909090909088</v>
          </cell>
          <cell r="S89">
            <v>33842</v>
          </cell>
          <cell r="T89">
            <v>28937</v>
          </cell>
          <cell r="U89">
            <v>16410.909090909088</v>
          </cell>
          <cell r="V89">
            <v>35643.63636363636</v>
          </cell>
          <cell r="W89">
            <v>27187</v>
          </cell>
          <cell r="X89">
            <v>21841</v>
          </cell>
          <cell r="Y89">
            <v>13802.636363636364</v>
          </cell>
          <cell r="Z89">
            <v>3630.5454545454545</v>
          </cell>
          <cell r="AA89">
            <v>2959.5454545454545</v>
          </cell>
          <cell r="AB89">
            <v>671.00000000000011</v>
          </cell>
          <cell r="AC89" t="e">
            <v>#VALUE!</v>
          </cell>
          <cell r="AD89">
            <v>2792</v>
          </cell>
          <cell r="AE89">
            <v>846</v>
          </cell>
          <cell r="AF89">
            <v>996</v>
          </cell>
          <cell r="AG89">
            <v>0</v>
          </cell>
          <cell r="AJ89">
            <v>115399.10909090909</v>
          </cell>
          <cell r="AK89">
            <v>55443.784294774996</v>
          </cell>
          <cell r="AL89">
            <v>59955.324796134097</v>
          </cell>
          <cell r="AM89">
            <v>100351</v>
          </cell>
          <cell r="AN89">
            <v>50706</v>
          </cell>
          <cell r="AO89">
            <v>48542</v>
          </cell>
          <cell r="AP89">
            <v>4447.7842947749923</v>
          </cell>
          <cell r="AQ89">
            <v>10724.3247961341</v>
          </cell>
        </row>
        <row r="90">
          <cell r="D90">
            <v>4238.727272727273</v>
          </cell>
          <cell r="E90">
            <v>1560</v>
          </cell>
          <cell r="F90">
            <v>2678.727272727273</v>
          </cell>
          <cell r="L90">
            <v>2248.727272727273</v>
          </cell>
          <cell r="M90">
            <v>2145</v>
          </cell>
          <cell r="N90">
            <v>7727.4545454545441</v>
          </cell>
          <cell r="O90">
            <v>7448</v>
          </cell>
          <cell r="P90">
            <v>4874.4427272727298</v>
          </cell>
          <cell r="Q90">
            <v>2853.0118181818184</v>
          </cell>
          <cell r="R90">
            <v>2893.9090909090883</v>
          </cell>
          <cell r="S90">
            <v>2671</v>
          </cell>
          <cell r="T90">
            <v>1245</v>
          </cell>
          <cell r="U90">
            <v>1648.9090909090883</v>
          </cell>
          <cell r="V90">
            <v>1904.6363636363603</v>
          </cell>
          <cell r="W90">
            <v>1700</v>
          </cell>
          <cell r="X90">
            <v>735</v>
          </cell>
          <cell r="Y90">
            <v>1169.636363636364</v>
          </cell>
          <cell r="Z90">
            <v>3630.5454545454545</v>
          </cell>
          <cell r="AA90">
            <v>2959.5454545454545</v>
          </cell>
          <cell r="AB90">
            <v>671.00000000000011</v>
          </cell>
          <cell r="AC90" t="e">
            <v>#VALUE!</v>
          </cell>
          <cell r="AD90">
            <v>2792</v>
          </cell>
          <cell r="AE90">
            <v>846</v>
          </cell>
          <cell r="AF90">
            <v>996</v>
          </cell>
          <cell r="AG90">
            <v>0</v>
          </cell>
          <cell r="AJ90">
            <v>23302.109090909085</v>
          </cell>
          <cell r="AK90">
            <v>6645.7842947749959</v>
          </cell>
          <cell r="AL90">
            <v>16655.324796134097</v>
          </cell>
          <cell r="AM90">
            <v>22649</v>
          </cell>
          <cell r="AN90">
            <v>1908</v>
          </cell>
          <cell r="AO90">
            <v>5242</v>
          </cell>
          <cell r="AP90">
            <v>4447.7842947749923</v>
          </cell>
          <cell r="AQ90">
            <v>10724.3247961341</v>
          </cell>
        </row>
        <row r="91">
          <cell r="D91">
            <v>202</v>
          </cell>
          <cell r="F91">
            <v>4323.0000000000009</v>
          </cell>
          <cell r="L91">
            <v>432</v>
          </cell>
          <cell r="N91">
            <v>1663</v>
          </cell>
          <cell r="P91">
            <v>2117</v>
          </cell>
          <cell r="Q91">
            <v>0</v>
          </cell>
          <cell r="R91">
            <v>123</v>
          </cell>
          <cell r="S91">
            <v>26672</v>
          </cell>
          <cell r="T91">
            <v>23991.85</v>
          </cell>
          <cell r="U91">
            <v>2679.15</v>
          </cell>
          <cell r="V91">
            <v>99</v>
          </cell>
          <cell r="W91">
            <v>0</v>
          </cell>
          <cell r="X91">
            <v>47372.181818181816</v>
          </cell>
          <cell r="Y91">
            <v>31246.25</v>
          </cell>
          <cell r="Z91">
            <v>74</v>
          </cell>
          <cell r="AA91">
            <v>74</v>
          </cell>
          <cell r="AB91">
            <v>0</v>
          </cell>
          <cell r="AC91">
            <v>38073</v>
          </cell>
          <cell r="AD91">
            <v>23048.272727272721</v>
          </cell>
          <cell r="AE91">
            <v>15024.727272727279</v>
          </cell>
          <cell r="AF91">
            <v>0</v>
          </cell>
          <cell r="AG91">
            <v>0</v>
          </cell>
          <cell r="AH91">
            <v>847.74545454545455</v>
          </cell>
          <cell r="AI91">
            <v>0</v>
          </cell>
          <cell r="AJ91">
            <v>2605</v>
          </cell>
          <cell r="AK91">
            <v>115399.1090909091</v>
          </cell>
          <cell r="AL91">
            <v>54938.514270702588</v>
          </cell>
          <cell r="AM91">
            <v>2605</v>
          </cell>
          <cell r="AN91">
            <v>100351</v>
          </cell>
          <cell r="AO91">
            <v>52743</v>
          </cell>
          <cell r="AP91">
            <v>3319.7203422122484</v>
          </cell>
          <cell r="AQ91">
            <v>8590.5498152297569</v>
          </cell>
        </row>
        <row r="92">
          <cell r="D92">
            <v>87</v>
          </cell>
          <cell r="F92">
            <v>4323.0000000000009</v>
          </cell>
          <cell r="L92">
            <v>432</v>
          </cell>
          <cell r="N92">
            <v>1663</v>
          </cell>
          <cell r="P92">
            <v>2117</v>
          </cell>
          <cell r="Q92">
            <v>0</v>
          </cell>
          <cell r="R92">
            <v>123</v>
          </cell>
          <cell r="S92">
            <v>7422</v>
          </cell>
          <cell r="T92">
            <v>4741.8499999999985</v>
          </cell>
          <cell r="U92">
            <v>2679.15</v>
          </cell>
          <cell r="V92">
            <v>99</v>
          </cell>
          <cell r="W92">
            <v>0</v>
          </cell>
          <cell r="X92">
            <v>2775.1818181818162</v>
          </cell>
          <cell r="Y92">
            <v>1205</v>
          </cell>
          <cell r="Z92">
            <v>74</v>
          </cell>
          <cell r="AA92">
            <v>74</v>
          </cell>
          <cell r="AB92">
            <v>0</v>
          </cell>
          <cell r="AC92">
            <v>1922</v>
          </cell>
          <cell r="AD92">
            <v>740</v>
          </cell>
          <cell r="AE92">
            <v>1182</v>
          </cell>
          <cell r="AF92">
            <v>0</v>
          </cell>
          <cell r="AG92">
            <v>0</v>
          </cell>
          <cell r="AH92">
            <v>847.74545454545455</v>
          </cell>
          <cell r="AI92">
            <v>0</v>
          </cell>
          <cell r="AJ92">
            <v>2489</v>
          </cell>
          <cell r="AK92">
            <v>115399.1090909091</v>
          </cell>
          <cell r="AL92">
            <v>6596.1999999999971</v>
          </cell>
          <cell r="AM92">
            <v>2489</v>
          </cell>
          <cell r="AN92">
            <v>1886</v>
          </cell>
          <cell r="AO92">
            <v>5095</v>
          </cell>
          <cell r="AP92">
            <v>3319.7203422122484</v>
          </cell>
          <cell r="AQ92">
            <v>8590.0725425024775</v>
          </cell>
        </row>
        <row r="93">
          <cell r="D93">
            <v>0</v>
          </cell>
          <cell r="F93">
            <v>357</v>
          </cell>
          <cell r="L93">
            <v>0</v>
          </cell>
          <cell r="N93">
            <v>0</v>
          </cell>
          <cell r="P93">
            <v>350</v>
          </cell>
          <cell r="R93">
            <v>0</v>
          </cell>
          <cell r="S93">
            <v>920</v>
          </cell>
          <cell r="V93">
            <v>0</v>
          </cell>
          <cell r="X93">
            <v>110</v>
          </cell>
          <cell r="Y93">
            <v>47372.181818181816</v>
          </cell>
          <cell r="Z93">
            <v>0</v>
          </cell>
          <cell r="AA93">
            <v>0</v>
          </cell>
          <cell r="AC93">
            <v>80</v>
          </cell>
          <cell r="AD93">
            <v>38073</v>
          </cell>
          <cell r="AF93">
            <v>0</v>
          </cell>
          <cell r="AG93">
            <v>0</v>
          </cell>
          <cell r="AH93">
            <v>0</v>
          </cell>
          <cell r="AI93">
            <v>269</v>
          </cell>
          <cell r="AJ93">
            <v>1</v>
          </cell>
          <cell r="AK93">
            <v>2349</v>
          </cell>
          <cell r="AL93">
            <v>122256.01212121213</v>
          </cell>
          <cell r="AM93">
            <v>1</v>
          </cell>
        </row>
        <row r="94">
          <cell r="D94">
            <v>115</v>
          </cell>
          <cell r="F94">
            <v>68</v>
          </cell>
          <cell r="L94">
            <v>0</v>
          </cell>
          <cell r="N94">
            <v>0</v>
          </cell>
          <cell r="P94">
            <v>350</v>
          </cell>
          <cell r="R94">
            <v>0</v>
          </cell>
          <cell r="S94">
            <v>920</v>
          </cell>
          <cell r="V94">
            <v>0</v>
          </cell>
          <cell r="X94">
            <v>110</v>
          </cell>
          <cell r="Z94">
            <v>0</v>
          </cell>
          <cell r="AA94">
            <v>0</v>
          </cell>
          <cell r="AC94">
            <v>80</v>
          </cell>
          <cell r="AF94">
            <v>0</v>
          </cell>
          <cell r="AG94">
            <v>0</v>
          </cell>
          <cell r="AH94">
            <v>0</v>
          </cell>
          <cell r="AI94">
            <v>5</v>
          </cell>
          <cell r="AJ94">
            <v>115</v>
          </cell>
          <cell r="AK94">
            <v>1796</v>
          </cell>
          <cell r="AL94">
            <v>122256.01212121212</v>
          </cell>
          <cell r="AM94">
            <v>115</v>
          </cell>
        </row>
        <row r="95">
          <cell r="P95">
            <v>0</v>
          </cell>
          <cell r="AG95">
            <v>0</v>
          </cell>
          <cell r="AJ95">
            <v>0</v>
          </cell>
          <cell r="AK95">
            <v>0</v>
          </cell>
          <cell r="AM95">
            <v>0</v>
          </cell>
        </row>
        <row r="96">
          <cell r="F96">
            <v>289</v>
          </cell>
          <cell r="S96">
            <v>0</v>
          </cell>
          <cell r="X96">
            <v>0</v>
          </cell>
          <cell r="AC96">
            <v>0</v>
          </cell>
          <cell r="AF96">
            <v>0</v>
          </cell>
          <cell r="AG96">
            <v>0</v>
          </cell>
          <cell r="AH96">
            <v>0</v>
          </cell>
          <cell r="AI96">
            <v>264</v>
          </cell>
          <cell r="AJ96">
            <v>0</v>
          </cell>
          <cell r="AK96">
            <v>553</v>
          </cell>
          <cell r="AM96">
            <v>0</v>
          </cell>
        </row>
        <row r="97">
          <cell r="D97">
            <v>115</v>
          </cell>
          <cell r="L97">
            <v>0</v>
          </cell>
          <cell r="N97">
            <v>0</v>
          </cell>
          <cell r="P97">
            <v>0</v>
          </cell>
          <cell r="R97">
            <v>0</v>
          </cell>
          <cell r="S97">
            <v>0</v>
          </cell>
          <cell r="V97">
            <v>5</v>
          </cell>
          <cell r="Z97">
            <v>0</v>
          </cell>
          <cell r="AA97">
            <v>0</v>
          </cell>
          <cell r="AF97">
            <v>39</v>
          </cell>
          <cell r="AG97">
            <v>0</v>
          </cell>
          <cell r="AJ97">
            <v>160</v>
          </cell>
          <cell r="AM97">
            <v>160</v>
          </cell>
        </row>
        <row r="98">
          <cell r="D98">
            <v>115</v>
          </cell>
          <cell r="L98">
            <v>0</v>
          </cell>
          <cell r="N98">
            <v>0</v>
          </cell>
          <cell r="R98">
            <v>0</v>
          </cell>
          <cell r="S98">
            <v>0</v>
          </cell>
          <cell r="V98">
            <v>0</v>
          </cell>
          <cell r="X98">
            <v>0</v>
          </cell>
          <cell r="Z98">
            <v>0</v>
          </cell>
          <cell r="AA98">
            <v>0</v>
          </cell>
          <cell r="AF98">
            <v>0</v>
          </cell>
          <cell r="AG98">
            <v>0</v>
          </cell>
          <cell r="AJ98">
            <v>116</v>
          </cell>
          <cell r="AM98">
            <v>116</v>
          </cell>
        </row>
        <row r="99">
          <cell r="L99">
            <v>0</v>
          </cell>
          <cell r="N99">
            <v>0</v>
          </cell>
          <cell r="R99">
            <v>0</v>
          </cell>
          <cell r="V99">
            <v>0</v>
          </cell>
          <cell r="Z99">
            <v>0</v>
          </cell>
          <cell r="AA99">
            <v>0</v>
          </cell>
          <cell r="AF99">
            <v>0</v>
          </cell>
          <cell r="AG99">
            <v>0</v>
          </cell>
          <cell r="AJ99">
            <v>0</v>
          </cell>
          <cell r="AM99">
            <v>0</v>
          </cell>
        </row>
        <row r="100">
          <cell r="D100">
            <v>0</v>
          </cell>
          <cell r="L100">
            <v>0</v>
          </cell>
          <cell r="N100">
            <v>0</v>
          </cell>
          <cell r="R100">
            <v>0</v>
          </cell>
          <cell r="V100">
            <v>5</v>
          </cell>
          <cell r="Z100">
            <v>0</v>
          </cell>
          <cell r="AA100">
            <v>0</v>
          </cell>
          <cell r="AF100">
            <v>39</v>
          </cell>
          <cell r="AG100">
            <v>0</v>
          </cell>
          <cell r="AJ100">
            <v>44</v>
          </cell>
          <cell r="AK100">
            <v>0</v>
          </cell>
          <cell r="AM100">
            <v>44</v>
          </cell>
        </row>
        <row r="101">
          <cell r="D101">
            <v>31</v>
          </cell>
          <cell r="L101">
            <v>0</v>
          </cell>
          <cell r="N101">
            <v>123</v>
          </cell>
          <cell r="R101">
            <v>0</v>
          </cell>
          <cell r="V101">
            <v>19</v>
          </cell>
          <cell r="Z101">
            <v>0</v>
          </cell>
          <cell r="AA101">
            <v>0</v>
          </cell>
          <cell r="AF101">
            <v>595</v>
          </cell>
          <cell r="AG101">
            <v>0</v>
          </cell>
          <cell r="AJ101">
            <v>768</v>
          </cell>
          <cell r="AK101">
            <v>0</v>
          </cell>
          <cell r="AM101">
            <v>768</v>
          </cell>
        </row>
        <row r="102">
          <cell r="D102">
            <v>31</v>
          </cell>
          <cell r="F102">
            <v>575.33333333333326</v>
          </cell>
          <cell r="L102">
            <v>0</v>
          </cell>
          <cell r="N102">
            <v>123</v>
          </cell>
          <cell r="P102">
            <v>7</v>
          </cell>
          <cell r="S102">
            <v>30</v>
          </cell>
          <cell r="V102">
            <v>0</v>
          </cell>
          <cell r="X102">
            <v>18</v>
          </cell>
          <cell r="Z102">
            <v>0</v>
          </cell>
          <cell r="AA102">
            <v>0</v>
          </cell>
          <cell r="AC102">
            <v>5</v>
          </cell>
          <cell r="AF102">
            <v>33.666666666666664</v>
          </cell>
          <cell r="AG102">
            <v>0</v>
          </cell>
          <cell r="AH102">
            <v>0</v>
          </cell>
          <cell r="AI102">
            <v>343</v>
          </cell>
          <cell r="AJ102">
            <v>154</v>
          </cell>
          <cell r="AK102">
            <v>1014.3333333333333</v>
          </cell>
          <cell r="AM102">
            <v>154</v>
          </cell>
        </row>
        <row r="103">
          <cell r="D103">
            <v>0</v>
          </cell>
          <cell r="F103">
            <v>289</v>
          </cell>
          <cell r="L103">
            <v>0</v>
          </cell>
          <cell r="N103">
            <v>0</v>
          </cell>
          <cell r="P103">
            <v>0</v>
          </cell>
          <cell r="R103">
            <v>0</v>
          </cell>
          <cell r="V103">
            <v>19</v>
          </cell>
          <cell r="X103">
            <v>0</v>
          </cell>
          <cell r="Z103">
            <v>0</v>
          </cell>
          <cell r="AA103">
            <v>0</v>
          </cell>
          <cell r="AC103">
            <v>0</v>
          </cell>
          <cell r="AF103">
            <v>595</v>
          </cell>
          <cell r="AG103">
            <v>0</v>
          </cell>
          <cell r="AH103">
            <v>0</v>
          </cell>
          <cell r="AI103">
            <v>264</v>
          </cell>
          <cell r="AJ103">
            <v>614</v>
          </cell>
          <cell r="AK103">
            <v>553</v>
          </cell>
          <cell r="AM103">
            <v>614</v>
          </cell>
        </row>
        <row r="104">
          <cell r="D104">
            <v>605.41409090909156</v>
          </cell>
          <cell r="F104">
            <v>0</v>
          </cell>
          <cell r="L104">
            <v>0</v>
          </cell>
          <cell r="N104">
            <v>197</v>
          </cell>
          <cell r="P104">
            <v>0</v>
          </cell>
          <cell r="S104">
            <v>0</v>
          </cell>
          <cell r="V104">
            <v>0</v>
          </cell>
          <cell r="X104">
            <v>0</v>
          </cell>
          <cell r="Z104">
            <v>0</v>
          </cell>
          <cell r="AA104">
            <v>0</v>
          </cell>
          <cell r="AC104">
            <v>0</v>
          </cell>
          <cell r="AF104">
            <v>0</v>
          </cell>
          <cell r="AG104">
            <v>0</v>
          </cell>
          <cell r="AH104">
            <v>0</v>
          </cell>
          <cell r="AI104">
            <v>0</v>
          </cell>
          <cell r="AJ104">
            <v>802.41409090909156</v>
          </cell>
          <cell r="AK104">
            <v>0</v>
          </cell>
          <cell r="AL104">
            <v>0</v>
          </cell>
          <cell r="AM104">
            <v>802.41409090909156</v>
          </cell>
        </row>
        <row r="105">
          <cell r="D105">
            <v>0</v>
          </cell>
          <cell r="F105">
            <v>286.33333333333331</v>
          </cell>
          <cell r="L105">
            <v>0</v>
          </cell>
          <cell r="N105">
            <v>197</v>
          </cell>
          <cell r="P105">
            <v>7</v>
          </cell>
          <cell r="S105">
            <v>30</v>
          </cell>
          <cell r="X105">
            <v>18</v>
          </cell>
          <cell r="AC105">
            <v>5</v>
          </cell>
          <cell r="AF105">
            <v>33.666666666666664</v>
          </cell>
          <cell r="AG105">
            <v>0</v>
          </cell>
          <cell r="AH105">
            <v>0</v>
          </cell>
          <cell r="AI105">
            <v>79</v>
          </cell>
          <cell r="AJ105">
            <v>197</v>
          </cell>
          <cell r="AK105">
            <v>461.33333333333331</v>
          </cell>
          <cell r="AM105">
            <v>197</v>
          </cell>
        </row>
        <row r="106">
          <cell r="D106">
            <v>0</v>
          </cell>
          <cell r="F106">
            <v>375</v>
          </cell>
          <cell r="P106">
            <v>14</v>
          </cell>
          <cell r="R106">
            <v>0</v>
          </cell>
          <cell r="S106">
            <v>157</v>
          </cell>
          <cell r="V106">
            <v>0</v>
          </cell>
          <cell r="X106">
            <v>17.666666666666668</v>
          </cell>
          <cell r="Z106">
            <v>0</v>
          </cell>
          <cell r="AA106">
            <v>0</v>
          </cell>
          <cell r="AC106">
            <v>19</v>
          </cell>
          <cell r="AF106">
            <v>30.333333333333332</v>
          </cell>
          <cell r="AG106">
            <v>0</v>
          </cell>
          <cell r="AH106">
            <v>0</v>
          </cell>
          <cell r="AI106">
            <v>843</v>
          </cell>
          <cell r="AJ106">
            <v>0</v>
          </cell>
          <cell r="AK106">
            <v>0</v>
          </cell>
          <cell r="AL106">
            <v>0</v>
          </cell>
          <cell r="AM106">
            <v>0</v>
          </cell>
        </row>
        <row r="107">
          <cell r="F107">
            <v>0</v>
          </cell>
          <cell r="L107">
            <v>0</v>
          </cell>
          <cell r="N107">
            <v>0</v>
          </cell>
          <cell r="P107">
            <v>0</v>
          </cell>
          <cell r="R107">
            <v>0</v>
          </cell>
          <cell r="S107">
            <v>120</v>
          </cell>
          <cell r="V107">
            <v>0</v>
          </cell>
          <cell r="Z107">
            <v>0</v>
          </cell>
          <cell r="AA107">
            <v>0</v>
          </cell>
          <cell r="AC107">
            <v>0</v>
          </cell>
          <cell r="AF107">
            <v>0</v>
          </cell>
          <cell r="AG107">
            <v>0</v>
          </cell>
          <cell r="AH107">
            <v>0</v>
          </cell>
          <cell r="AI107">
            <v>0</v>
          </cell>
          <cell r="AJ107">
            <v>0</v>
          </cell>
          <cell r="AK107">
            <v>120</v>
          </cell>
          <cell r="AM107">
            <v>0</v>
          </cell>
        </row>
        <row r="108">
          <cell r="D108">
            <v>0</v>
          </cell>
          <cell r="F108">
            <v>375</v>
          </cell>
          <cell r="L108">
            <v>0</v>
          </cell>
          <cell r="N108">
            <v>0</v>
          </cell>
          <cell r="P108">
            <v>14</v>
          </cell>
          <cell r="R108">
            <v>0</v>
          </cell>
          <cell r="S108">
            <v>37</v>
          </cell>
          <cell r="V108">
            <v>38</v>
          </cell>
          <cell r="X108">
            <v>17.666666666666668</v>
          </cell>
          <cell r="Z108">
            <v>0</v>
          </cell>
          <cell r="AA108">
            <v>0</v>
          </cell>
          <cell r="AC108">
            <v>19</v>
          </cell>
          <cell r="AF108">
            <v>363</v>
          </cell>
          <cell r="AG108">
            <v>0</v>
          </cell>
          <cell r="AH108">
            <v>0</v>
          </cell>
          <cell r="AI108">
            <v>843</v>
          </cell>
          <cell r="AJ108">
            <v>401</v>
          </cell>
          <cell r="AK108">
            <v>1343</v>
          </cell>
          <cell r="AM108">
            <v>401</v>
          </cell>
        </row>
        <row r="109">
          <cell r="D109">
            <v>2</v>
          </cell>
          <cell r="F109">
            <v>0</v>
          </cell>
          <cell r="L109">
            <v>0</v>
          </cell>
          <cell r="N109">
            <v>7</v>
          </cell>
          <cell r="P109">
            <v>0</v>
          </cell>
          <cell r="R109">
            <v>28</v>
          </cell>
          <cell r="S109">
            <v>250</v>
          </cell>
          <cell r="V109">
            <v>0</v>
          </cell>
          <cell r="Z109">
            <v>0</v>
          </cell>
          <cell r="AA109">
            <v>0</v>
          </cell>
          <cell r="AC109">
            <v>0</v>
          </cell>
          <cell r="AF109">
            <v>7</v>
          </cell>
          <cell r="AG109">
            <v>0</v>
          </cell>
          <cell r="AH109">
            <v>0</v>
          </cell>
          <cell r="AJ109">
            <v>44</v>
          </cell>
          <cell r="AK109">
            <v>250</v>
          </cell>
          <cell r="AM109">
            <v>44</v>
          </cell>
        </row>
        <row r="110">
          <cell r="D110">
            <v>401.20704545454578</v>
          </cell>
          <cell r="F110">
            <v>0</v>
          </cell>
          <cell r="P110">
            <v>0</v>
          </cell>
          <cell r="S110">
            <v>250</v>
          </cell>
          <cell r="AG110">
            <v>0</v>
          </cell>
          <cell r="AH110">
            <v>0</v>
          </cell>
          <cell r="AJ110">
            <v>401.20704545454578</v>
          </cell>
          <cell r="AK110">
            <v>250</v>
          </cell>
          <cell r="AM110">
            <v>401.20704545454578</v>
          </cell>
        </row>
        <row r="111">
          <cell r="D111">
            <v>0</v>
          </cell>
          <cell r="F111">
            <v>0</v>
          </cell>
          <cell r="P111">
            <v>0</v>
          </cell>
          <cell r="S111">
            <v>0</v>
          </cell>
          <cell r="X111">
            <v>0</v>
          </cell>
          <cell r="AC111">
            <v>0</v>
          </cell>
          <cell r="AF111">
            <v>0</v>
          </cell>
          <cell r="AG111">
            <v>0</v>
          </cell>
          <cell r="AH111">
            <v>0</v>
          </cell>
          <cell r="AJ111">
            <v>0</v>
          </cell>
          <cell r="AK111">
            <v>1722.5197727272771</v>
          </cell>
          <cell r="AL111">
            <v>0</v>
          </cell>
          <cell r="AM111">
            <v>0</v>
          </cell>
        </row>
        <row r="112">
          <cell r="D112">
            <v>3725</v>
          </cell>
          <cell r="P112">
            <v>0</v>
          </cell>
          <cell r="S112">
            <v>0</v>
          </cell>
          <cell r="X112">
            <v>0</v>
          </cell>
          <cell r="AC112">
            <v>0</v>
          </cell>
          <cell r="AF112">
            <v>0</v>
          </cell>
          <cell r="AG112">
            <v>0</v>
          </cell>
          <cell r="AH112">
            <v>0</v>
          </cell>
          <cell r="AJ112">
            <v>3725</v>
          </cell>
          <cell r="AK112">
            <v>0</v>
          </cell>
          <cell r="AM112">
            <v>3725</v>
          </cell>
        </row>
        <row r="113">
          <cell r="F113">
            <v>196</v>
          </cell>
          <cell r="P113">
            <v>273</v>
          </cell>
          <cell r="S113">
            <v>538</v>
          </cell>
          <cell r="X113">
            <v>237</v>
          </cell>
          <cell r="AC113">
            <v>172</v>
          </cell>
          <cell r="AF113">
            <v>535</v>
          </cell>
          <cell r="AG113">
            <v>535</v>
          </cell>
          <cell r="AH113">
            <v>0</v>
          </cell>
          <cell r="AI113">
            <v>952</v>
          </cell>
          <cell r="AJ113">
            <v>-3990</v>
          </cell>
          <cell r="AK113">
            <v>2987</v>
          </cell>
          <cell r="AM113">
            <v>0</v>
          </cell>
        </row>
        <row r="114">
          <cell r="D114">
            <v>0</v>
          </cell>
          <cell r="F114">
            <v>2</v>
          </cell>
          <cell r="P114">
            <v>0</v>
          </cell>
          <cell r="S114">
            <v>7</v>
          </cell>
          <cell r="X114">
            <v>40</v>
          </cell>
          <cell r="AC114">
            <v>0</v>
          </cell>
          <cell r="AF114">
            <v>0</v>
          </cell>
          <cell r="AG114">
            <v>0</v>
          </cell>
          <cell r="AH114">
            <v>0</v>
          </cell>
          <cell r="AI114">
            <v>6.7</v>
          </cell>
          <cell r="AJ114">
            <v>0</v>
          </cell>
          <cell r="AK114">
            <v>55.7</v>
          </cell>
        </row>
        <row r="115">
          <cell r="D115">
            <v>4879.6211363636376</v>
          </cell>
          <cell r="E115">
            <v>0</v>
          </cell>
          <cell r="F115">
            <v>0</v>
          </cell>
          <cell r="L115">
            <v>0</v>
          </cell>
          <cell r="N115">
            <v>327</v>
          </cell>
          <cell r="P115" t="e">
            <v>#VALUE!</v>
          </cell>
          <cell r="Q115">
            <v>0</v>
          </cell>
          <cell r="R115">
            <v>28</v>
          </cell>
          <cell r="T115">
            <v>0</v>
          </cell>
          <cell r="U115">
            <v>0</v>
          </cell>
          <cell r="V115">
            <v>62</v>
          </cell>
          <cell r="X115">
            <v>0</v>
          </cell>
          <cell r="Y115">
            <v>0</v>
          </cell>
          <cell r="Z115">
            <v>0</v>
          </cell>
          <cell r="AA115">
            <v>0</v>
          </cell>
          <cell r="AB115">
            <v>0</v>
          </cell>
          <cell r="AF115">
            <v>1004</v>
          </cell>
          <cell r="AG115">
            <v>0</v>
          </cell>
          <cell r="AJ115">
            <v>6301.6211363636376</v>
          </cell>
          <cell r="AK115">
            <v>588.33333333333337</v>
          </cell>
          <cell r="AN115">
            <v>0</v>
          </cell>
          <cell r="AO115">
            <v>0</v>
          </cell>
          <cell r="AP115">
            <v>0</v>
          </cell>
          <cell r="AQ115">
            <v>0</v>
          </cell>
        </row>
        <row r="116">
          <cell r="D116">
            <v>868.41409090909156</v>
          </cell>
          <cell r="E116">
            <v>0</v>
          </cell>
          <cell r="F116">
            <v>0</v>
          </cell>
          <cell r="L116">
            <v>0</v>
          </cell>
          <cell r="N116">
            <v>327</v>
          </cell>
          <cell r="R116">
            <v>28</v>
          </cell>
          <cell r="S116">
            <v>0</v>
          </cell>
          <cell r="T116">
            <v>0</v>
          </cell>
          <cell r="U116">
            <v>0</v>
          </cell>
          <cell r="V116">
            <v>62</v>
          </cell>
          <cell r="X116">
            <v>0</v>
          </cell>
          <cell r="Z116">
            <v>0</v>
          </cell>
          <cell r="AA116">
            <v>0</v>
          </cell>
          <cell r="AF116">
            <v>1004</v>
          </cell>
          <cell r="AG116">
            <v>0</v>
          </cell>
          <cell r="AJ116">
            <v>8024.1409090909146</v>
          </cell>
          <cell r="AK116">
            <v>0</v>
          </cell>
        </row>
        <row r="117">
          <cell r="F117">
            <v>5733.333333333333</v>
          </cell>
          <cell r="AG117">
            <v>0</v>
          </cell>
          <cell r="AJ117">
            <v>8024.1409090909146</v>
          </cell>
          <cell r="AK117">
            <v>5733.333333333333</v>
          </cell>
        </row>
        <row r="118">
          <cell r="F118">
            <v>0</v>
          </cell>
          <cell r="AG118">
            <v>0</v>
          </cell>
          <cell r="AJ118">
            <v>8024.1409090909146</v>
          </cell>
          <cell r="AK118">
            <v>6301.6211363636376</v>
          </cell>
        </row>
        <row r="119">
          <cell r="F119">
            <v>-20223</v>
          </cell>
          <cell r="AG119">
            <v>0</v>
          </cell>
          <cell r="AJ119">
            <v>11463.140909090915</v>
          </cell>
          <cell r="AK119">
            <v>3558.2157052250041</v>
          </cell>
          <cell r="AL119">
            <v>7039.6752038659033</v>
          </cell>
        </row>
        <row r="120">
          <cell r="F120">
            <v>0</v>
          </cell>
          <cell r="AG120">
            <v>0</v>
          </cell>
          <cell r="AK120">
            <v>-3990</v>
          </cell>
        </row>
        <row r="121">
          <cell r="F121">
            <v>7470</v>
          </cell>
          <cell r="P121">
            <v>294</v>
          </cell>
          <cell r="Q121">
            <v>0</v>
          </cell>
          <cell r="R121">
            <v>0</v>
          </cell>
          <cell r="S121">
            <v>982</v>
          </cell>
          <cell r="T121">
            <v>0</v>
          </cell>
          <cell r="U121">
            <v>0</v>
          </cell>
          <cell r="V121">
            <v>0</v>
          </cell>
          <cell r="W121">
            <v>0</v>
          </cell>
          <cell r="X121">
            <v>312.66666666666669</v>
          </cell>
          <cell r="Y121">
            <v>0</v>
          </cell>
          <cell r="Z121">
            <v>0</v>
          </cell>
          <cell r="AA121">
            <v>0</v>
          </cell>
          <cell r="AB121">
            <v>0</v>
          </cell>
          <cell r="AC121">
            <v>196</v>
          </cell>
          <cell r="AD121">
            <v>0</v>
          </cell>
          <cell r="AE121">
            <v>0</v>
          </cell>
          <cell r="AF121">
            <v>599</v>
          </cell>
          <cell r="AG121">
            <v>0</v>
          </cell>
          <cell r="AH121">
            <v>0</v>
          </cell>
          <cell r="AI121">
            <v>2144.6999999999998</v>
          </cell>
          <cell r="AJ121">
            <v>3439</v>
          </cell>
          <cell r="AK121">
            <v>12091.699999999999</v>
          </cell>
          <cell r="AN121">
            <v>0</v>
          </cell>
          <cell r="AO121">
            <v>0</v>
          </cell>
          <cell r="AP121">
            <v>0</v>
          </cell>
          <cell r="AQ121">
            <v>0</v>
          </cell>
        </row>
        <row r="122">
          <cell r="F122">
            <v>7470</v>
          </cell>
          <cell r="P122">
            <v>294</v>
          </cell>
          <cell r="S122">
            <v>982</v>
          </cell>
          <cell r="X122">
            <v>312.66666666666669</v>
          </cell>
          <cell r="Y122">
            <v>0</v>
          </cell>
          <cell r="Z122">
            <v>0</v>
          </cell>
          <cell r="AC122">
            <v>196</v>
          </cell>
          <cell r="AD122">
            <v>0</v>
          </cell>
          <cell r="AE122">
            <v>0</v>
          </cell>
          <cell r="AF122">
            <v>599</v>
          </cell>
          <cell r="AG122">
            <v>0</v>
          </cell>
          <cell r="AH122">
            <v>0</v>
          </cell>
          <cell r="AI122">
            <v>2144.6999999999998</v>
          </cell>
          <cell r="AJ122">
            <v>0</v>
          </cell>
          <cell r="AK122">
            <v>-8131.3000000000011</v>
          </cell>
        </row>
        <row r="123">
          <cell r="AG123">
            <v>0</v>
          </cell>
          <cell r="AK123">
            <v>-8308.373484848491</v>
          </cell>
          <cell r="AL123">
            <v>12091.699999999997</v>
          </cell>
        </row>
        <row r="124">
          <cell r="AG124">
            <v>0</v>
          </cell>
          <cell r="AJ124">
            <v>66995</v>
          </cell>
          <cell r="AK124">
            <v>-4318.373484848491</v>
          </cell>
          <cell r="AL124">
            <v>66995</v>
          </cell>
          <cell r="AN124">
            <v>0</v>
          </cell>
          <cell r="AP124">
            <v>0</v>
          </cell>
        </row>
        <row r="125">
          <cell r="AG125">
            <v>0</v>
          </cell>
          <cell r="AJ125">
            <v>7039.6752038659033</v>
          </cell>
          <cell r="AK125">
            <v>-6480.7621212121303</v>
          </cell>
          <cell r="AL125">
            <v>-3043.7227272727177</v>
          </cell>
          <cell r="AM125">
            <v>-4302.289393939398</v>
          </cell>
          <cell r="AN125">
            <v>0</v>
          </cell>
        </row>
        <row r="126">
          <cell r="AG126">
            <v>0</v>
          </cell>
          <cell r="AJ126">
            <v>35.409999999999997</v>
          </cell>
          <cell r="AN126" t="e">
            <v>#DIV/0!</v>
          </cell>
        </row>
        <row r="127">
          <cell r="AG127">
            <v>0</v>
          </cell>
          <cell r="AJ127">
            <v>31.69</v>
          </cell>
          <cell r="AK127">
            <v>-2162.3886363636389</v>
          </cell>
          <cell r="AN127" t="e">
            <v>#DIV/0!</v>
          </cell>
        </row>
        <row r="128">
          <cell r="AG128">
            <v>0</v>
          </cell>
          <cell r="AJ128">
            <v>0</v>
          </cell>
          <cell r="AN128">
            <v>0</v>
          </cell>
        </row>
        <row r="129">
          <cell r="AG129">
            <v>0</v>
          </cell>
        </row>
        <row r="130">
          <cell r="AG130">
            <v>0</v>
          </cell>
          <cell r="AJ130">
            <v>9.5299999999999994</v>
          </cell>
          <cell r="AK130">
            <v>59008</v>
          </cell>
          <cell r="AM130">
            <v>59008</v>
          </cell>
          <cell r="AN130" t="e">
            <v>#DIV/0!</v>
          </cell>
          <cell r="AP130">
            <v>0</v>
          </cell>
        </row>
        <row r="131">
          <cell r="AG131">
            <v>0</v>
          </cell>
          <cell r="AJ131">
            <v>0</v>
          </cell>
          <cell r="AK131">
            <v>-4302.289393939398</v>
          </cell>
          <cell r="AN131">
            <v>0</v>
          </cell>
        </row>
        <row r="132">
          <cell r="AG132">
            <v>0</v>
          </cell>
          <cell r="AJ132">
            <v>8.9600000000000009</v>
          </cell>
          <cell r="AK132">
            <v>35.549999999999997</v>
          </cell>
          <cell r="AN132" t="e">
            <v>#DIV/0!</v>
          </cell>
        </row>
        <row r="133">
          <cell r="AG133">
            <v>0</v>
          </cell>
          <cell r="AJ133">
            <v>59002</v>
          </cell>
          <cell r="AK133">
            <v>59002</v>
          </cell>
          <cell r="AN133" t="e">
            <v>#DIV/0!</v>
          </cell>
        </row>
        <row r="134">
          <cell r="AG134">
            <v>0</v>
          </cell>
          <cell r="AK134">
            <v>0</v>
          </cell>
          <cell r="AN134">
            <v>0</v>
          </cell>
        </row>
        <row r="135">
          <cell r="AG135">
            <v>0</v>
          </cell>
          <cell r="AJ135">
            <v>865.25</v>
          </cell>
        </row>
        <row r="136">
          <cell r="AG136">
            <v>0</v>
          </cell>
          <cell r="AJ136">
            <v>0</v>
          </cell>
          <cell r="AK136">
            <v>11.69</v>
          </cell>
          <cell r="AN136" t="e">
            <v>#DIV/0!</v>
          </cell>
        </row>
        <row r="137">
          <cell r="AG137">
            <v>0</v>
          </cell>
        </row>
        <row r="138">
          <cell r="AG138">
            <v>0</v>
          </cell>
          <cell r="AJ138">
            <v>125997</v>
          </cell>
          <cell r="AK138">
            <v>59002</v>
          </cell>
          <cell r="AL138">
            <v>66995</v>
          </cell>
          <cell r="AN138">
            <v>0</v>
          </cell>
        </row>
        <row r="139">
          <cell r="AG139">
            <v>0</v>
          </cell>
          <cell r="AJ139">
            <v>0</v>
          </cell>
          <cell r="AK139">
            <v>0</v>
          </cell>
          <cell r="AL139">
            <v>55902</v>
          </cell>
        </row>
        <row r="140">
          <cell r="AG140">
            <v>0</v>
          </cell>
          <cell r="AJ140">
            <v>125997</v>
          </cell>
          <cell r="AK140">
            <v>59002</v>
          </cell>
          <cell r="AL140">
            <v>66995</v>
          </cell>
        </row>
        <row r="141">
          <cell r="AG141">
            <v>0</v>
          </cell>
          <cell r="AJ141">
            <v>300</v>
          </cell>
          <cell r="AN141">
            <v>1908</v>
          </cell>
          <cell r="AO141">
            <v>5242</v>
          </cell>
          <cell r="AP141">
            <v>4447.7842947749923</v>
          </cell>
          <cell r="AQ141">
            <v>10724.3247961341</v>
          </cell>
        </row>
        <row r="142">
          <cell r="AG142">
            <v>0</v>
          </cell>
          <cell r="AK142">
            <v>17273.857142857141</v>
          </cell>
          <cell r="AL142">
            <v>20710.896536796539</v>
          </cell>
          <cell r="AM142">
            <v>-4302.289393939398</v>
          </cell>
        </row>
        <row r="143">
          <cell r="S143">
            <v>0</v>
          </cell>
          <cell r="AG143">
            <v>0</v>
          </cell>
          <cell r="AK143">
            <v>865.25</v>
          </cell>
          <cell r="AL143">
            <v>16408.607142857141</v>
          </cell>
        </row>
        <row r="144">
          <cell r="AG144">
            <v>0</v>
          </cell>
        </row>
        <row r="145">
          <cell r="AG145">
            <v>0</v>
          </cell>
          <cell r="AJ145">
            <v>0</v>
          </cell>
          <cell r="AK145">
            <v>114910</v>
          </cell>
          <cell r="AL145">
            <v>55902</v>
          </cell>
          <cell r="AM145">
            <v>59008</v>
          </cell>
          <cell r="AN145">
            <v>0</v>
          </cell>
        </row>
        <row r="146">
          <cell r="AG146">
            <v>0</v>
          </cell>
          <cell r="AK146">
            <v>0</v>
          </cell>
        </row>
        <row r="147">
          <cell r="AG147">
            <v>0</v>
          </cell>
          <cell r="AJ147">
            <v>9.93</v>
          </cell>
          <cell r="AK147">
            <v>6.42</v>
          </cell>
          <cell r="AL147">
            <v>11.74</v>
          </cell>
          <cell r="AM147">
            <v>59008</v>
          </cell>
        </row>
        <row r="148">
          <cell r="AG148">
            <v>0</v>
          </cell>
          <cell r="AK148">
            <v>138664.61926406925</v>
          </cell>
          <cell r="AL148">
            <v>79656.619264069261</v>
          </cell>
          <cell r="AM148">
            <v>59008</v>
          </cell>
          <cell r="AN148">
            <v>1886</v>
          </cell>
          <cell r="AO148">
            <v>5095</v>
          </cell>
          <cell r="AP148">
            <v>3319.7203422122484</v>
          </cell>
          <cell r="AQ148">
            <v>8590.0725425024775</v>
          </cell>
        </row>
        <row r="149">
          <cell r="D149">
            <v>0</v>
          </cell>
          <cell r="L149">
            <v>0</v>
          </cell>
          <cell r="N149">
            <v>0</v>
          </cell>
          <cell r="R149">
            <v>0</v>
          </cell>
          <cell r="V149">
            <v>0</v>
          </cell>
          <cell r="AF149">
            <v>0</v>
          </cell>
          <cell r="AG149">
            <v>0</v>
          </cell>
          <cell r="AJ149">
            <v>0</v>
          </cell>
          <cell r="AK149">
            <v>-5.3</v>
          </cell>
          <cell r="AL149">
            <v>-5.2</v>
          </cell>
          <cell r="AM149">
            <v>-6.8</v>
          </cell>
        </row>
        <row r="150">
          <cell r="D150">
            <v>63</v>
          </cell>
          <cell r="L150">
            <v>396</v>
          </cell>
          <cell r="N150">
            <v>776</v>
          </cell>
          <cell r="R150">
            <v>527</v>
          </cell>
          <cell r="V150">
            <v>417</v>
          </cell>
          <cell r="Z150">
            <v>265</v>
          </cell>
          <cell r="AA150">
            <v>265</v>
          </cell>
          <cell r="AG150">
            <v>0</v>
          </cell>
          <cell r="AJ150">
            <v>2463</v>
          </cell>
          <cell r="AK150">
            <v>14.129249632100526</v>
          </cell>
          <cell r="AL150">
            <v>35.135537539544195</v>
          </cell>
          <cell r="AM150">
            <v>-6.7955610930302432</v>
          </cell>
        </row>
        <row r="151">
          <cell r="D151">
            <v>63</v>
          </cell>
          <cell r="L151">
            <v>145</v>
          </cell>
          <cell r="N151">
            <v>211</v>
          </cell>
          <cell r="R151">
            <v>226</v>
          </cell>
          <cell r="V151">
            <v>198</v>
          </cell>
          <cell r="Z151">
            <v>84</v>
          </cell>
          <cell r="AA151">
            <v>84</v>
          </cell>
          <cell r="AG151">
            <v>0</v>
          </cell>
          <cell r="AJ151">
            <v>946</v>
          </cell>
          <cell r="AL151">
            <v>16.65759499457743</v>
          </cell>
          <cell r="AM151">
            <v>35.546987951807232</v>
          </cell>
        </row>
        <row r="152">
          <cell r="L152">
            <v>283</v>
          </cell>
          <cell r="N152">
            <v>314</v>
          </cell>
          <cell r="R152">
            <v>263</v>
          </cell>
          <cell r="V152">
            <v>219</v>
          </cell>
          <cell r="Z152">
            <v>133</v>
          </cell>
          <cell r="AA152">
            <v>133</v>
          </cell>
          <cell r="AJ152">
            <v>1212</v>
          </cell>
        </row>
        <row r="153">
          <cell r="F153">
            <v>0</v>
          </cell>
          <cell r="L153">
            <v>72</v>
          </cell>
          <cell r="N153">
            <v>460</v>
          </cell>
          <cell r="P153">
            <v>0</v>
          </cell>
          <cell r="R153">
            <v>264</v>
          </cell>
          <cell r="S153">
            <v>0</v>
          </cell>
          <cell r="V153">
            <v>198</v>
          </cell>
          <cell r="X153">
            <v>0</v>
          </cell>
          <cell r="Z153">
            <v>121</v>
          </cell>
          <cell r="AA153">
            <v>121</v>
          </cell>
          <cell r="AC153">
            <v>0</v>
          </cell>
          <cell r="AI153">
            <v>0</v>
          </cell>
          <cell r="AJ153">
            <v>1115</v>
          </cell>
          <cell r="AK153">
            <v>0</v>
          </cell>
        </row>
        <row r="154">
          <cell r="F154">
            <v>63</v>
          </cell>
          <cell r="P154">
            <v>370</v>
          </cell>
          <cell r="S154">
            <v>719</v>
          </cell>
          <cell r="X154">
            <v>550</v>
          </cell>
          <cell r="AC154">
            <v>480</v>
          </cell>
          <cell r="AF154">
            <v>506</v>
          </cell>
          <cell r="AG154">
            <v>506</v>
          </cell>
          <cell r="AH154">
            <v>0</v>
          </cell>
          <cell r="AJ154">
            <v>0</v>
          </cell>
          <cell r="AK154">
            <v>2688</v>
          </cell>
        </row>
        <row r="155">
          <cell r="F155">
            <v>63</v>
          </cell>
          <cell r="L155">
            <v>0</v>
          </cell>
          <cell r="P155">
            <v>160</v>
          </cell>
          <cell r="S155">
            <v>215</v>
          </cell>
          <cell r="V155">
            <v>369</v>
          </cell>
          <cell r="X155">
            <v>225</v>
          </cell>
          <cell r="AC155">
            <v>250</v>
          </cell>
          <cell r="AF155">
            <v>300</v>
          </cell>
          <cell r="AG155">
            <v>300</v>
          </cell>
          <cell r="AH155">
            <v>0</v>
          </cell>
          <cell r="AJ155">
            <v>369</v>
          </cell>
          <cell r="AK155">
            <v>913</v>
          </cell>
        </row>
        <row r="156">
          <cell r="F156">
            <v>63</v>
          </cell>
          <cell r="L156">
            <v>0</v>
          </cell>
          <cell r="N156">
            <v>0</v>
          </cell>
          <cell r="P156">
            <v>40</v>
          </cell>
          <cell r="R156">
            <v>0</v>
          </cell>
          <cell r="S156">
            <v>93</v>
          </cell>
          <cell r="V156">
            <v>0</v>
          </cell>
          <cell r="X156">
            <v>49</v>
          </cell>
          <cell r="AC156">
            <v>65</v>
          </cell>
          <cell r="AF156">
            <v>30</v>
          </cell>
          <cell r="AG156">
            <v>30</v>
          </cell>
          <cell r="AH156">
            <v>0</v>
          </cell>
          <cell r="AI156">
            <v>125</v>
          </cell>
          <cell r="AJ156">
            <v>0</v>
          </cell>
          <cell r="AK156">
            <v>465</v>
          </cell>
        </row>
        <row r="157">
          <cell r="D157">
            <v>17.179166666666667</v>
          </cell>
          <cell r="L157">
            <v>502</v>
          </cell>
          <cell r="N157">
            <v>1041.8333333333333</v>
          </cell>
          <cell r="R157">
            <v>213</v>
          </cell>
          <cell r="AJ157">
            <v>1774.0124999999998</v>
          </cell>
          <cell r="AK157">
            <v>0</v>
          </cell>
        </row>
        <row r="158">
          <cell r="L158">
            <v>0</v>
          </cell>
          <cell r="N158">
            <v>0</v>
          </cell>
          <cell r="R158">
            <v>0</v>
          </cell>
          <cell r="AJ158">
            <v>0</v>
          </cell>
          <cell r="AK158">
            <v>0</v>
          </cell>
        </row>
        <row r="159">
          <cell r="D159">
            <v>0</v>
          </cell>
          <cell r="F159">
            <v>14.170833333333334</v>
          </cell>
          <cell r="L159">
            <v>396</v>
          </cell>
          <cell r="N159">
            <v>776</v>
          </cell>
          <cell r="R159">
            <v>527</v>
          </cell>
          <cell r="V159">
            <v>417</v>
          </cell>
          <cell r="Z159">
            <v>265</v>
          </cell>
          <cell r="AA159">
            <v>265</v>
          </cell>
          <cell r="AJ159">
            <v>2381</v>
          </cell>
          <cell r="AK159">
            <v>14.170833333333334</v>
          </cell>
        </row>
        <row r="160">
          <cell r="L160">
            <v>396</v>
          </cell>
          <cell r="N160">
            <v>776</v>
          </cell>
          <cell r="P160">
            <v>73</v>
          </cell>
          <cell r="R160">
            <v>527</v>
          </cell>
          <cell r="S160">
            <v>407</v>
          </cell>
          <cell r="V160">
            <v>417</v>
          </cell>
          <cell r="X160">
            <v>271.81818181818181</v>
          </cell>
          <cell r="AC160">
            <v>197</v>
          </cell>
          <cell r="AG160">
            <v>117.09090909090909</v>
          </cell>
          <cell r="AJ160">
            <v>2135</v>
          </cell>
          <cell r="AK160">
            <v>948.81818181818176</v>
          </cell>
        </row>
        <row r="161">
          <cell r="D161">
            <v>80</v>
          </cell>
          <cell r="F161">
            <v>-396</v>
          </cell>
          <cell r="L161">
            <v>0</v>
          </cell>
          <cell r="N161">
            <v>0</v>
          </cell>
          <cell r="R161">
            <v>0</v>
          </cell>
          <cell r="S161">
            <v>312</v>
          </cell>
          <cell r="V161">
            <v>0</v>
          </cell>
          <cell r="X161">
            <v>278.18181818181819</v>
          </cell>
          <cell r="AC161">
            <v>283</v>
          </cell>
          <cell r="AJ161">
            <v>80</v>
          </cell>
          <cell r="AK161">
            <v>477.18181818181819</v>
          </cell>
        </row>
        <row r="162">
          <cell r="L162">
            <v>0</v>
          </cell>
          <cell r="N162">
            <v>0</v>
          </cell>
          <cell r="R162">
            <v>1530</v>
          </cell>
          <cell r="S162">
            <v>719</v>
          </cell>
          <cell r="V162">
            <v>0</v>
          </cell>
          <cell r="X162">
            <v>550</v>
          </cell>
          <cell r="Z162">
            <v>0</v>
          </cell>
          <cell r="AA162">
            <v>0</v>
          </cell>
          <cell r="AC162">
            <v>480</v>
          </cell>
          <cell r="AJ162">
            <v>1530</v>
          </cell>
        </row>
        <row r="163">
          <cell r="F163">
            <v>459</v>
          </cell>
          <cell r="L163">
            <v>0</v>
          </cell>
          <cell r="P163">
            <v>0</v>
          </cell>
          <cell r="S163">
            <v>0</v>
          </cell>
          <cell r="X163">
            <v>0</v>
          </cell>
          <cell r="AC163">
            <v>0</v>
          </cell>
          <cell r="AJ163">
            <v>0</v>
          </cell>
          <cell r="AK163">
            <v>459</v>
          </cell>
        </row>
        <row r="164">
          <cell r="D164">
            <v>233</v>
          </cell>
          <cell r="E164">
            <v>0</v>
          </cell>
          <cell r="F164">
            <v>0</v>
          </cell>
          <cell r="L164">
            <v>432</v>
          </cell>
          <cell r="N164">
            <v>1983</v>
          </cell>
          <cell r="P164">
            <v>0</v>
          </cell>
          <cell r="Q164">
            <v>0</v>
          </cell>
          <cell r="R164">
            <v>123</v>
          </cell>
          <cell r="S164">
            <v>296</v>
          </cell>
          <cell r="T164">
            <v>0</v>
          </cell>
          <cell r="U164">
            <v>0</v>
          </cell>
          <cell r="V164">
            <v>99</v>
          </cell>
          <cell r="X164">
            <v>0</v>
          </cell>
          <cell r="Y164">
            <v>0</v>
          </cell>
          <cell r="Z164">
            <v>74</v>
          </cell>
          <cell r="AA164">
            <v>74</v>
          </cell>
          <cell r="AC164">
            <v>444</v>
          </cell>
          <cell r="AF164">
            <v>0</v>
          </cell>
          <cell r="AG164">
            <v>0</v>
          </cell>
          <cell r="AH164">
            <v>0</v>
          </cell>
          <cell r="AJ164">
            <v>2956</v>
          </cell>
          <cell r="AK164">
            <v>1365</v>
          </cell>
        </row>
        <row r="165">
          <cell r="D165">
            <v>357.72727272727275</v>
          </cell>
          <cell r="E165">
            <v>126</v>
          </cell>
          <cell r="F165">
            <v>231.72727272727275</v>
          </cell>
          <cell r="L165">
            <v>725.72727272727275</v>
          </cell>
          <cell r="M165">
            <v>674</v>
          </cell>
          <cell r="N165">
            <v>1684.4545454545455</v>
          </cell>
          <cell r="O165">
            <v>933</v>
          </cell>
          <cell r="P165">
            <v>715.32272727272721</v>
          </cell>
          <cell r="Q165">
            <v>969.13181818181829</v>
          </cell>
          <cell r="R165">
            <v>653.90909090909099</v>
          </cell>
          <cell r="S165">
            <v>613</v>
          </cell>
          <cell r="T165">
            <v>280</v>
          </cell>
          <cell r="U165">
            <v>373.90909090909093</v>
          </cell>
          <cell r="V165">
            <v>578.63636363636363</v>
          </cell>
          <cell r="W165">
            <v>494</v>
          </cell>
          <cell r="X165">
            <v>221</v>
          </cell>
          <cell r="Y165">
            <v>319.63636363636363</v>
          </cell>
          <cell r="Z165">
            <v>1439.5454545454545</v>
          </cell>
          <cell r="AA165">
            <v>1439.5454545454545</v>
          </cell>
          <cell r="AB165">
            <v>0</v>
          </cell>
          <cell r="AC165">
            <v>1329</v>
          </cell>
          <cell r="AD165">
            <v>1329</v>
          </cell>
          <cell r="AE165">
            <v>0</v>
          </cell>
          <cell r="AF165">
            <v>363</v>
          </cell>
          <cell r="AG165">
            <v>0</v>
          </cell>
          <cell r="AH165">
            <v>0</v>
          </cell>
          <cell r="AI165">
            <v>0</v>
          </cell>
          <cell r="AJ165">
            <v>5717.909090909091</v>
          </cell>
          <cell r="AK165">
            <v>1470.818181818182</v>
          </cell>
          <cell r="AL165">
            <v>3846.090909090909</v>
          </cell>
        </row>
        <row r="166">
          <cell r="D166">
            <v>1888.0000000000002</v>
          </cell>
          <cell r="E166">
            <v>-130</v>
          </cell>
          <cell r="F166">
            <v>-242.72727272727275</v>
          </cell>
          <cell r="L166">
            <v>480.00000000000023</v>
          </cell>
          <cell r="M166">
            <v>-675</v>
          </cell>
          <cell r="N166">
            <v>3817.9999999999986</v>
          </cell>
          <cell r="O166">
            <v>-953</v>
          </cell>
          <cell r="P166">
            <v>20079.88</v>
          </cell>
          <cell r="Q166">
            <v>2082.1200000000003</v>
          </cell>
          <cell r="R166">
            <v>61.999999999997272</v>
          </cell>
          <cell r="S166">
            <v>-1451</v>
          </cell>
          <cell r="T166">
            <v>-711</v>
          </cell>
          <cell r="U166">
            <v>-931.90909090909099</v>
          </cell>
          <cell r="V166">
            <v>177.9999999999967</v>
          </cell>
          <cell r="W166">
            <v>1199</v>
          </cell>
          <cell r="X166">
            <v>-238</v>
          </cell>
          <cell r="Y166">
            <v>-343.63636363636363</v>
          </cell>
          <cell r="Z166">
            <v>1327.3333333333333</v>
          </cell>
          <cell r="AA166">
            <v>749</v>
          </cell>
          <cell r="AB166">
            <v>578.33333333333337</v>
          </cell>
          <cell r="AC166" t="e">
            <v>#VALUE!</v>
          </cell>
          <cell r="AD166">
            <v>1463</v>
          </cell>
          <cell r="AE166">
            <v>0</v>
          </cell>
          <cell r="AF166">
            <v>-965</v>
          </cell>
          <cell r="AG166">
            <v>0</v>
          </cell>
          <cell r="AH166">
            <v>0</v>
          </cell>
          <cell r="AI166">
            <v>0</v>
          </cell>
          <cell r="AJ166">
            <v>-12895.109090909093</v>
          </cell>
          <cell r="AK166">
            <v>-1983.818181818182</v>
          </cell>
          <cell r="AL166">
            <v>-2541.2909090909088</v>
          </cell>
        </row>
        <row r="167">
          <cell r="D167">
            <v>17</v>
          </cell>
          <cell r="E167">
            <v>4</v>
          </cell>
          <cell r="F167">
            <v>11</v>
          </cell>
          <cell r="L167">
            <v>61</v>
          </cell>
          <cell r="M167">
            <v>1</v>
          </cell>
          <cell r="N167">
            <v>29</v>
          </cell>
          <cell r="O167">
            <v>20</v>
          </cell>
          <cell r="P167">
            <v>22</v>
          </cell>
          <cell r="Q167">
            <v>0</v>
          </cell>
          <cell r="R167">
            <v>1017</v>
          </cell>
          <cell r="S167">
            <v>838</v>
          </cell>
          <cell r="T167">
            <v>431</v>
          </cell>
          <cell r="U167">
            <v>558</v>
          </cell>
          <cell r="V167">
            <v>41</v>
          </cell>
          <cell r="W167">
            <v>7</v>
          </cell>
          <cell r="X167">
            <v>17</v>
          </cell>
          <cell r="Y167">
            <v>24</v>
          </cell>
          <cell r="Z167">
            <v>12.333333333333334</v>
          </cell>
          <cell r="AA167">
            <v>0</v>
          </cell>
          <cell r="AB167">
            <v>12.333333333333334</v>
          </cell>
          <cell r="AC167">
            <v>28</v>
          </cell>
          <cell r="AD167">
            <v>0</v>
          </cell>
          <cell r="AE167">
            <v>0</v>
          </cell>
          <cell r="AF167">
            <v>7</v>
          </cell>
          <cell r="AG167">
            <v>0</v>
          </cell>
          <cell r="AH167">
            <v>0</v>
          </cell>
          <cell r="AI167">
            <v>0</v>
          </cell>
          <cell r="AJ167">
            <v>1144.2</v>
          </cell>
          <cell r="AK167">
            <v>513</v>
          </cell>
          <cell r="AL167">
            <v>587.20000000000005</v>
          </cell>
        </row>
        <row r="168">
          <cell r="F168">
            <v>0</v>
          </cell>
          <cell r="P168">
            <v>2000</v>
          </cell>
          <cell r="S168">
            <v>2000</v>
          </cell>
          <cell r="AC168">
            <v>1000</v>
          </cell>
          <cell r="AF168">
            <v>100</v>
          </cell>
          <cell r="AG168">
            <v>100</v>
          </cell>
          <cell r="AK168">
            <v>5100</v>
          </cell>
        </row>
        <row r="169">
          <cell r="AK169">
            <v>0</v>
          </cell>
        </row>
        <row r="170">
          <cell r="F170">
            <v>5733.333333333333</v>
          </cell>
          <cell r="AC170">
            <v>200</v>
          </cell>
          <cell r="AK170">
            <v>5933.333333333333</v>
          </cell>
        </row>
        <row r="171">
          <cell r="F171">
            <v>592</v>
          </cell>
          <cell r="P171">
            <v>964</v>
          </cell>
          <cell r="Q171">
            <v>0</v>
          </cell>
          <cell r="R171">
            <v>0</v>
          </cell>
          <cell r="S171">
            <v>2067</v>
          </cell>
          <cell r="T171">
            <v>549.83999999999992</v>
          </cell>
          <cell r="U171">
            <v>572.16000000000008</v>
          </cell>
          <cell r="V171">
            <v>0</v>
          </cell>
          <cell r="W171">
            <v>0</v>
          </cell>
          <cell r="X171">
            <v>836</v>
          </cell>
          <cell r="AA171">
            <v>0</v>
          </cell>
          <cell r="AB171">
            <v>0</v>
          </cell>
          <cell r="AC171">
            <v>658</v>
          </cell>
          <cell r="AF171">
            <v>1973</v>
          </cell>
          <cell r="AG171">
            <v>1761.2545454545452</v>
          </cell>
          <cell r="AH171">
            <v>211.74545454545455</v>
          </cell>
          <cell r="AJ171">
            <v>0</v>
          </cell>
          <cell r="AK171">
            <v>7270.2545454545452</v>
          </cell>
          <cell r="AN171">
            <v>194</v>
          </cell>
          <cell r="AO171">
            <v>566</v>
          </cell>
          <cell r="AP171">
            <v>773</v>
          </cell>
          <cell r="AQ171">
            <v>1666.3454545454542</v>
          </cell>
        </row>
        <row r="172">
          <cell r="F172">
            <v>0</v>
          </cell>
          <cell r="P172">
            <v>73</v>
          </cell>
          <cell r="Q172">
            <v>0</v>
          </cell>
          <cell r="R172">
            <v>0</v>
          </cell>
          <cell r="S172">
            <v>407</v>
          </cell>
          <cell r="T172">
            <v>0</v>
          </cell>
          <cell r="U172">
            <v>0</v>
          </cell>
          <cell r="V172">
            <v>0</v>
          </cell>
          <cell r="W172">
            <v>0</v>
          </cell>
          <cell r="X172">
            <v>271.81818181818181</v>
          </cell>
          <cell r="Y172">
            <v>118</v>
          </cell>
          <cell r="Z172">
            <v>153.81818181818181</v>
          </cell>
          <cell r="AA172">
            <v>0</v>
          </cell>
          <cell r="AB172">
            <v>0</v>
          </cell>
          <cell r="AC172">
            <v>197</v>
          </cell>
          <cell r="AD172">
            <v>75</v>
          </cell>
          <cell r="AE172">
            <v>122</v>
          </cell>
          <cell r="AF172">
            <v>117.09090909090909</v>
          </cell>
          <cell r="AG172">
            <v>117.09090909090909</v>
          </cell>
          <cell r="AH172">
            <v>0</v>
          </cell>
        </row>
        <row r="173">
          <cell r="F173">
            <v>14.666666666666666</v>
          </cell>
          <cell r="P173">
            <v>60</v>
          </cell>
          <cell r="Q173">
            <v>0</v>
          </cell>
          <cell r="R173">
            <v>0</v>
          </cell>
          <cell r="S173">
            <v>30</v>
          </cell>
          <cell r="T173">
            <v>22</v>
          </cell>
          <cell r="U173">
            <v>0</v>
          </cell>
          <cell r="V173">
            <v>0</v>
          </cell>
          <cell r="W173">
            <v>0</v>
          </cell>
          <cell r="X173">
            <v>940</v>
          </cell>
          <cell r="AA173">
            <v>0</v>
          </cell>
          <cell r="AB173">
            <v>0</v>
          </cell>
          <cell r="AC173">
            <v>39</v>
          </cell>
          <cell r="AF173">
            <v>12</v>
          </cell>
          <cell r="AG173">
            <v>11</v>
          </cell>
          <cell r="AH173">
            <v>1</v>
          </cell>
          <cell r="AI173">
            <v>6.7</v>
          </cell>
          <cell r="AJ173">
            <v>0</v>
          </cell>
          <cell r="AK173">
            <v>1101.3666666666668</v>
          </cell>
          <cell r="AN173">
            <v>412</v>
          </cell>
          <cell r="AO173">
            <v>534</v>
          </cell>
          <cell r="AP173">
            <v>64</v>
          </cell>
          <cell r="AQ173">
            <v>35.666666666666686</v>
          </cell>
        </row>
        <row r="174">
          <cell r="F174">
            <v>1162.6666666666672</v>
          </cell>
          <cell r="P174">
            <v>-1510</v>
          </cell>
          <cell r="S174">
            <v>2161</v>
          </cell>
          <cell r="X174">
            <v>307.99999999999801</v>
          </cell>
          <cell r="AC174">
            <v>-615</v>
          </cell>
          <cell r="AF174">
            <v>1317</v>
          </cell>
          <cell r="AG174">
            <v>739.00000000000011</v>
          </cell>
          <cell r="AH174">
            <v>578</v>
          </cell>
          <cell r="AO174">
            <v>1507.2</v>
          </cell>
        </row>
        <row r="175">
          <cell r="AN175" t="str">
            <v>ОЧИК.18.02.</v>
          </cell>
        </row>
        <row r="178">
          <cell r="F178" t="str">
            <v>АПАРАТ ВСЬОГО</v>
          </cell>
          <cell r="P178" t="str">
            <v>ККМ</v>
          </cell>
          <cell r="S178" t="str">
            <v>КТМ</v>
          </cell>
          <cell r="X178" t="str">
            <v>ТЕЦ-5 ВСЬОГО</v>
          </cell>
          <cell r="Y178" t="str">
            <v>Е/Е</v>
          </cell>
          <cell r="Z178" t="str">
            <v xml:space="preserve"> Т/Е</v>
          </cell>
          <cell r="AC178" t="str">
            <v>ТЕЦ-6 ВСЬОГО</v>
          </cell>
          <cell r="AD178" t="str">
            <v>Е/Е</v>
          </cell>
          <cell r="AE178" t="str">
            <v xml:space="preserve"> Т/Е</v>
          </cell>
          <cell r="AF178" t="str">
            <v>Е/Е</v>
          </cell>
          <cell r="AG178" t="str">
            <v xml:space="preserve"> Т/Е</v>
          </cell>
          <cell r="AI178" t="str">
            <v xml:space="preserve">ДОП.ВИР. </v>
          </cell>
          <cell r="AJ178" t="str">
            <v>ДОП.ВИР. СТ.ОРГ.</v>
          </cell>
          <cell r="AK178" t="str">
            <v>АК КЕ ВСЬОГО</v>
          </cell>
          <cell r="AL178" t="str">
            <v>Е/Е</v>
          </cell>
          <cell r="AM178" t="str">
            <v xml:space="preserve"> Т/Е</v>
          </cell>
          <cell r="AN178" t="str">
            <v>СТАНЦІї ЕЛЕКТРО</v>
          </cell>
          <cell r="AO178" t="str">
            <v>СТАНЦІІ ТЕПЛОВІ</v>
          </cell>
          <cell r="AP178" t="str">
            <v>МЕРЕЖІ ЕЛЕКТРО</v>
          </cell>
          <cell r="AQ178" t="str">
            <v>МЕРЕЖІ ТЕПЛОВІ</v>
          </cell>
        </row>
        <row r="181">
          <cell r="S181">
            <v>100</v>
          </cell>
          <cell r="X181">
            <v>79.7</v>
          </cell>
          <cell r="AC181">
            <v>63.3</v>
          </cell>
          <cell r="AK181">
            <v>243</v>
          </cell>
          <cell r="AN181">
            <v>221.49122807017542</v>
          </cell>
        </row>
        <row r="182">
          <cell r="S182">
            <v>114.9</v>
          </cell>
          <cell r="X182">
            <v>91.6</v>
          </cell>
          <cell r="AC182">
            <v>72.8</v>
          </cell>
          <cell r="AK182">
            <v>279.29999999999995</v>
          </cell>
          <cell r="AN182">
            <v>252.49999999999997</v>
          </cell>
        </row>
        <row r="183">
          <cell r="P183">
            <v>0</v>
          </cell>
          <cell r="S183">
            <v>0</v>
          </cell>
          <cell r="X183">
            <v>0</v>
          </cell>
          <cell r="AC183">
            <v>0</v>
          </cell>
          <cell r="AN183">
            <v>66</v>
          </cell>
        </row>
        <row r="184">
          <cell r="P184">
            <v>0</v>
          </cell>
          <cell r="S184">
            <v>192.5</v>
          </cell>
          <cell r="X184">
            <v>192.5</v>
          </cell>
          <cell r="AC184">
            <v>192.5</v>
          </cell>
          <cell r="AK184">
            <v>192.5</v>
          </cell>
          <cell r="AN184">
            <v>0</v>
          </cell>
        </row>
        <row r="185">
          <cell r="S185">
            <v>19250</v>
          </cell>
          <cell r="X185">
            <v>15343</v>
          </cell>
          <cell r="AC185">
            <v>12185</v>
          </cell>
          <cell r="AK185">
            <v>46778</v>
          </cell>
          <cell r="AN185">
            <v>0</v>
          </cell>
        </row>
        <row r="186">
          <cell r="AK186">
            <v>46778</v>
          </cell>
        </row>
        <row r="187">
          <cell r="X187">
            <v>0</v>
          </cell>
          <cell r="AC187">
            <v>0</v>
          </cell>
          <cell r="AK187">
            <v>0</v>
          </cell>
        </row>
        <row r="188">
          <cell r="X188">
            <v>0</v>
          </cell>
          <cell r="AC188">
            <v>0</v>
          </cell>
          <cell r="AK188">
            <v>0</v>
          </cell>
        </row>
        <row r="189">
          <cell r="X189">
            <v>82.5</v>
          </cell>
          <cell r="AC189">
            <v>82.5</v>
          </cell>
          <cell r="AO189" t="e">
            <v>#REF!</v>
          </cell>
        </row>
        <row r="190">
          <cell r="X190">
            <v>0</v>
          </cell>
          <cell r="AC190">
            <v>0</v>
          </cell>
          <cell r="AK190">
            <v>0</v>
          </cell>
          <cell r="AN190" t="str">
            <v>ОЧИК.18.02.</v>
          </cell>
        </row>
        <row r="191">
          <cell r="S191">
            <v>0</v>
          </cell>
          <cell r="X191">
            <v>0</v>
          </cell>
          <cell r="AC191">
            <v>0</v>
          </cell>
          <cell r="AK191">
            <v>0</v>
          </cell>
        </row>
        <row r="193">
          <cell r="D193" t="str">
            <v>АПАРАТ ВСЬОГО</v>
          </cell>
          <cell r="E193" t="str">
            <v>АПАРАТ ЕЛЕКТРО</v>
          </cell>
          <cell r="F193" t="str">
            <v>АПАРАТ ТЕПЛО</v>
          </cell>
          <cell r="L193" t="str">
            <v>ККМ</v>
          </cell>
          <cell r="N193" t="str">
            <v>КТМ</v>
          </cell>
          <cell r="R193" t="str">
            <v>ТЕЦ-5 ВСЬОГО</v>
          </cell>
          <cell r="T193" t="str">
            <v>Е/Е</v>
          </cell>
          <cell r="U193" t="str">
            <v xml:space="preserve"> Т/Е</v>
          </cell>
          <cell r="V193" t="str">
            <v>ТЕЦ-6 ВСЬОГО</v>
          </cell>
          <cell r="X193" t="str">
            <v>Е/Е</v>
          </cell>
          <cell r="Y193" t="str">
            <v xml:space="preserve"> Т/Е</v>
          </cell>
          <cell r="AC193">
            <v>36.700000000000003</v>
          </cell>
          <cell r="AF193" t="str">
            <v xml:space="preserve">ДОП.ВИР. </v>
          </cell>
          <cell r="AG193" t="str">
            <v>ДОП.ВИР. СТ.ОРГ.</v>
          </cell>
          <cell r="AJ193" t="str">
            <v>АК КЕ ВСЬОГО</v>
          </cell>
          <cell r="AK193" t="str">
            <v>Е/Е</v>
          </cell>
          <cell r="AL193" t="str">
            <v xml:space="preserve"> Т/Е</v>
          </cell>
          <cell r="AN193" t="str">
            <v>СТАНЦІї ЕЛЕКТРО</v>
          </cell>
          <cell r="AO193" t="str">
            <v>СТАНЦІІ ТЕПЛОВІ</v>
          </cell>
          <cell r="AP193" t="str">
            <v>МЕРЕЖІ ЕЛЕКТРО</v>
          </cell>
          <cell r="AQ193" t="str">
            <v>МЕРЕЖІ ТЕПЛОВІ</v>
          </cell>
        </row>
        <row r="194">
          <cell r="D194">
            <v>2.78</v>
          </cell>
          <cell r="N194">
            <v>3.427</v>
          </cell>
          <cell r="P194">
            <v>3.427</v>
          </cell>
          <cell r="Q194">
            <v>3.427</v>
          </cell>
          <cell r="R194">
            <v>3.427</v>
          </cell>
          <cell r="T194">
            <v>3.427</v>
          </cell>
          <cell r="U194">
            <v>3.427</v>
          </cell>
          <cell r="V194">
            <v>3.427</v>
          </cell>
          <cell r="X194">
            <v>3.427</v>
          </cell>
          <cell r="Y194">
            <v>3.427</v>
          </cell>
          <cell r="AA194">
            <v>3.427</v>
          </cell>
          <cell r="AC194">
            <v>50.6</v>
          </cell>
          <cell r="AF194">
            <v>3.427</v>
          </cell>
          <cell r="AG194">
            <v>3.427</v>
          </cell>
          <cell r="AH194">
            <v>3.427</v>
          </cell>
          <cell r="AI194">
            <v>3.427</v>
          </cell>
          <cell r="AJ194">
            <v>3.427</v>
          </cell>
          <cell r="AK194">
            <v>112.5</v>
          </cell>
          <cell r="AN194">
            <v>2.1804999999999999</v>
          </cell>
          <cell r="AO194">
            <v>2.1804999999999999</v>
          </cell>
          <cell r="AP194">
            <v>2.1804999999999999</v>
          </cell>
          <cell r="AQ194">
            <v>1.905</v>
          </cell>
        </row>
        <row r="195">
          <cell r="F195">
            <v>75</v>
          </cell>
          <cell r="P195">
            <v>75</v>
          </cell>
          <cell r="AJ195">
            <v>0</v>
          </cell>
          <cell r="AN195" t="e">
            <v>#DIV/0!</v>
          </cell>
          <cell r="AQ195">
            <v>75</v>
          </cell>
        </row>
        <row r="196">
          <cell r="N196">
            <v>112.4</v>
          </cell>
          <cell r="R196">
            <v>81.3</v>
          </cell>
          <cell r="S196">
            <v>653</v>
          </cell>
          <cell r="V196">
            <v>66</v>
          </cell>
          <cell r="X196">
            <v>653</v>
          </cell>
          <cell r="AC196">
            <v>653</v>
          </cell>
          <cell r="AJ196">
            <v>259.70000000000005</v>
          </cell>
          <cell r="AK196">
            <v>653</v>
          </cell>
          <cell r="AN196">
            <v>221.49122807017542</v>
          </cell>
        </row>
        <row r="197">
          <cell r="N197">
            <v>129.19999999999999</v>
          </cell>
          <cell r="R197">
            <v>93.5</v>
          </cell>
          <cell r="S197">
            <v>0</v>
          </cell>
          <cell r="V197">
            <v>75.900000000000006</v>
          </cell>
          <cell r="X197">
            <v>29254</v>
          </cell>
          <cell r="AC197">
            <v>23966</v>
          </cell>
          <cell r="AJ197">
            <v>298.60000000000002</v>
          </cell>
          <cell r="AK197">
            <v>53220</v>
          </cell>
          <cell r="AN197">
            <v>252.49999999999997</v>
          </cell>
        </row>
        <row r="198">
          <cell r="L198">
            <v>0</v>
          </cell>
          <cell r="AK198">
            <v>53220</v>
          </cell>
          <cell r="AN198">
            <v>66</v>
          </cell>
        </row>
        <row r="199">
          <cell r="L199">
            <v>0</v>
          </cell>
          <cell r="N199">
            <v>141.5</v>
          </cell>
          <cell r="R199">
            <v>141.5</v>
          </cell>
          <cell r="S199">
            <v>114.9</v>
          </cell>
          <cell r="V199">
            <v>141.5</v>
          </cell>
          <cell r="W199">
            <v>178</v>
          </cell>
          <cell r="X199">
            <v>153.5</v>
          </cell>
          <cell r="Y199">
            <v>66.599999999999994</v>
          </cell>
          <cell r="Z199">
            <v>178</v>
          </cell>
          <cell r="AA199">
            <v>141.5</v>
          </cell>
          <cell r="AB199">
            <v>141.5</v>
          </cell>
          <cell r="AC199">
            <v>141.5</v>
          </cell>
          <cell r="AD199">
            <v>178</v>
          </cell>
          <cell r="AE199">
            <v>76.300000000000011</v>
          </cell>
          <cell r="AF199">
            <v>178</v>
          </cell>
          <cell r="AG199">
            <v>178</v>
          </cell>
          <cell r="AI199">
            <v>178</v>
          </cell>
          <cell r="AJ199">
            <v>141.5</v>
          </cell>
          <cell r="AK199">
            <v>391.79999999999995</v>
          </cell>
          <cell r="AL199">
            <v>113.69999999999999</v>
          </cell>
          <cell r="AM199">
            <v>178</v>
          </cell>
          <cell r="AN199">
            <v>178</v>
          </cell>
          <cell r="AO199">
            <v>74.900000000000006</v>
          </cell>
          <cell r="AP199">
            <v>281.5</v>
          </cell>
        </row>
        <row r="200">
          <cell r="N200">
            <v>15905</v>
          </cell>
          <cell r="R200">
            <v>11504</v>
          </cell>
          <cell r="S200">
            <v>19250</v>
          </cell>
          <cell r="V200">
            <v>9339</v>
          </cell>
          <cell r="X200">
            <v>44597</v>
          </cell>
          <cell r="Y200">
            <v>30041.25</v>
          </cell>
          <cell r="Z200">
            <v>14555.750000000002</v>
          </cell>
          <cell r="AA200">
            <v>14555.750000000004</v>
          </cell>
          <cell r="AC200">
            <v>36151</v>
          </cell>
          <cell r="AD200">
            <v>22308.272727272721</v>
          </cell>
          <cell r="AE200">
            <v>13842.727272727279</v>
          </cell>
          <cell r="AJ200">
            <v>36748</v>
          </cell>
          <cell r="AK200">
            <v>99998</v>
          </cell>
          <cell r="AL200">
            <v>52349.522727272721</v>
          </cell>
          <cell r="AM200">
            <v>47648.477272727279</v>
          </cell>
          <cell r="AN200">
            <v>39425</v>
          </cell>
          <cell r="AO200">
            <v>3112.427048260382</v>
          </cell>
          <cell r="AP200">
            <v>11697.572951739618</v>
          </cell>
        </row>
        <row r="201">
          <cell r="S201">
            <v>167.54</v>
          </cell>
          <cell r="X201">
            <v>290.52999999999997</v>
          </cell>
          <cell r="Y201">
            <v>451.07</v>
          </cell>
          <cell r="Z201">
            <v>167.5</v>
          </cell>
          <cell r="AC201">
            <v>292.95999999999998</v>
          </cell>
          <cell r="AD201">
            <v>473.64</v>
          </cell>
          <cell r="AE201">
            <v>181.42</v>
          </cell>
          <cell r="AI201">
            <v>0</v>
          </cell>
          <cell r="AJ201">
            <v>36748</v>
          </cell>
          <cell r="AK201">
            <v>255.23</v>
          </cell>
          <cell r="AL201">
            <v>460.42</v>
          </cell>
          <cell r="AM201">
            <v>171.34</v>
          </cell>
          <cell r="AN201">
            <v>41.55</v>
          </cell>
          <cell r="AO201">
            <v>41.55</v>
          </cell>
          <cell r="AP201">
            <v>41.55</v>
          </cell>
          <cell r="AQ201">
            <v>0</v>
          </cell>
        </row>
        <row r="202">
          <cell r="N202">
            <v>0</v>
          </cell>
          <cell r="R202">
            <v>0</v>
          </cell>
          <cell r="V202">
            <v>0</v>
          </cell>
          <cell r="AJ202">
            <v>0</v>
          </cell>
          <cell r="AM202">
            <v>0</v>
          </cell>
          <cell r="AN202">
            <v>52</v>
          </cell>
          <cell r="AO202">
            <v>52</v>
          </cell>
        </row>
        <row r="203">
          <cell r="N203">
            <v>0</v>
          </cell>
          <cell r="R203">
            <v>0</v>
          </cell>
          <cell r="V203">
            <v>0</v>
          </cell>
          <cell r="X203">
            <v>44597</v>
          </cell>
          <cell r="AC203">
            <v>36151</v>
          </cell>
          <cell r="AJ203">
            <v>0</v>
          </cell>
          <cell r="AK203">
            <v>99998</v>
          </cell>
          <cell r="AL203">
            <v>52349.522727272721</v>
          </cell>
          <cell r="AM203">
            <v>47648.477272727279</v>
          </cell>
          <cell r="AN203">
            <v>14862</v>
          </cell>
          <cell r="AO203">
            <v>3164.427048260382</v>
          </cell>
          <cell r="AP203">
            <v>11697.572951739618</v>
          </cell>
        </row>
        <row r="205">
          <cell r="N205">
            <v>141.5</v>
          </cell>
          <cell r="R205">
            <v>141.5</v>
          </cell>
          <cell r="V205">
            <v>141.5</v>
          </cell>
          <cell r="AJ205">
            <v>141.5</v>
          </cell>
          <cell r="AK205">
            <v>99998</v>
          </cell>
        </row>
        <row r="206">
          <cell r="N206">
            <v>0</v>
          </cell>
          <cell r="R206">
            <v>0</v>
          </cell>
          <cell r="V206">
            <v>0</v>
          </cell>
          <cell r="AJ206">
            <v>0</v>
          </cell>
        </row>
        <row r="207">
          <cell r="AJ207">
            <v>0</v>
          </cell>
        </row>
        <row r="208">
          <cell r="N208">
            <v>0</v>
          </cell>
          <cell r="R208">
            <v>61.9</v>
          </cell>
          <cell r="V208">
            <v>48.8</v>
          </cell>
          <cell r="AJ208">
            <v>110.69999999999999</v>
          </cell>
          <cell r="AN208">
            <v>75.839416058394164</v>
          </cell>
        </row>
        <row r="209">
          <cell r="N209">
            <v>0</v>
          </cell>
          <cell r="R209">
            <v>85.5</v>
          </cell>
          <cell r="V209">
            <v>67.400000000000006</v>
          </cell>
          <cell r="AJ209">
            <v>152.9</v>
          </cell>
          <cell r="AN209">
            <v>103.9</v>
          </cell>
        </row>
        <row r="210">
          <cell r="D210">
            <v>75</v>
          </cell>
          <cell r="L210">
            <v>75</v>
          </cell>
          <cell r="N210">
            <v>82</v>
          </cell>
          <cell r="R210">
            <v>82</v>
          </cell>
          <cell r="V210">
            <v>82</v>
          </cell>
          <cell r="AG210">
            <v>0</v>
          </cell>
          <cell r="AJ210">
            <v>82</v>
          </cell>
          <cell r="AN210">
            <v>89.557440953909662</v>
          </cell>
          <cell r="AQ210">
            <v>75</v>
          </cell>
        </row>
        <row r="211">
          <cell r="N211">
            <v>500</v>
          </cell>
          <cell r="P211">
            <v>0</v>
          </cell>
          <cell r="Q211">
            <v>0</v>
          </cell>
          <cell r="R211">
            <v>500</v>
          </cell>
          <cell r="S211">
            <v>500</v>
          </cell>
          <cell r="V211">
            <v>500</v>
          </cell>
          <cell r="W211">
            <v>458</v>
          </cell>
          <cell r="Z211">
            <v>458</v>
          </cell>
          <cell r="AA211">
            <v>458</v>
          </cell>
          <cell r="AB211">
            <v>458</v>
          </cell>
          <cell r="AC211">
            <v>458</v>
          </cell>
          <cell r="AD211">
            <v>458</v>
          </cell>
          <cell r="AF211">
            <v>458</v>
          </cell>
          <cell r="AG211">
            <v>458</v>
          </cell>
          <cell r="AI211">
            <v>458</v>
          </cell>
          <cell r="AJ211">
            <v>500</v>
          </cell>
          <cell r="AN211">
            <v>195.28</v>
          </cell>
        </row>
        <row r="212">
          <cell r="N212">
            <v>0</v>
          </cell>
          <cell r="R212">
            <v>30950</v>
          </cell>
          <cell r="V212">
            <v>24400</v>
          </cell>
          <cell r="AJ212">
            <v>55350</v>
          </cell>
          <cell r="AN212">
            <v>14810</v>
          </cell>
        </row>
        <row r="214">
          <cell r="N214">
            <v>129.19999999999999</v>
          </cell>
          <cell r="R214">
            <v>179</v>
          </cell>
          <cell r="T214">
            <v>76.5</v>
          </cell>
          <cell r="U214">
            <v>102.5</v>
          </cell>
          <cell r="V214">
            <v>143.30000000000001</v>
          </cell>
          <cell r="X214">
            <v>58.3</v>
          </cell>
          <cell r="Y214">
            <v>85.000000000000014</v>
          </cell>
          <cell r="AJ214">
            <v>451.5</v>
          </cell>
          <cell r="AK214">
            <v>134.80000000000001</v>
          </cell>
          <cell r="AL214">
            <v>316.7</v>
          </cell>
          <cell r="AN214">
            <v>356.4</v>
          </cell>
          <cell r="AO214">
            <v>74.900000000000006</v>
          </cell>
          <cell r="AP214">
            <v>281.5</v>
          </cell>
        </row>
        <row r="215">
          <cell r="N215">
            <v>15905</v>
          </cell>
          <cell r="R215">
            <v>42454</v>
          </cell>
          <cell r="T215">
            <v>27692</v>
          </cell>
          <cell r="U215">
            <v>14762</v>
          </cell>
          <cell r="V215">
            <v>33739</v>
          </cell>
          <cell r="X215">
            <v>21106</v>
          </cell>
          <cell r="Y215">
            <v>12633</v>
          </cell>
          <cell r="AJ215">
            <v>92098</v>
          </cell>
          <cell r="AK215">
            <v>48798</v>
          </cell>
          <cell r="AL215">
            <v>43300</v>
          </cell>
          <cell r="AN215">
            <v>54235</v>
          </cell>
          <cell r="AO215">
            <v>11397.871773288442</v>
          </cell>
          <cell r="AP215">
            <v>42837.12822671156</v>
          </cell>
        </row>
        <row r="216">
          <cell r="N216">
            <v>123.1</v>
          </cell>
          <cell r="R216">
            <v>237.17</v>
          </cell>
          <cell r="T216">
            <v>361.99</v>
          </cell>
          <cell r="U216">
            <v>144.02000000000001</v>
          </cell>
          <cell r="V216">
            <v>235.44</v>
          </cell>
          <cell r="X216">
            <v>362.02</v>
          </cell>
          <cell r="Y216">
            <v>148.62</v>
          </cell>
          <cell r="AF216">
            <v>0</v>
          </cell>
          <cell r="AG216">
            <v>0</v>
          </cell>
          <cell r="AJ216">
            <v>203.98</v>
          </cell>
          <cell r="AK216">
            <v>362</v>
          </cell>
          <cell r="AL216">
            <v>136.72</v>
          </cell>
          <cell r="AN216">
            <v>152.16999999999999</v>
          </cell>
          <cell r="AO216">
            <v>152.16999999999999</v>
          </cell>
          <cell r="AP216">
            <v>152.16999999999999</v>
          </cell>
          <cell r="AQ216">
            <v>0</v>
          </cell>
        </row>
        <row r="217">
          <cell r="AJ217">
            <v>0</v>
          </cell>
          <cell r="AK217">
            <v>0</v>
          </cell>
          <cell r="AL217">
            <v>0</v>
          </cell>
          <cell r="AN217">
            <v>52</v>
          </cell>
          <cell r="AO217">
            <v>52</v>
          </cell>
        </row>
        <row r="218">
          <cell r="R218">
            <v>42455</v>
          </cell>
          <cell r="V218">
            <v>33739</v>
          </cell>
          <cell r="AJ218">
            <v>92098</v>
          </cell>
          <cell r="AK218">
            <v>48798</v>
          </cell>
          <cell r="AL218">
            <v>43300</v>
          </cell>
          <cell r="AN218">
            <v>54287</v>
          </cell>
          <cell r="AO218">
            <v>11449.871773288442</v>
          </cell>
          <cell r="AP218">
            <v>42837.12822671156</v>
          </cell>
        </row>
        <row r="221">
          <cell r="AJ221">
            <v>92098</v>
          </cell>
          <cell r="AO221">
            <v>1507.2</v>
          </cell>
        </row>
        <row r="236">
          <cell r="AG236" t="str">
            <v xml:space="preserve">         Затверджую</v>
          </cell>
        </row>
        <row r="237">
          <cell r="AG237" t="str">
            <v xml:space="preserve"> Голова правління </v>
          </cell>
        </row>
        <row r="238">
          <cell r="AG238" t="str">
            <v xml:space="preserve">                        І.В.Плачков</v>
          </cell>
        </row>
        <row r="239">
          <cell r="D239" t="str">
            <v>ВИКОН.ДИР.</v>
          </cell>
          <cell r="L239" t="str">
            <v>ККМ</v>
          </cell>
          <cell r="N239" t="str">
            <v>КТМ</v>
          </cell>
          <cell r="R239" t="str">
            <v>ТЕЦ-5 ВСЬОГО</v>
          </cell>
          <cell r="V239" t="str">
            <v>ТЕЦ-6 ВСЬОГО</v>
          </cell>
          <cell r="AA239" t="str">
            <v>ТРМ ВСЬОГО</v>
          </cell>
          <cell r="AG239" t="str">
            <v xml:space="preserve">   "_____" ________2000 р.</v>
          </cell>
        </row>
        <row r="240">
          <cell r="D240">
            <v>3546.727272727273</v>
          </cell>
          <cell r="L240">
            <v>2094.727272727273</v>
          </cell>
          <cell r="N240">
            <v>8290.4545454545441</v>
          </cell>
          <cell r="R240">
            <v>2382.9090909090883</v>
          </cell>
          <cell r="V240">
            <v>-72</v>
          </cell>
          <cell r="AA240">
            <v>2527.5454545454545</v>
          </cell>
        </row>
        <row r="242">
          <cell r="D242">
            <v>9597.141363636365</v>
          </cell>
          <cell r="L242">
            <v>2094.727272727273</v>
          </cell>
          <cell r="N242">
            <v>8290.4545454545441</v>
          </cell>
          <cell r="R242">
            <v>2382.9090909090883</v>
          </cell>
          <cell r="V242">
            <v>-72</v>
          </cell>
          <cell r="AA242">
            <v>2527.5454545454545</v>
          </cell>
        </row>
        <row r="243">
          <cell r="D243">
            <v>4089.3529545454548</v>
          </cell>
          <cell r="F243" t="str">
            <v>РОЗРАХУНОК ФІНАНСОВИХ ПОТОКІВ НА   лютий  2000 року</v>
          </cell>
          <cell r="L243">
            <v>645.68000000000029</v>
          </cell>
          <cell r="N243">
            <v>3164.8333333333326</v>
          </cell>
          <cell r="R243">
            <v>1767.9999999999977</v>
          </cell>
          <cell r="V243">
            <v>36754.003030303029</v>
          </cell>
          <cell r="AA243">
            <v>655.5333333333333</v>
          </cell>
        </row>
        <row r="244">
          <cell r="D244">
            <v>58857.621136363639</v>
          </cell>
          <cell r="F244" t="str">
            <v>ПО ФІЛІАЛАХ АК КИЇВЕНЕРГО</v>
          </cell>
          <cell r="L244">
            <v>0</v>
          </cell>
          <cell r="N244">
            <v>0</v>
          </cell>
          <cell r="R244">
            <v>0</v>
          </cell>
          <cell r="V244">
            <v>35616.63636363636</v>
          </cell>
          <cell r="AA244">
            <v>0</v>
          </cell>
        </row>
        <row r="245">
          <cell r="D245">
            <v>48798</v>
          </cell>
        </row>
        <row r="246">
          <cell r="D246">
            <v>0</v>
          </cell>
        </row>
        <row r="247">
          <cell r="D247">
            <v>5266</v>
          </cell>
          <cell r="L247">
            <v>0</v>
          </cell>
          <cell r="N247">
            <v>0</v>
          </cell>
          <cell r="R247">
            <v>0</v>
          </cell>
          <cell r="V247">
            <v>35616.63636363636</v>
          </cell>
          <cell r="AA247">
            <v>0</v>
          </cell>
        </row>
        <row r="248">
          <cell r="D248">
            <v>0</v>
          </cell>
        </row>
        <row r="249">
          <cell r="D249">
            <v>0</v>
          </cell>
          <cell r="AI249" t="str">
            <v>ТИС.ГРН.</v>
          </cell>
          <cell r="AK249" t="str">
            <v>тис.грн.</v>
          </cell>
        </row>
        <row r="250">
          <cell r="D250">
            <v>0</v>
          </cell>
          <cell r="F250" t="str">
            <v>ВИКОН.ДИР.</v>
          </cell>
          <cell r="P250" t="str">
            <v>КМ</v>
          </cell>
          <cell r="Q250" t="str">
            <v>ТМ</v>
          </cell>
          <cell r="S250" t="str">
            <v>КТМ</v>
          </cell>
          <cell r="T250" t="str">
            <v>ВИРОБН</v>
          </cell>
          <cell r="U250" t="str">
            <v>ПЕРЕД</v>
          </cell>
          <cell r="X250" t="str">
            <v>ТЕЦ-5 ВСЬОГО</v>
          </cell>
          <cell r="Y250" t="str">
            <v>Е/Е</v>
          </cell>
          <cell r="Z250" t="str">
            <v xml:space="preserve"> Т/Е</v>
          </cell>
          <cell r="AC250" t="str">
            <v>ТЕЦ-6 ВСЬОГО</v>
          </cell>
          <cell r="AD250" t="str">
            <v>Е/Е</v>
          </cell>
          <cell r="AE250" t="str">
            <v xml:space="preserve"> Т/Е</v>
          </cell>
          <cell r="AF250" t="str">
            <v>ТРМ ВСЬОГО</v>
          </cell>
          <cell r="AG250" t="str">
            <v>ТРМ  АК КЕ</v>
          </cell>
          <cell r="AH250" t="str">
            <v>ТРМ СТОР</v>
          </cell>
          <cell r="AI250" t="str">
            <v xml:space="preserve">ДОП.ВИР. </v>
          </cell>
          <cell r="AJ250" t="str">
            <v>ДОП.ВИР. СТ.ОРГ.</v>
          </cell>
          <cell r="AK250" t="str">
            <v>АК КЕ ВСЬОГО</v>
          </cell>
          <cell r="AL250" t="str">
            <v>АК КЕ ВСЬОГО</v>
          </cell>
          <cell r="AM250" t="str">
            <v xml:space="preserve"> Т/Е</v>
          </cell>
          <cell r="AN250" t="str">
            <v>СТАНЦІї ЕЛЕКТРО</v>
          </cell>
          <cell r="AO250" t="str">
            <v>СТАНЦІІ ТЕПЛОВІ</v>
          </cell>
          <cell r="AP250" t="str">
            <v>МЕРЕЖІ ЕЛЕКТРО</v>
          </cell>
          <cell r="AQ250" t="str">
            <v>МЕРЕЖІ ТЕПЛОВІ</v>
          </cell>
        </row>
        <row r="251">
          <cell r="D251">
            <v>3500</v>
          </cell>
          <cell r="F251">
            <v>2564.3333333333339</v>
          </cell>
          <cell r="P251">
            <v>2175</v>
          </cell>
          <cell r="S251">
            <v>7897</v>
          </cell>
          <cell r="X251">
            <v>2489.8484848484827</v>
          </cell>
          <cell r="AC251">
            <v>1464</v>
          </cell>
          <cell r="AF251">
            <v>4071.242424242424</v>
          </cell>
          <cell r="AG251">
            <v>3280.4969696969697</v>
          </cell>
          <cell r="AH251">
            <v>791.74545454545455</v>
          </cell>
          <cell r="AJ251">
            <v>7599</v>
          </cell>
          <cell r="AK251">
            <v>21493.757575757576</v>
          </cell>
        </row>
        <row r="252">
          <cell r="D252">
            <v>0</v>
          </cell>
        </row>
        <row r="253">
          <cell r="D253">
            <v>1766</v>
          </cell>
          <cell r="F253">
            <v>40160.608095238102</v>
          </cell>
          <cell r="L253">
            <v>0</v>
          </cell>
          <cell r="N253">
            <v>0</v>
          </cell>
          <cell r="P253">
            <v>2175</v>
          </cell>
          <cell r="Q253">
            <v>0</v>
          </cell>
          <cell r="R253">
            <v>0</v>
          </cell>
          <cell r="S253">
            <v>7897</v>
          </cell>
          <cell r="T253">
            <v>4513.5299999999988</v>
          </cell>
          <cell r="U253">
            <v>1480.47</v>
          </cell>
          <cell r="V253">
            <v>35616.63636363636</v>
          </cell>
          <cell r="W253">
            <v>0</v>
          </cell>
          <cell r="X253">
            <v>2489.8484848484827</v>
          </cell>
          <cell r="Y253">
            <v>898</v>
          </cell>
          <cell r="Z253">
            <v>1169.181818181818</v>
          </cell>
          <cell r="AA253">
            <v>0</v>
          </cell>
          <cell r="AB253">
            <v>0</v>
          </cell>
          <cell r="AC253">
            <v>1464</v>
          </cell>
          <cell r="AD253">
            <v>491</v>
          </cell>
          <cell r="AE253">
            <v>728</v>
          </cell>
          <cell r="AF253">
            <v>4071.242424242424</v>
          </cell>
          <cell r="AG253">
            <v>3280.4969696969697</v>
          </cell>
          <cell r="AH253">
            <v>791.74545454545455</v>
          </cell>
          <cell r="AI253">
            <v>2144.6999999999998</v>
          </cell>
          <cell r="AJ253">
            <v>0</v>
          </cell>
          <cell r="AK253">
            <v>139067.65354978354</v>
          </cell>
          <cell r="AM253">
            <v>111785.25</v>
          </cell>
        </row>
        <row r="254">
          <cell r="D254">
            <v>4731.6211363636376</v>
          </cell>
          <cell r="F254">
            <v>31766.748095238101</v>
          </cell>
          <cell r="P254">
            <v>306.29999999999995</v>
          </cell>
          <cell r="S254">
            <v>1960</v>
          </cell>
          <cell r="T254">
            <v>3735.369999999999</v>
          </cell>
          <cell r="U254">
            <v>-290.37000000000012</v>
          </cell>
          <cell r="X254">
            <v>1301.6666666666645</v>
          </cell>
          <cell r="Y254">
            <v>449</v>
          </cell>
          <cell r="Z254">
            <v>582.99999999999977</v>
          </cell>
          <cell r="AC254">
            <v>272</v>
          </cell>
          <cell r="AD254">
            <v>131</v>
          </cell>
          <cell r="AE254">
            <v>96</v>
          </cell>
          <cell r="AF254">
            <v>375.11333333333289</v>
          </cell>
          <cell r="AG254">
            <v>314.78060873834113</v>
          </cell>
          <cell r="AH254">
            <v>61.332724594992555</v>
          </cell>
          <cell r="AI254">
            <v>1192.6999999999998</v>
          </cell>
          <cell r="AJ254">
            <v>-2455</v>
          </cell>
          <cell r="AK254">
            <v>121038.78264069262</v>
          </cell>
          <cell r="AM254">
            <v>36916.748095238101</v>
          </cell>
        </row>
        <row r="255">
          <cell r="D255">
            <v>62</v>
          </cell>
          <cell r="F255">
            <v>118194.27476190477</v>
          </cell>
          <cell r="L255">
            <v>0</v>
          </cell>
          <cell r="N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K255">
            <v>118194.27476190477</v>
          </cell>
        </row>
        <row r="256">
          <cell r="D256">
            <v>62404.348409090911</v>
          </cell>
          <cell r="F256">
            <v>99998</v>
          </cell>
          <cell r="L256">
            <v>2094.727272727273</v>
          </cell>
          <cell r="N256">
            <v>8290.4545454545441</v>
          </cell>
          <cell r="R256">
            <v>2382.9090909090883</v>
          </cell>
          <cell r="V256">
            <v>35544.63636363636</v>
          </cell>
          <cell r="AA256">
            <v>2527.5454545454545</v>
          </cell>
          <cell r="AK256">
            <v>99998</v>
          </cell>
        </row>
        <row r="257">
          <cell r="D257">
            <v>1362.1672727272726</v>
          </cell>
          <cell r="F257">
            <v>0</v>
          </cell>
          <cell r="L257">
            <v>1781.0472727272727</v>
          </cell>
          <cell r="N257">
            <v>6107.621212121212</v>
          </cell>
          <cell r="R257">
            <v>1817.909090909091</v>
          </cell>
          <cell r="V257">
            <v>35634.829696969697</v>
          </cell>
          <cell r="AA257">
            <v>2055.0121212121212</v>
          </cell>
          <cell r="AK257">
            <v>0</v>
          </cell>
        </row>
        <row r="258">
          <cell r="D258">
            <v>357.72727272727275</v>
          </cell>
          <cell r="F258">
            <v>11812.941428571428</v>
          </cell>
          <cell r="L258">
            <v>725.72727272727275</v>
          </cell>
          <cell r="N258">
            <v>1684.4545454545455</v>
          </cell>
          <cell r="P258">
            <v>0</v>
          </cell>
          <cell r="Q258">
            <v>0</v>
          </cell>
          <cell r="R258">
            <v>653.90909090909099</v>
          </cell>
          <cell r="S258">
            <v>0</v>
          </cell>
          <cell r="T258">
            <v>0</v>
          </cell>
          <cell r="U258">
            <v>0</v>
          </cell>
          <cell r="V258">
            <v>1465.6363636363635</v>
          </cell>
          <cell r="W258">
            <v>0</v>
          </cell>
          <cell r="X258">
            <v>0</v>
          </cell>
          <cell r="Y258">
            <v>0</v>
          </cell>
          <cell r="Z258">
            <v>0</v>
          </cell>
          <cell r="AA258">
            <v>1439.5454545454545</v>
          </cell>
          <cell r="AB258">
            <v>0</v>
          </cell>
          <cell r="AC258">
            <v>0</v>
          </cell>
          <cell r="AD258">
            <v>0</v>
          </cell>
          <cell r="AE258">
            <v>0</v>
          </cell>
          <cell r="AF258">
            <v>0</v>
          </cell>
          <cell r="AG258">
            <v>0</v>
          </cell>
          <cell r="AH258">
            <v>0</v>
          </cell>
          <cell r="AI258">
            <v>0</v>
          </cell>
          <cell r="AK258">
            <v>11812.941428571428</v>
          </cell>
        </row>
        <row r="259">
          <cell r="D259">
            <v>0</v>
          </cell>
          <cell r="F259">
            <v>825</v>
          </cell>
          <cell r="L259">
            <v>0</v>
          </cell>
          <cell r="N259">
            <v>22</v>
          </cell>
          <cell r="R259">
            <v>839</v>
          </cell>
          <cell r="V259">
            <v>32.56</v>
          </cell>
          <cell r="AA259">
            <v>0</v>
          </cell>
          <cell r="AK259">
            <v>825</v>
          </cell>
        </row>
        <row r="260">
          <cell r="D260">
            <v>997.43999999999994</v>
          </cell>
          <cell r="F260">
            <v>0</v>
          </cell>
          <cell r="L260">
            <v>696.31999999999994</v>
          </cell>
          <cell r="N260">
            <v>804.16666666666663</v>
          </cell>
          <cell r="R260">
            <v>268.33333333333331</v>
          </cell>
          <cell r="V260">
            <v>130.63333333333333</v>
          </cell>
          <cell r="AA260">
            <v>173.46666666666667</v>
          </cell>
          <cell r="AK260">
            <v>0</v>
          </cell>
        </row>
        <row r="261">
          <cell r="D261">
            <v>67.833333333333343</v>
          </cell>
          <cell r="F261">
            <v>4663.9414285714283</v>
          </cell>
          <cell r="L261">
            <v>336.7</v>
          </cell>
          <cell r="N261">
            <v>400.83333333333331</v>
          </cell>
          <cell r="R261">
            <v>55.666666666666664</v>
          </cell>
          <cell r="V261">
            <v>0</v>
          </cell>
          <cell r="AA261">
            <v>125.2</v>
          </cell>
          <cell r="AK261">
            <v>4663.9414285714283</v>
          </cell>
        </row>
        <row r="262">
          <cell r="D262">
            <v>343.60666666666663</v>
          </cell>
          <cell r="F262">
            <v>3500</v>
          </cell>
          <cell r="L262">
            <v>9.6199999999999992</v>
          </cell>
          <cell r="N262">
            <v>33.333333333333336</v>
          </cell>
          <cell r="R262">
            <v>32.666666666666664</v>
          </cell>
          <cell r="V262">
            <v>45.633333333333333</v>
          </cell>
          <cell r="AA262">
            <v>17.266666666666666</v>
          </cell>
          <cell r="AK262">
            <v>3500</v>
          </cell>
        </row>
        <row r="263">
          <cell r="F263">
            <v>0</v>
          </cell>
          <cell r="L263">
            <v>220</v>
          </cell>
          <cell r="N263">
            <v>120</v>
          </cell>
          <cell r="R263">
            <v>130</v>
          </cell>
          <cell r="V263">
            <v>85</v>
          </cell>
          <cell r="AA263">
            <v>0</v>
          </cell>
          <cell r="AK263">
            <v>0</v>
          </cell>
        </row>
        <row r="264">
          <cell r="D264">
            <v>586</v>
          </cell>
          <cell r="F264">
            <v>2824</v>
          </cell>
          <cell r="L264">
            <v>130</v>
          </cell>
          <cell r="N264">
            <v>250</v>
          </cell>
          <cell r="P264">
            <v>0</v>
          </cell>
          <cell r="R264">
            <v>50</v>
          </cell>
          <cell r="S264">
            <v>0</v>
          </cell>
          <cell r="V264">
            <v>0</v>
          </cell>
          <cell r="X264">
            <v>0</v>
          </cell>
          <cell r="AA264">
            <v>31</v>
          </cell>
          <cell r="AC264">
            <v>0</v>
          </cell>
          <cell r="AF264">
            <v>0</v>
          </cell>
          <cell r="AG264">
            <v>0</v>
          </cell>
          <cell r="AH264">
            <v>0</v>
          </cell>
          <cell r="AI264">
            <v>0</v>
          </cell>
          <cell r="AK264">
            <v>2824</v>
          </cell>
        </row>
        <row r="265">
          <cell r="D265">
            <v>7</v>
          </cell>
          <cell r="F265">
            <v>6321.6666666666661</v>
          </cell>
          <cell r="L265">
            <v>59</v>
          </cell>
          <cell r="N265">
            <v>3197</v>
          </cell>
          <cell r="R265">
            <v>56.666666666666664</v>
          </cell>
          <cell r="V265">
            <v>34006</v>
          </cell>
          <cell r="AA265">
            <v>442</v>
          </cell>
          <cell r="AK265">
            <v>6321.6666666666661</v>
          </cell>
        </row>
        <row r="266">
          <cell r="D266">
            <v>0</v>
          </cell>
          <cell r="F266">
            <v>61.666666666666664</v>
          </cell>
          <cell r="L266">
            <v>0</v>
          </cell>
          <cell r="N266">
            <v>0</v>
          </cell>
          <cell r="P266">
            <v>0</v>
          </cell>
          <cell r="R266">
            <v>56.666666666666664</v>
          </cell>
          <cell r="S266">
            <v>0</v>
          </cell>
          <cell r="V266">
            <v>267</v>
          </cell>
          <cell r="X266">
            <v>0</v>
          </cell>
          <cell r="AA266">
            <v>0</v>
          </cell>
          <cell r="AC266">
            <v>0</v>
          </cell>
          <cell r="AF266">
            <v>0</v>
          </cell>
          <cell r="AG266">
            <v>0</v>
          </cell>
          <cell r="AH266">
            <v>0</v>
          </cell>
          <cell r="AI266">
            <v>0</v>
          </cell>
          <cell r="AK266">
            <v>61.666666666666664</v>
          </cell>
        </row>
        <row r="267">
          <cell r="D267">
            <v>7</v>
          </cell>
          <cell r="F267">
            <v>120758.6080952381</v>
          </cell>
          <cell r="L267">
            <v>59</v>
          </cell>
          <cell r="N267">
            <v>3197</v>
          </cell>
          <cell r="P267">
            <v>2175</v>
          </cell>
          <cell r="Q267">
            <v>0</v>
          </cell>
          <cell r="R267">
            <v>0</v>
          </cell>
          <cell r="S267">
            <v>7897</v>
          </cell>
          <cell r="T267">
            <v>0</v>
          </cell>
          <cell r="U267">
            <v>0</v>
          </cell>
          <cell r="V267">
            <v>33739</v>
          </cell>
          <cell r="W267">
            <v>0</v>
          </cell>
          <cell r="X267">
            <v>2489.8484848484827</v>
          </cell>
          <cell r="Y267">
            <v>0</v>
          </cell>
          <cell r="Z267">
            <v>0</v>
          </cell>
          <cell r="AA267">
            <v>442</v>
          </cell>
          <cell r="AB267">
            <v>0</v>
          </cell>
          <cell r="AC267">
            <v>1464</v>
          </cell>
          <cell r="AD267">
            <v>0</v>
          </cell>
          <cell r="AE267">
            <v>0</v>
          </cell>
          <cell r="AF267">
            <v>4071.242424242424</v>
          </cell>
          <cell r="AG267">
            <v>3280.4969696969697</v>
          </cell>
          <cell r="AH267">
            <v>791.74545454545455</v>
          </cell>
          <cell r="AI267">
            <v>0</v>
          </cell>
          <cell r="AK267">
            <v>139688.03233766233</v>
          </cell>
        </row>
        <row r="268">
          <cell r="F268">
            <v>1247.1933333333332</v>
          </cell>
          <cell r="P268">
            <v>1651.7</v>
          </cell>
          <cell r="Q268">
            <v>0</v>
          </cell>
          <cell r="R268">
            <v>0</v>
          </cell>
          <cell r="S268">
            <v>6083</v>
          </cell>
          <cell r="T268">
            <v>571.83999999999992</v>
          </cell>
          <cell r="U268">
            <v>572.16000000000008</v>
          </cell>
          <cell r="V268">
            <v>0</v>
          </cell>
          <cell r="W268">
            <v>0</v>
          </cell>
          <cell r="X268">
            <v>1798</v>
          </cell>
          <cell r="Y268">
            <v>485</v>
          </cell>
          <cell r="Z268">
            <v>632.18181818181824</v>
          </cell>
          <cell r="AA268">
            <v>0</v>
          </cell>
          <cell r="AB268">
            <v>0</v>
          </cell>
          <cell r="AC268">
            <v>1052</v>
          </cell>
          <cell r="AD268">
            <v>116</v>
          </cell>
          <cell r="AE268">
            <v>186</v>
          </cell>
          <cell r="AF268">
            <v>3367.2200000000003</v>
          </cell>
          <cell r="AG268">
            <v>2636.8072700495377</v>
          </cell>
          <cell r="AH268">
            <v>730.41272995046188</v>
          </cell>
          <cell r="AI268">
            <v>952</v>
          </cell>
          <cell r="AK268">
            <v>15914.113333333335</v>
          </cell>
        </row>
        <row r="269">
          <cell r="F269">
            <v>592</v>
          </cell>
          <cell r="L269">
            <v>300</v>
          </cell>
          <cell r="N269">
            <v>400</v>
          </cell>
          <cell r="P269">
            <v>964</v>
          </cell>
          <cell r="R269">
            <v>0</v>
          </cell>
          <cell r="S269">
            <v>2067</v>
          </cell>
          <cell r="T269">
            <v>549.83999999999992</v>
          </cell>
          <cell r="U269">
            <v>572.16000000000008</v>
          </cell>
          <cell r="V269">
            <v>0</v>
          </cell>
          <cell r="X269">
            <v>836</v>
          </cell>
          <cell r="Y269">
            <v>142</v>
          </cell>
          <cell r="Z269">
            <v>185.18181818181819</v>
          </cell>
          <cell r="AA269">
            <v>0</v>
          </cell>
          <cell r="AC269">
            <v>658</v>
          </cell>
          <cell r="AD269">
            <v>111</v>
          </cell>
          <cell r="AE269">
            <v>178</v>
          </cell>
          <cell r="AF269">
            <v>1973</v>
          </cell>
          <cell r="AG269">
            <v>1761.2545454545452</v>
          </cell>
          <cell r="AH269">
            <v>211.74545454545455</v>
          </cell>
          <cell r="AI269">
            <v>952</v>
          </cell>
          <cell r="AK269">
            <v>7482</v>
          </cell>
        </row>
        <row r="270">
          <cell r="D270">
            <v>61042.181136363637</v>
          </cell>
          <cell r="F270">
            <v>0</v>
          </cell>
          <cell r="L270">
            <v>313.68000000000029</v>
          </cell>
          <cell r="N270">
            <v>2182.8333333333321</v>
          </cell>
          <cell r="P270">
            <v>0</v>
          </cell>
          <cell r="Q270">
            <v>0</v>
          </cell>
          <cell r="R270">
            <v>564.99999999999727</v>
          </cell>
          <cell r="S270">
            <v>22</v>
          </cell>
          <cell r="T270">
            <v>22</v>
          </cell>
          <cell r="U270">
            <v>0</v>
          </cell>
          <cell r="V270">
            <v>-90.193333333336341</v>
          </cell>
          <cell r="W270">
            <v>0</v>
          </cell>
          <cell r="X270">
            <v>790</v>
          </cell>
          <cell r="Y270">
            <v>343</v>
          </cell>
          <cell r="Z270">
            <v>447</v>
          </cell>
          <cell r="AA270">
            <v>472.5333333333333</v>
          </cell>
          <cell r="AB270">
            <v>0</v>
          </cell>
          <cell r="AC270">
            <v>13</v>
          </cell>
          <cell r="AD270">
            <v>5</v>
          </cell>
          <cell r="AE270">
            <v>8</v>
          </cell>
          <cell r="AF270">
            <v>0</v>
          </cell>
          <cell r="AG270">
            <v>0</v>
          </cell>
          <cell r="AH270">
            <v>0</v>
          </cell>
          <cell r="AI270">
            <v>0</v>
          </cell>
          <cell r="AK270">
            <v>825</v>
          </cell>
        </row>
        <row r="271">
          <cell r="F271">
            <v>648.19333333333327</v>
          </cell>
          <cell r="P271">
            <v>630.70000000000005</v>
          </cell>
          <cell r="Q271">
            <v>0</v>
          </cell>
          <cell r="R271">
            <v>0</v>
          </cell>
          <cell r="S271">
            <v>590</v>
          </cell>
          <cell r="T271">
            <v>0</v>
          </cell>
          <cell r="U271">
            <v>0</v>
          </cell>
          <cell r="V271">
            <v>0</v>
          </cell>
          <cell r="W271">
            <v>0</v>
          </cell>
          <cell r="X271">
            <v>126</v>
          </cell>
          <cell r="Y271">
            <v>0</v>
          </cell>
          <cell r="Z271">
            <v>0</v>
          </cell>
          <cell r="AA271">
            <v>0</v>
          </cell>
          <cell r="AB271">
            <v>0</v>
          </cell>
          <cell r="AC271">
            <v>186</v>
          </cell>
          <cell r="AD271">
            <v>0</v>
          </cell>
          <cell r="AE271">
            <v>0</v>
          </cell>
          <cell r="AF271">
            <v>504.22</v>
          </cell>
          <cell r="AG271">
            <v>433.55272459499264</v>
          </cell>
          <cell r="AH271">
            <v>70.667275405007373</v>
          </cell>
          <cell r="AI271">
            <v>0</v>
          </cell>
          <cell r="AK271">
            <v>2739.1133333333337</v>
          </cell>
        </row>
        <row r="272">
          <cell r="D272">
            <v>1503.7391666666665</v>
          </cell>
          <cell r="F272">
            <v>67.833333333333329</v>
          </cell>
          <cell r="L272">
            <v>-12.319999999999993</v>
          </cell>
          <cell r="N272">
            <v>465.66666666666663</v>
          </cell>
          <cell r="P272">
            <v>336.7</v>
          </cell>
          <cell r="R272">
            <v>128.00000000000003</v>
          </cell>
          <cell r="S272">
            <v>367</v>
          </cell>
          <cell r="V272">
            <v>648.44303030302694</v>
          </cell>
          <cell r="X272">
            <v>32</v>
          </cell>
          <cell r="AA272">
            <v>133.5333333333333</v>
          </cell>
          <cell r="AC272">
            <v>32</v>
          </cell>
          <cell r="AF272">
            <v>206.95333333333335</v>
          </cell>
          <cell r="AG272">
            <v>141.72798232695141</v>
          </cell>
          <cell r="AH272">
            <v>65.225351006381942</v>
          </cell>
          <cell r="AI272">
            <v>0</v>
          </cell>
          <cell r="AK272">
            <v>1096.4866666666667</v>
          </cell>
        </row>
        <row r="273">
          <cell r="D273">
            <v>17.179166666666667</v>
          </cell>
          <cell r="F273">
            <v>417.35999999999996</v>
          </cell>
          <cell r="L273">
            <v>-18</v>
          </cell>
          <cell r="N273">
            <v>521.83333333333326</v>
          </cell>
          <cell r="P273">
            <v>4</v>
          </cell>
          <cell r="R273">
            <v>83</v>
          </cell>
          <cell r="S273">
            <v>80</v>
          </cell>
          <cell r="V273">
            <v>284</v>
          </cell>
          <cell r="X273">
            <v>35</v>
          </cell>
          <cell r="AA273">
            <v>0</v>
          </cell>
          <cell r="AC273">
            <v>29</v>
          </cell>
          <cell r="AF273">
            <v>17.266666666666666</v>
          </cell>
          <cell r="AG273">
            <v>11.824742268041236</v>
          </cell>
          <cell r="AH273">
            <v>5.4419243986254298</v>
          </cell>
          <cell r="AI273">
            <v>0</v>
          </cell>
          <cell r="AK273">
            <v>582.62666666666655</v>
          </cell>
        </row>
        <row r="274">
          <cell r="D274">
            <v>0</v>
          </cell>
          <cell r="F274">
            <v>100</v>
          </cell>
          <cell r="L274">
            <v>-202</v>
          </cell>
          <cell r="N274">
            <v>-710</v>
          </cell>
          <cell r="P274">
            <v>250</v>
          </cell>
          <cell r="R274">
            <v>-314</v>
          </cell>
          <cell r="S274">
            <v>50</v>
          </cell>
          <cell r="V274">
            <v>-1195</v>
          </cell>
          <cell r="X274">
            <v>10</v>
          </cell>
          <cell r="AA274">
            <v>-152</v>
          </cell>
          <cell r="AC274">
            <v>60</v>
          </cell>
          <cell r="AF274">
            <v>250</v>
          </cell>
          <cell r="AG274">
            <v>250</v>
          </cell>
          <cell r="AK274">
            <v>720</v>
          </cell>
        </row>
        <row r="275">
          <cell r="D275">
            <v>0</v>
          </cell>
          <cell r="F275">
            <v>63</v>
          </cell>
          <cell r="L275">
            <v>0</v>
          </cell>
          <cell r="N275">
            <v>0</v>
          </cell>
          <cell r="P275">
            <v>40</v>
          </cell>
          <cell r="R275">
            <v>0</v>
          </cell>
          <cell r="S275">
            <v>93</v>
          </cell>
          <cell r="V275">
            <v>-5</v>
          </cell>
          <cell r="X275">
            <v>49</v>
          </cell>
          <cell r="AA275">
            <v>0</v>
          </cell>
          <cell r="AC275">
            <v>65</v>
          </cell>
          <cell r="AF275">
            <v>30</v>
          </cell>
          <cell r="AG275">
            <v>30</v>
          </cell>
          <cell r="AH275">
            <v>0</v>
          </cell>
          <cell r="AK275">
            <v>340</v>
          </cell>
        </row>
        <row r="276">
          <cell r="D276">
            <v>0</v>
          </cell>
          <cell r="F276">
            <v>7</v>
          </cell>
          <cell r="L276">
            <v>0</v>
          </cell>
          <cell r="N276">
            <v>0</v>
          </cell>
          <cell r="P276">
            <v>57</v>
          </cell>
          <cell r="Q276">
            <v>0</v>
          </cell>
          <cell r="R276">
            <v>0</v>
          </cell>
          <cell r="S276">
            <v>3154</v>
          </cell>
          <cell r="T276">
            <v>0</v>
          </cell>
          <cell r="U276">
            <v>0</v>
          </cell>
          <cell r="V276">
            <v>0</v>
          </cell>
          <cell r="W276">
            <v>0</v>
          </cell>
          <cell r="X276">
            <v>46</v>
          </cell>
          <cell r="Y276">
            <v>0</v>
          </cell>
          <cell r="Z276">
            <v>0</v>
          </cell>
          <cell r="AA276">
            <v>0</v>
          </cell>
          <cell r="AB276">
            <v>0</v>
          </cell>
          <cell r="AC276">
            <v>195</v>
          </cell>
          <cell r="AD276">
            <v>0</v>
          </cell>
          <cell r="AE276">
            <v>0</v>
          </cell>
          <cell r="AF276">
            <v>890</v>
          </cell>
          <cell r="AG276">
            <v>442</v>
          </cell>
          <cell r="AH276">
            <v>448</v>
          </cell>
          <cell r="AI276">
            <v>0</v>
          </cell>
          <cell r="AK276">
            <v>4618</v>
          </cell>
        </row>
        <row r="277">
          <cell r="D277">
            <v>1469.56</v>
          </cell>
          <cell r="F277">
            <v>0</v>
          </cell>
          <cell r="L277">
            <v>146.68</v>
          </cell>
          <cell r="N277">
            <v>646.83333333333337</v>
          </cell>
          <cell r="P277">
            <v>1</v>
          </cell>
          <cell r="R277">
            <v>181.00000000000003</v>
          </cell>
          <cell r="S277">
            <v>0</v>
          </cell>
          <cell r="V277">
            <v>1564.4430303030269</v>
          </cell>
          <cell r="X277">
            <v>46</v>
          </cell>
          <cell r="AA277">
            <v>285.5333333333333</v>
          </cell>
          <cell r="AC277">
            <v>195</v>
          </cell>
          <cell r="AF277">
            <v>0</v>
          </cell>
          <cell r="AG277">
            <v>0</v>
          </cell>
          <cell r="AH277">
            <v>0</v>
          </cell>
          <cell r="AI277">
            <v>0</v>
          </cell>
          <cell r="AK277">
            <v>242</v>
          </cell>
        </row>
        <row r="278">
          <cell r="D278">
            <v>76.56</v>
          </cell>
          <cell r="F278">
            <v>7</v>
          </cell>
          <cell r="L278">
            <v>41.680000000000014</v>
          </cell>
          <cell r="N278">
            <v>64.833333333333343</v>
          </cell>
          <cell r="P278">
            <v>56</v>
          </cell>
          <cell r="R278">
            <v>12.000000000000021</v>
          </cell>
          <cell r="S278">
            <v>3154</v>
          </cell>
          <cell r="V278">
            <v>1020.0030303030269</v>
          </cell>
          <cell r="X278">
            <v>0</v>
          </cell>
          <cell r="AA278">
            <v>12.533333333333331</v>
          </cell>
          <cell r="AC278">
            <v>0</v>
          </cell>
          <cell r="AF278">
            <v>890</v>
          </cell>
          <cell r="AG278">
            <v>442</v>
          </cell>
          <cell r="AH278">
            <v>448</v>
          </cell>
          <cell r="AI278">
            <v>0</v>
          </cell>
          <cell r="AK278">
            <v>4107</v>
          </cell>
        </row>
        <row r="279">
          <cell r="D279">
            <v>1</v>
          </cell>
          <cell r="L279">
            <v>35</v>
          </cell>
          <cell r="N279">
            <v>402</v>
          </cell>
          <cell r="R279">
            <v>87</v>
          </cell>
          <cell r="V279">
            <v>127.44</v>
          </cell>
          <cell r="AA279">
            <v>112</v>
          </cell>
          <cell r="AK279">
            <v>269</v>
          </cell>
        </row>
        <row r="280">
          <cell r="D280">
            <v>1392</v>
          </cell>
          <cell r="L280">
            <v>70</v>
          </cell>
          <cell r="N280">
            <v>180</v>
          </cell>
          <cell r="R280">
            <v>82</v>
          </cell>
          <cell r="S280">
            <v>250</v>
          </cell>
          <cell r="V280">
            <v>417</v>
          </cell>
          <cell r="AA280">
            <v>161</v>
          </cell>
          <cell r="AH280">
            <v>0</v>
          </cell>
          <cell r="AI280">
            <v>0</v>
          </cell>
          <cell r="AK280">
            <v>250</v>
          </cell>
        </row>
        <row r="281">
          <cell r="F281">
            <v>119511.41476190477</v>
          </cell>
          <cell r="L281">
            <v>0</v>
          </cell>
          <cell r="P281">
            <v>523.29999999999995</v>
          </cell>
          <cell r="Q281">
            <v>0</v>
          </cell>
          <cell r="R281">
            <v>0</v>
          </cell>
          <cell r="S281">
            <v>1814</v>
          </cell>
          <cell r="T281">
            <v>-571.83999999999992</v>
          </cell>
          <cell r="U281">
            <v>-572.16000000000008</v>
          </cell>
          <cell r="V281">
            <v>0</v>
          </cell>
          <cell r="W281">
            <v>0</v>
          </cell>
          <cell r="X281">
            <v>691.84848484848271</v>
          </cell>
          <cell r="Y281">
            <v>-485</v>
          </cell>
          <cell r="Z281">
            <v>-632.18181818181824</v>
          </cell>
          <cell r="AA281">
            <v>0</v>
          </cell>
          <cell r="AB281">
            <v>0</v>
          </cell>
          <cell r="AC281">
            <v>412</v>
          </cell>
          <cell r="AD281">
            <v>-116</v>
          </cell>
          <cell r="AE281">
            <v>-186</v>
          </cell>
          <cell r="AF281">
            <v>704.02242424242377</v>
          </cell>
          <cell r="AG281">
            <v>643.68969964743201</v>
          </cell>
          <cell r="AH281">
            <v>61.332724594992669</v>
          </cell>
          <cell r="AI281">
            <v>-952</v>
          </cell>
          <cell r="AK281">
            <v>123773.91900432901</v>
          </cell>
        </row>
        <row r="282">
          <cell r="D282">
            <v>17</v>
          </cell>
          <cell r="L282">
            <v>61</v>
          </cell>
          <cell r="N282">
            <v>7</v>
          </cell>
          <cell r="R282">
            <v>178</v>
          </cell>
          <cell r="V282">
            <v>0</v>
          </cell>
          <cell r="AA282">
            <v>0</v>
          </cell>
          <cell r="AK282">
            <v>0</v>
          </cell>
        </row>
        <row r="283">
          <cell r="D283">
            <v>61042.181136363637</v>
          </cell>
          <cell r="F283">
            <v>1482.14</v>
          </cell>
          <cell r="L283">
            <v>313.68000000000029</v>
          </cell>
          <cell r="N283">
            <v>2182.8333333333321</v>
          </cell>
          <cell r="P283">
            <v>523.29999999999995</v>
          </cell>
          <cell r="Q283">
            <v>0</v>
          </cell>
          <cell r="R283">
            <v>564.99999999999727</v>
          </cell>
          <cell r="S283">
            <v>1814</v>
          </cell>
          <cell r="T283">
            <v>0</v>
          </cell>
          <cell r="U283">
            <v>0</v>
          </cell>
          <cell r="V283">
            <v>-90.193333333336341</v>
          </cell>
          <cell r="W283">
            <v>0</v>
          </cell>
          <cell r="X283">
            <v>691.84848484848487</v>
          </cell>
          <cell r="Y283">
            <v>0</v>
          </cell>
          <cell r="Z283">
            <v>0</v>
          </cell>
          <cell r="AA283">
            <v>472.5333333333333</v>
          </cell>
          <cell r="AB283">
            <v>0</v>
          </cell>
          <cell r="AC283">
            <v>412</v>
          </cell>
          <cell r="AD283">
            <v>0</v>
          </cell>
          <cell r="AE283">
            <v>0</v>
          </cell>
          <cell r="AF283">
            <v>705.02242424242422</v>
          </cell>
          <cell r="AG283">
            <v>643.68969964743155</v>
          </cell>
          <cell r="AH283">
            <v>61.332724594992641</v>
          </cell>
          <cell r="AI283">
            <v>1197.7</v>
          </cell>
          <cell r="AK283">
            <v>5745.6442424242432</v>
          </cell>
        </row>
        <row r="284">
          <cell r="F284">
            <v>357</v>
          </cell>
          <cell r="P284">
            <v>100</v>
          </cell>
          <cell r="S284">
            <v>990</v>
          </cell>
          <cell r="X284">
            <v>100</v>
          </cell>
          <cell r="AA284">
            <v>0</v>
          </cell>
          <cell r="AC284">
            <v>20</v>
          </cell>
          <cell r="AF284">
            <v>0</v>
          </cell>
          <cell r="AG284">
            <v>0</v>
          </cell>
          <cell r="AH284">
            <v>0</v>
          </cell>
          <cell r="AI284">
            <v>269</v>
          </cell>
          <cell r="AK284">
            <v>1580</v>
          </cell>
        </row>
        <row r="285">
          <cell r="F285">
            <v>63</v>
          </cell>
          <cell r="P285">
            <v>257</v>
          </cell>
          <cell r="Q285">
            <v>0</v>
          </cell>
          <cell r="R285">
            <v>0</v>
          </cell>
          <cell r="S285">
            <v>219</v>
          </cell>
          <cell r="T285">
            <v>0</v>
          </cell>
          <cell r="U285">
            <v>0</v>
          </cell>
          <cell r="V285">
            <v>0</v>
          </cell>
          <cell r="W285">
            <v>0</v>
          </cell>
          <cell r="X285">
            <v>229.18181818181819</v>
          </cell>
          <cell r="Y285">
            <v>0</v>
          </cell>
          <cell r="Z285">
            <v>0</v>
          </cell>
          <cell r="AA285">
            <v>0</v>
          </cell>
          <cell r="AB285">
            <v>0</v>
          </cell>
          <cell r="AC285">
            <v>218</v>
          </cell>
          <cell r="AD285">
            <v>0</v>
          </cell>
          <cell r="AE285">
            <v>0</v>
          </cell>
          <cell r="AF285">
            <v>358.90909090909088</v>
          </cell>
          <cell r="AG285">
            <v>358.90909090909088</v>
          </cell>
          <cell r="AH285">
            <v>0</v>
          </cell>
          <cell r="AI285">
            <v>0</v>
          </cell>
          <cell r="AK285">
            <v>1345.090909090909</v>
          </cell>
        </row>
        <row r="286">
          <cell r="D286">
            <v>61042.181136363637</v>
          </cell>
          <cell r="F286">
            <v>375</v>
          </cell>
          <cell r="L286">
            <v>313.68000000000029</v>
          </cell>
          <cell r="N286">
            <v>2182.8333333333321</v>
          </cell>
          <cell r="P286">
            <v>14</v>
          </cell>
          <cell r="R286">
            <v>564.99999999999727</v>
          </cell>
          <cell r="S286">
            <v>37</v>
          </cell>
          <cell r="V286">
            <v>-90.193333333336341</v>
          </cell>
          <cell r="X286">
            <v>17.666666666666668</v>
          </cell>
          <cell r="AA286">
            <v>472.5333333333333</v>
          </cell>
          <cell r="AC286">
            <v>19</v>
          </cell>
          <cell r="AF286">
            <v>30.333333333333332</v>
          </cell>
          <cell r="AG286">
            <v>30.333333333333332</v>
          </cell>
          <cell r="AH286">
            <v>0</v>
          </cell>
          <cell r="AI286">
            <v>843</v>
          </cell>
          <cell r="AK286">
            <v>500</v>
          </cell>
        </row>
        <row r="287">
          <cell r="D287">
            <v>0</v>
          </cell>
          <cell r="F287">
            <v>286.33333333333326</v>
          </cell>
          <cell r="P287">
            <v>7</v>
          </cell>
          <cell r="S287">
            <v>30</v>
          </cell>
          <cell r="X287">
            <v>18</v>
          </cell>
          <cell r="AC287">
            <v>5</v>
          </cell>
          <cell r="AF287">
            <v>33.666666666666664</v>
          </cell>
          <cell r="AG287">
            <v>33.666666666666664</v>
          </cell>
          <cell r="AH287">
            <v>0</v>
          </cell>
          <cell r="AI287">
            <v>79</v>
          </cell>
          <cell r="AK287">
            <v>382.33333333333326</v>
          </cell>
        </row>
        <row r="288">
          <cell r="D288">
            <v>0</v>
          </cell>
          <cell r="F288">
            <v>386.1400000000001</v>
          </cell>
          <cell r="L288">
            <v>0</v>
          </cell>
          <cell r="N288">
            <v>0</v>
          </cell>
          <cell r="P288">
            <v>85.300000000000011</v>
          </cell>
          <cell r="Q288">
            <v>0</v>
          </cell>
          <cell r="R288">
            <v>0</v>
          </cell>
          <cell r="S288">
            <v>530</v>
          </cell>
          <cell r="T288">
            <v>0</v>
          </cell>
          <cell r="U288">
            <v>0</v>
          </cell>
          <cell r="V288">
            <v>0</v>
          </cell>
          <cell r="W288">
            <v>0</v>
          </cell>
          <cell r="X288">
            <v>177</v>
          </cell>
          <cell r="Y288">
            <v>0</v>
          </cell>
          <cell r="Z288">
            <v>0</v>
          </cell>
          <cell r="AA288">
            <v>0</v>
          </cell>
          <cell r="AB288">
            <v>0</v>
          </cell>
          <cell r="AC288">
            <v>124</v>
          </cell>
          <cell r="AD288">
            <v>0</v>
          </cell>
          <cell r="AE288">
            <v>0</v>
          </cell>
          <cell r="AF288">
            <v>270.11333333333334</v>
          </cell>
          <cell r="AG288">
            <v>209.7806087383407</v>
          </cell>
          <cell r="AH288">
            <v>60.332724594992641</v>
          </cell>
          <cell r="AI288">
            <v>0</v>
          </cell>
          <cell r="AK288">
            <v>1667.5533333333333</v>
          </cell>
        </row>
        <row r="289">
          <cell r="D289">
            <v>0</v>
          </cell>
          <cell r="F289">
            <v>2.4733333333334144</v>
          </cell>
          <cell r="L289">
            <v>0</v>
          </cell>
          <cell r="N289">
            <v>0</v>
          </cell>
          <cell r="P289">
            <v>11.300000000000011</v>
          </cell>
          <cell r="R289">
            <v>0</v>
          </cell>
          <cell r="S289">
            <v>39</v>
          </cell>
          <cell r="V289">
            <v>0</v>
          </cell>
          <cell r="X289">
            <v>10</v>
          </cell>
          <cell r="AA289">
            <v>0</v>
          </cell>
          <cell r="AC289">
            <v>43</v>
          </cell>
          <cell r="AF289">
            <v>2.1133333333333297</v>
          </cell>
          <cell r="AG289">
            <v>1.4472754050073586</v>
          </cell>
          <cell r="AH289">
            <v>0.6660579283259711</v>
          </cell>
          <cell r="AI289">
            <v>0</v>
          </cell>
          <cell r="AK289">
            <v>148.88666666666677</v>
          </cell>
        </row>
        <row r="290">
          <cell r="F290">
            <v>1</v>
          </cell>
          <cell r="P290">
            <v>29</v>
          </cell>
          <cell r="S290">
            <v>381</v>
          </cell>
          <cell r="X290">
            <v>99</v>
          </cell>
          <cell r="AC290">
            <v>54</v>
          </cell>
          <cell r="AF290">
            <v>162.33333333333334</v>
          </cell>
          <cell r="AG290">
            <v>111.66666666666667</v>
          </cell>
          <cell r="AH290">
            <v>50.666666666666671</v>
          </cell>
          <cell r="AI290">
            <v>0</v>
          </cell>
          <cell r="AK290">
            <v>727.33333333333337</v>
          </cell>
        </row>
        <row r="291">
          <cell r="D291">
            <v>61042.181136363637</v>
          </cell>
          <cell r="F291">
            <v>382.66666666666669</v>
          </cell>
          <cell r="L291">
            <v>313.68000000000029</v>
          </cell>
          <cell r="N291">
            <v>2182.8333333333321</v>
          </cell>
          <cell r="P291">
            <v>45</v>
          </cell>
          <cell r="R291">
            <v>564.99999999999727</v>
          </cell>
          <cell r="S291">
            <v>110</v>
          </cell>
          <cell r="V291">
            <v>-90.193333333336341</v>
          </cell>
          <cell r="X291">
            <v>68</v>
          </cell>
          <cell r="AA291">
            <v>472.5333333333333</v>
          </cell>
          <cell r="AC291">
            <v>27</v>
          </cell>
          <cell r="AF291">
            <v>105.66666666666667</v>
          </cell>
          <cell r="AG291">
            <v>96.666666666666671</v>
          </cell>
          <cell r="AH291">
            <v>9</v>
          </cell>
          <cell r="AI291">
            <v>0</v>
          </cell>
          <cell r="AK291">
            <v>791.33333333333337</v>
          </cell>
        </row>
        <row r="292">
          <cell r="P292">
            <v>0</v>
          </cell>
          <cell r="AF292">
            <v>0</v>
          </cell>
          <cell r="AG292">
            <v>0</v>
          </cell>
          <cell r="AH292">
            <v>0</v>
          </cell>
          <cell r="AI292">
            <v>0</v>
          </cell>
          <cell r="AK292">
            <v>0</v>
          </cell>
        </row>
        <row r="293">
          <cell r="F293">
            <v>14.666666666666666</v>
          </cell>
          <cell r="L293">
            <v>300</v>
          </cell>
          <cell r="P293">
            <v>60</v>
          </cell>
          <cell r="S293">
            <v>8</v>
          </cell>
          <cell r="X293">
            <v>150</v>
          </cell>
          <cell r="AC293">
            <v>26</v>
          </cell>
          <cell r="AF293">
            <v>12</v>
          </cell>
          <cell r="AG293">
            <v>11</v>
          </cell>
          <cell r="AH293">
            <v>1</v>
          </cell>
          <cell r="AI293">
            <v>6.7</v>
          </cell>
          <cell r="AK293">
            <v>270.66666666666669</v>
          </cell>
        </row>
        <row r="294">
          <cell r="F294">
            <v>119511.41476190477</v>
          </cell>
          <cell r="N294">
            <v>400</v>
          </cell>
          <cell r="P294">
            <v>523.29999999999995</v>
          </cell>
          <cell r="Q294">
            <v>0</v>
          </cell>
          <cell r="R294">
            <v>0</v>
          </cell>
          <cell r="S294">
            <v>1814</v>
          </cell>
          <cell r="T294">
            <v>-571.83999999999992</v>
          </cell>
          <cell r="U294">
            <v>-572.16000000000008</v>
          </cell>
          <cell r="V294">
            <v>0</v>
          </cell>
          <cell r="W294">
            <v>0</v>
          </cell>
          <cell r="X294">
            <v>691.84848484848271</v>
          </cell>
          <cell r="Y294">
            <v>-485</v>
          </cell>
          <cell r="Z294">
            <v>-632.18181818181824</v>
          </cell>
          <cell r="AA294">
            <v>0</v>
          </cell>
          <cell r="AB294">
            <v>0</v>
          </cell>
          <cell r="AC294">
            <v>412</v>
          </cell>
          <cell r="AD294">
            <v>-116</v>
          </cell>
          <cell r="AE294">
            <v>-186</v>
          </cell>
          <cell r="AF294">
            <v>704.02242424242377</v>
          </cell>
          <cell r="AG294">
            <v>643.68969964743201</v>
          </cell>
          <cell r="AH294">
            <v>61.332724594992669</v>
          </cell>
          <cell r="AI294">
            <v>-952</v>
          </cell>
          <cell r="AK294">
            <v>123773.91900432901</v>
          </cell>
        </row>
        <row r="295">
          <cell r="V295">
            <v>417</v>
          </cell>
          <cell r="AH295">
            <v>191</v>
          </cell>
          <cell r="AK295">
            <v>0</v>
          </cell>
        </row>
        <row r="296">
          <cell r="D296">
            <v>990</v>
          </cell>
        </row>
        <row r="297">
          <cell r="F297">
            <v>119511.41476190477</v>
          </cell>
          <cell r="P297">
            <v>523.29999999999995</v>
          </cell>
          <cell r="Q297">
            <v>0</v>
          </cell>
          <cell r="R297">
            <v>0</v>
          </cell>
          <cell r="S297">
            <v>1814</v>
          </cell>
          <cell r="T297">
            <v>-571.83999999999992</v>
          </cell>
          <cell r="U297">
            <v>-572.16000000000008</v>
          </cell>
          <cell r="V297">
            <v>0</v>
          </cell>
          <cell r="W297">
            <v>0</v>
          </cell>
          <cell r="X297">
            <v>691.84848484848271</v>
          </cell>
          <cell r="Y297">
            <v>-485</v>
          </cell>
          <cell r="Z297">
            <v>-632.18181818181824</v>
          </cell>
          <cell r="AA297">
            <v>0</v>
          </cell>
          <cell r="AB297">
            <v>0</v>
          </cell>
          <cell r="AC297">
            <v>412</v>
          </cell>
          <cell r="AF297">
            <v>704.02242424242377</v>
          </cell>
          <cell r="AG297">
            <v>451.6896996474311</v>
          </cell>
          <cell r="AH297">
            <v>252.33272459499267</v>
          </cell>
          <cell r="AK297">
            <v>123773.91900432901</v>
          </cell>
        </row>
        <row r="298">
          <cell r="F298">
            <v>0</v>
          </cell>
          <cell r="AK298">
            <v>0</v>
          </cell>
        </row>
        <row r="299">
          <cell r="F299">
            <v>0</v>
          </cell>
          <cell r="P299">
            <v>0</v>
          </cell>
          <cell r="Q299">
            <v>0</v>
          </cell>
          <cell r="R299">
            <v>0</v>
          </cell>
          <cell r="S299">
            <v>296</v>
          </cell>
          <cell r="T299">
            <v>0</v>
          </cell>
          <cell r="U299">
            <v>0</v>
          </cell>
          <cell r="V299">
            <v>0</v>
          </cell>
          <cell r="W299">
            <v>0</v>
          </cell>
          <cell r="X299">
            <v>625</v>
          </cell>
          <cell r="Y299">
            <v>0</v>
          </cell>
          <cell r="Z299">
            <v>0</v>
          </cell>
          <cell r="AA299">
            <v>0</v>
          </cell>
          <cell r="AB299">
            <v>0</v>
          </cell>
          <cell r="AC299">
            <v>444</v>
          </cell>
          <cell r="AD299">
            <v>0</v>
          </cell>
          <cell r="AE299">
            <v>0</v>
          </cell>
          <cell r="AF299">
            <v>180</v>
          </cell>
          <cell r="AG299">
            <v>180</v>
          </cell>
          <cell r="AH299">
            <v>0</v>
          </cell>
          <cell r="AI299">
            <v>0</v>
          </cell>
          <cell r="AK299">
            <v>1545</v>
          </cell>
        </row>
        <row r="300">
          <cell r="D300">
            <v>61042.181136363637</v>
          </cell>
          <cell r="F300">
            <v>0</v>
          </cell>
          <cell r="L300">
            <v>313.68000000000029</v>
          </cell>
          <cell r="N300">
            <v>2182.8333333333321</v>
          </cell>
          <cell r="P300">
            <v>0</v>
          </cell>
          <cell r="R300">
            <v>564.99999999999727</v>
          </cell>
          <cell r="S300">
            <v>296</v>
          </cell>
          <cell r="V300">
            <v>-90.193333333336341</v>
          </cell>
          <cell r="X300">
            <v>625</v>
          </cell>
          <cell r="AA300">
            <v>472.5333333333333</v>
          </cell>
          <cell r="AC300">
            <v>444</v>
          </cell>
          <cell r="AF300">
            <v>180</v>
          </cell>
          <cell r="AG300">
            <v>180</v>
          </cell>
          <cell r="AH300">
            <v>0</v>
          </cell>
          <cell r="AI300">
            <v>0</v>
          </cell>
          <cell r="AK300">
            <v>1545</v>
          </cell>
        </row>
        <row r="301">
          <cell r="AK301">
            <v>0</v>
          </cell>
        </row>
        <row r="302">
          <cell r="F302">
            <v>119511.41476190477</v>
          </cell>
          <cell r="P302">
            <v>523.29999999999995</v>
          </cell>
          <cell r="Q302">
            <v>0</v>
          </cell>
          <cell r="R302">
            <v>0</v>
          </cell>
          <cell r="S302">
            <v>2110</v>
          </cell>
          <cell r="T302">
            <v>-571.83999999999992</v>
          </cell>
          <cell r="U302">
            <v>-572.16000000000008</v>
          </cell>
          <cell r="V302">
            <v>0</v>
          </cell>
          <cell r="W302">
            <v>0</v>
          </cell>
          <cell r="X302">
            <v>1316.8484848484827</v>
          </cell>
          <cell r="Y302">
            <v>-485</v>
          </cell>
          <cell r="Z302">
            <v>-632.18181818181824</v>
          </cell>
          <cell r="AA302">
            <v>0</v>
          </cell>
          <cell r="AB302">
            <v>0</v>
          </cell>
          <cell r="AC302">
            <v>856</v>
          </cell>
          <cell r="AD302">
            <v>-116</v>
          </cell>
          <cell r="AE302">
            <v>-186</v>
          </cell>
          <cell r="AF302">
            <v>884.02242424242377</v>
          </cell>
          <cell r="AG302">
            <v>631.6896996474311</v>
          </cell>
          <cell r="AH302">
            <v>252.33272459499267</v>
          </cell>
          <cell r="AI302">
            <v>-952</v>
          </cell>
          <cell r="AK302">
            <v>125318.91900432901</v>
          </cell>
        </row>
        <row r="303">
          <cell r="AK303">
            <v>0</v>
          </cell>
        </row>
        <row r="304">
          <cell r="P304">
            <v>0</v>
          </cell>
          <cell r="AK304">
            <v>0</v>
          </cell>
        </row>
        <row r="305">
          <cell r="S305">
            <v>0</v>
          </cell>
          <cell r="AK305">
            <v>0</v>
          </cell>
        </row>
        <row r="306">
          <cell r="F306">
            <v>5733.333333333333</v>
          </cell>
          <cell r="AK306">
            <v>5733.333333333333</v>
          </cell>
        </row>
        <row r="307">
          <cell r="S307">
            <v>0</v>
          </cell>
        </row>
        <row r="308">
          <cell r="F308">
            <v>0</v>
          </cell>
          <cell r="AK308">
            <v>0</v>
          </cell>
        </row>
        <row r="309">
          <cell r="AK309">
            <v>0</v>
          </cell>
        </row>
        <row r="311">
          <cell r="AK311">
            <v>0</v>
          </cell>
        </row>
        <row r="312">
          <cell r="S312">
            <v>0</v>
          </cell>
        </row>
        <row r="313">
          <cell r="F313">
            <v>119511.41476190477</v>
          </cell>
          <cell r="P313">
            <v>523.29999999999995</v>
          </cell>
          <cell r="Q313">
            <v>0</v>
          </cell>
          <cell r="R313">
            <v>0</v>
          </cell>
          <cell r="S313">
            <v>2110</v>
          </cell>
          <cell r="T313">
            <v>-571.83999999999992</v>
          </cell>
          <cell r="U313">
            <v>-572.16000000000008</v>
          </cell>
          <cell r="V313">
            <v>0</v>
          </cell>
          <cell r="W313">
            <v>0</v>
          </cell>
          <cell r="X313">
            <v>1316.8484848484827</v>
          </cell>
          <cell r="Y313">
            <v>-485</v>
          </cell>
          <cell r="Z313">
            <v>-632.18181818181824</v>
          </cell>
          <cell r="AA313">
            <v>0</v>
          </cell>
          <cell r="AB313">
            <v>0</v>
          </cell>
          <cell r="AC313">
            <v>856</v>
          </cell>
          <cell r="AD313">
            <v>-116</v>
          </cell>
          <cell r="AE313">
            <v>-186</v>
          </cell>
          <cell r="AF313">
            <v>884.02242424242377</v>
          </cell>
          <cell r="AG313">
            <v>631.6896996474311</v>
          </cell>
          <cell r="AH313">
            <v>252.33272459499267</v>
          </cell>
          <cell r="AI313">
            <v>-952</v>
          </cell>
          <cell r="AK313">
            <v>125318.91900432901</v>
          </cell>
        </row>
        <row r="321">
          <cell r="T321" t="str">
            <v>ФМЗ ( з відрахуван)</v>
          </cell>
          <cell r="V321">
            <v>25</v>
          </cell>
        </row>
        <row r="322">
          <cell r="AJ322">
            <v>2455</v>
          </cell>
          <cell r="AK322">
            <v>7482</v>
          </cell>
          <cell r="AM322">
            <v>6461</v>
          </cell>
        </row>
        <row r="323">
          <cell r="F323">
            <v>161.45454545454544</v>
          </cell>
          <cell r="P323">
            <v>263.45454545454544</v>
          </cell>
          <cell r="S323">
            <v>563.72727272727275</v>
          </cell>
          <cell r="X323">
            <v>227.63636363636363</v>
          </cell>
          <cell r="AC323">
            <v>178.90909090909091</v>
          </cell>
          <cell r="AF323">
            <v>537.90909090909088</v>
          </cell>
          <cell r="AG323">
            <v>479.90909090909088</v>
          </cell>
          <cell r="AH323">
            <v>58</v>
          </cell>
          <cell r="AI323">
            <v>259.63636363636363</v>
          </cell>
          <cell r="AK323">
            <v>2040</v>
          </cell>
          <cell r="AM323">
            <v>1761.7272727272725</v>
          </cell>
        </row>
        <row r="324">
          <cell r="AJ324">
            <v>36</v>
          </cell>
          <cell r="AK324">
            <v>11812.941428571428</v>
          </cell>
          <cell r="AM324">
            <v>11812.941428571428</v>
          </cell>
        </row>
        <row r="325">
          <cell r="AK325">
            <v>825</v>
          </cell>
          <cell r="AM325">
            <v>825</v>
          </cell>
        </row>
        <row r="326">
          <cell r="AJ326">
            <v>36</v>
          </cell>
          <cell r="AK326">
            <v>270.66666666666669</v>
          </cell>
          <cell r="AM326">
            <v>265.36666666666662</v>
          </cell>
        </row>
        <row r="327">
          <cell r="AK327">
            <v>4663.9414285714283</v>
          </cell>
          <cell r="AM327">
            <v>4663.9414285714283</v>
          </cell>
        </row>
        <row r="328">
          <cell r="AK328">
            <v>3500</v>
          </cell>
          <cell r="AM328">
            <v>3500</v>
          </cell>
        </row>
        <row r="329">
          <cell r="AK329">
            <v>0</v>
          </cell>
        </row>
        <row r="330">
          <cell r="AK330">
            <v>2824</v>
          </cell>
          <cell r="AM330">
            <v>2824</v>
          </cell>
        </row>
        <row r="331">
          <cell r="AK331">
            <v>6321.6666666666661</v>
          </cell>
        </row>
        <row r="332">
          <cell r="AK332">
            <v>0</v>
          </cell>
          <cell r="AM332">
            <v>0</v>
          </cell>
        </row>
        <row r="333">
          <cell r="AK333">
            <v>1580</v>
          </cell>
          <cell r="AM333">
            <v>1849</v>
          </cell>
        </row>
        <row r="334">
          <cell r="AK334">
            <v>1345.090909090909</v>
          </cell>
          <cell r="AM334">
            <v>986.18181818181824</v>
          </cell>
        </row>
        <row r="335">
          <cell r="AK335">
            <v>1545</v>
          </cell>
          <cell r="AM335">
            <v>1365</v>
          </cell>
        </row>
        <row r="336">
          <cell r="AK336">
            <v>1545</v>
          </cell>
          <cell r="AM336">
            <v>1365</v>
          </cell>
        </row>
        <row r="337">
          <cell r="AK337">
            <v>0</v>
          </cell>
          <cell r="AM337">
            <v>0</v>
          </cell>
        </row>
        <row r="338">
          <cell r="AK338">
            <v>2739.1133333333337</v>
          </cell>
          <cell r="AM338">
            <v>2234.8933333333334</v>
          </cell>
        </row>
        <row r="339">
          <cell r="AK339">
            <v>1096.4866666666667</v>
          </cell>
          <cell r="AM339">
            <v>889.5333333333333</v>
          </cell>
        </row>
        <row r="340">
          <cell r="AK340">
            <v>582.62666666666655</v>
          </cell>
          <cell r="AM340">
            <v>565.3599999999999</v>
          </cell>
        </row>
        <row r="341">
          <cell r="AK341">
            <v>720</v>
          </cell>
        </row>
        <row r="342">
          <cell r="AK342">
            <v>340</v>
          </cell>
        </row>
        <row r="343">
          <cell r="AK343">
            <v>0</v>
          </cell>
          <cell r="AM343">
            <v>0</v>
          </cell>
        </row>
        <row r="344">
          <cell r="AK344">
            <v>242</v>
          </cell>
          <cell r="AM344">
            <v>242</v>
          </cell>
        </row>
        <row r="345">
          <cell r="AK345">
            <v>4107</v>
          </cell>
          <cell r="AM345">
            <v>3217</v>
          </cell>
        </row>
        <row r="346">
          <cell r="P346">
            <v>225</v>
          </cell>
          <cell r="S346">
            <v>296</v>
          </cell>
          <cell r="X346">
            <v>56</v>
          </cell>
          <cell r="AC346">
            <v>33</v>
          </cell>
          <cell r="AF346">
            <v>88.909090909090907</v>
          </cell>
          <cell r="AG346">
            <v>88.909090909090907</v>
          </cell>
          <cell r="AH346">
            <v>0</v>
          </cell>
          <cell r="AK346">
            <v>698.90909090909088</v>
          </cell>
        </row>
        <row r="347">
          <cell r="AK347">
            <v>0</v>
          </cell>
        </row>
        <row r="348">
          <cell r="F348">
            <v>0</v>
          </cell>
          <cell r="P348">
            <v>0</v>
          </cell>
          <cell r="S348">
            <v>0</v>
          </cell>
          <cell r="X348">
            <v>0</v>
          </cell>
          <cell r="AC348">
            <v>0</v>
          </cell>
          <cell r="AF348">
            <v>0</v>
          </cell>
          <cell r="AG348">
            <v>0</v>
          </cell>
          <cell r="AH348">
            <v>0</v>
          </cell>
          <cell r="AI348">
            <v>0</v>
          </cell>
          <cell r="AK348">
            <v>269</v>
          </cell>
          <cell r="AM348">
            <v>269</v>
          </cell>
        </row>
        <row r="349">
          <cell r="AK349">
            <v>61.666666666666664</v>
          </cell>
          <cell r="AM349">
            <v>61.666666666666664</v>
          </cell>
        </row>
        <row r="350">
          <cell r="AK350">
            <v>500</v>
          </cell>
          <cell r="AM350">
            <v>1312.6666666666667</v>
          </cell>
        </row>
        <row r="351">
          <cell r="AK351">
            <v>382.33333333333326</v>
          </cell>
          <cell r="AM351">
            <v>427.66666666666657</v>
          </cell>
        </row>
        <row r="352">
          <cell r="AJ352">
            <v>-2491</v>
          </cell>
          <cell r="AK352">
            <v>1667.5533333333333</v>
          </cell>
          <cell r="AM352" t="e">
            <v>#REF!</v>
          </cell>
        </row>
        <row r="353">
          <cell r="AK353">
            <v>148.88666666666677</v>
          </cell>
        </row>
        <row r="354">
          <cell r="AK354">
            <v>727.33333333333337</v>
          </cell>
        </row>
        <row r="355">
          <cell r="AK355">
            <v>791.33333333333337</v>
          </cell>
        </row>
        <row r="356">
          <cell r="F356">
            <v>19.333333333333329</v>
          </cell>
          <cell r="P356">
            <v>236</v>
          </cell>
          <cell r="S356">
            <v>507</v>
          </cell>
          <cell r="T356">
            <v>228.32</v>
          </cell>
          <cell r="U356">
            <v>1198.68</v>
          </cell>
          <cell r="X356">
            <v>598</v>
          </cell>
          <cell r="Y356">
            <v>307</v>
          </cell>
          <cell r="Z356">
            <v>401</v>
          </cell>
          <cell r="AC356">
            <v>654</v>
          </cell>
          <cell r="AD356">
            <v>249</v>
          </cell>
          <cell r="AE356">
            <v>454</v>
          </cell>
          <cell r="AF356">
            <v>336.33333333333337</v>
          </cell>
          <cell r="AG356">
            <v>280.33333333333337</v>
          </cell>
          <cell r="AH356">
            <v>56</v>
          </cell>
          <cell r="AI356">
            <v>0</v>
          </cell>
          <cell r="AK356">
            <v>2348.6666666666665</v>
          </cell>
          <cell r="AM356">
            <v>2012.3333333333333</v>
          </cell>
        </row>
        <row r="365">
          <cell r="F365">
            <v>-20223</v>
          </cell>
        </row>
        <row r="377">
          <cell r="F377" t="str">
            <v>лютий</v>
          </cell>
          <cell r="P377" t="str">
            <v>лютий</v>
          </cell>
          <cell r="X377" t="str">
            <v>лютий</v>
          </cell>
          <cell r="AC377" t="str">
            <v>лютий</v>
          </cell>
        </row>
        <row r="378">
          <cell r="F378" t="str">
            <v>АППАРАТ</v>
          </cell>
          <cell r="P378" t="str">
            <v>ККМ</v>
          </cell>
          <cell r="X378" t="str">
            <v>ТЕЦ5</v>
          </cell>
          <cell r="AC378" t="str">
            <v>ТЕЦ6</v>
          </cell>
          <cell r="AK378" t="str">
            <v>АК "КЕ"</v>
          </cell>
          <cell r="AL378" t="str">
            <v>Е/Е</v>
          </cell>
        </row>
        <row r="379">
          <cell r="F379" t="str">
            <v>ПЛАН</v>
          </cell>
          <cell r="P379" t="str">
            <v>ПЛАН</v>
          </cell>
          <cell r="X379" t="str">
            <v>ПЛАН</v>
          </cell>
          <cell r="AC379" t="str">
            <v>ПЛАН</v>
          </cell>
          <cell r="AK379" t="str">
            <v>ПЛАН</v>
          </cell>
          <cell r="AL379" t="str">
            <v>ПЛАН</v>
          </cell>
        </row>
        <row r="380">
          <cell r="F380">
            <v>164.3</v>
          </cell>
          <cell r="P380">
            <v>14.333333333333332</v>
          </cell>
          <cell r="S380">
            <v>14.333333333333332</v>
          </cell>
          <cell r="X380">
            <v>182</v>
          </cell>
          <cell r="Y380">
            <v>79</v>
          </cell>
          <cell r="Z380">
            <v>79</v>
          </cell>
          <cell r="AC380">
            <v>323.66666666666674</v>
          </cell>
          <cell r="AD380">
            <v>124</v>
          </cell>
          <cell r="AE380">
            <v>123</v>
          </cell>
          <cell r="AK380">
            <v>735.30000000000018</v>
          </cell>
          <cell r="AL380">
            <v>292.93333333333334</v>
          </cell>
          <cell r="AM380">
            <v>279.33333333333331</v>
          </cell>
        </row>
        <row r="381">
          <cell r="F381">
            <v>29</v>
          </cell>
          <cell r="P381">
            <v>0</v>
          </cell>
          <cell r="X381">
            <v>0</v>
          </cell>
          <cell r="Y381">
            <v>0</v>
          </cell>
          <cell r="AC381">
            <v>3.6666666666666665</v>
          </cell>
          <cell r="AD381">
            <v>1</v>
          </cell>
          <cell r="AK381">
            <v>46</v>
          </cell>
          <cell r="AL381">
            <v>12</v>
          </cell>
        </row>
        <row r="382">
          <cell r="F382">
            <v>0</v>
          </cell>
          <cell r="P382">
            <v>0.66666666666666663</v>
          </cell>
          <cell r="X382">
            <v>146.66666666666666</v>
          </cell>
          <cell r="Y382">
            <v>64</v>
          </cell>
          <cell r="AC382">
            <v>280.66666666666669</v>
          </cell>
          <cell r="AD382">
            <v>107</v>
          </cell>
          <cell r="AK382">
            <v>428</v>
          </cell>
          <cell r="AL382">
            <v>171.66666666666669</v>
          </cell>
        </row>
        <row r="383">
          <cell r="F383">
            <v>0</v>
          </cell>
          <cell r="P383">
            <v>2</v>
          </cell>
          <cell r="X383">
            <v>0</v>
          </cell>
          <cell r="Y383">
            <v>0</v>
          </cell>
          <cell r="AC383">
            <v>25</v>
          </cell>
          <cell r="AD383">
            <v>10</v>
          </cell>
          <cell r="AK383">
            <v>33.666666666666671</v>
          </cell>
          <cell r="AL383">
            <v>15</v>
          </cell>
        </row>
        <row r="384">
          <cell r="F384">
            <v>0</v>
          </cell>
          <cell r="P384">
            <v>0</v>
          </cell>
          <cell r="X384">
            <v>25.333333333333332</v>
          </cell>
          <cell r="Y384">
            <v>11</v>
          </cell>
          <cell r="AC384">
            <v>0.66666666666666663</v>
          </cell>
          <cell r="AD384">
            <v>0</v>
          </cell>
          <cell r="AK384">
            <v>26</v>
          </cell>
          <cell r="AL384">
            <v>11</v>
          </cell>
        </row>
        <row r="385">
          <cell r="F385">
            <v>120.63333333333333</v>
          </cell>
          <cell r="P385">
            <v>0</v>
          </cell>
          <cell r="X385">
            <v>0</v>
          </cell>
          <cell r="Y385">
            <v>0</v>
          </cell>
          <cell r="AC385">
            <v>0</v>
          </cell>
          <cell r="AD385">
            <v>0</v>
          </cell>
          <cell r="AK385">
            <v>120.63333333333333</v>
          </cell>
          <cell r="AL385">
            <v>37</v>
          </cell>
        </row>
        <row r="386">
          <cell r="F386">
            <v>8.6666666666666661</v>
          </cell>
          <cell r="P386">
            <v>0</v>
          </cell>
          <cell r="X386">
            <v>0</v>
          </cell>
          <cell r="Y386">
            <v>0</v>
          </cell>
          <cell r="AC386">
            <v>0</v>
          </cell>
          <cell r="AD386">
            <v>0</v>
          </cell>
          <cell r="AK386">
            <v>8.6666666666666661</v>
          </cell>
          <cell r="AL386">
            <v>0</v>
          </cell>
        </row>
        <row r="387">
          <cell r="F387">
            <v>0</v>
          </cell>
          <cell r="P387">
            <v>5.333333333333333</v>
          </cell>
          <cell r="X387">
            <v>0</v>
          </cell>
          <cell r="Y387">
            <v>0</v>
          </cell>
          <cell r="AC387">
            <v>0</v>
          </cell>
          <cell r="AD387">
            <v>0</v>
          </cell>
          <cell r="AK387">
            <v>22</v>
          </cell>
          <cell r="AL387">
            <v>15.333333333333332</v>
          </cell>
        </row>
        <row r="388">
          <cell r="F388">
            <v>5.333333333333333</v>
          </cell>
          <cell r="P388">
            <v>0</v>
          </cell>
          <cell r="X388">
            <v>0</v>
          </cell>
          <cell r="Y388">
            <v>0</v>
          </cell>
          <cell r="AC388">
            <v>0</v>
          </cell>
          <cell r="AD388">
            <v>0</v>
          </cell>
          <cell r="AK388">
            <v>5.333333333333333</v>
          </cell>
          <cell r="AL388">
            <v>2</v>
          </cell>
        </row>
        <row r="389">
          <cell r="F389">
            <v>0.33333333333333331</v>
          </cell>
          <cell r="P389">
            <v>4.333333333333333</v>
          </cell>
          <cell r="X389">
            <v>0</v>
          </cell>
          <cell r="Y389">
            <v>0</v>
          </cell>
          <cell r="AC389">
            <v>0</v>
          </cell>
          <cell r="AD389">
            <v>0</v>
          </cell>
          <cell r="AK389">
            <v>4.6666666666666661</v>
          </cell>
          <cell r="AL389">
            <v>4.333333333333333</v>
          </cell>
        </row>
        <row r="390">
          <cell r="F390">
            <v>0.33333333333333331</v>
          </cell>
          <cell r="P390">
            <v>2</v>
          </cell>
          <cell r="X390">
            <v>10</v>
          </cell>
          <cell r="Y390">
            <v>4</v>
          </cell>
          <cell r="AC390">
            <v>13.666666666666666</v>
          </cell>
          <cell r="AD390">
            <v>5</v>
          </cell>
          <cell r="AK390">
            <v>26</v>
          </cell>
          <cell r="AL390">
            <v>11</v>
          </cell>
        </row>
        <row r="391">
          <cell r="F391">
            <v>0</v>
          </cell>
          <cell r="P391">
            <v>0</v>
          </cell>
          <cell r="X391">
            <v>0</v>
          </cell>
          <cell r="Y391">
            <v>0</v>
          </cell>
          <cell r="AC391">
            <v>0</v>
          </cell>
          <cell r="AD391">
            <v>0</v>
          </cell>
          <cell r="AK391">
            <v>0</v>
          </cell>
        </row>
        <row r="392">
          <cell r="F392">
            <v>1.1666666666666667</v>
          </cell>
          <cell r="P392">
            <v>20.5</v>
          </cell>
          <cell r="X392">
            <v>522.33333333333337</v>
          </cell>
          <cell r="Y392">
            <v>227</v>
          </cell>
          <cell r="AC392">
            <v>43</v>
          </cell>
          <cell r="AD392">
            <v>16</v>
          </cell>
          <cell r="AK392">
            <v>587.33333333333337</v>
          </cell>
          <cell r="AL392">
            <v>263.5</v>
          </cell>
          <cell r="AM392">
            <v>263.83333333333331</v>
          </cell>
        </row>
        <row r="393">
          <cell r="F393">
            <v>0</v>
          </cell>
          <cell r="P393">
            <v>0</v>
          </cell>
          <cell r="X393">
            <v>0</v>
          </cell>
          <cell r="Y393">
            <v>0</v>
          </cell>
          <cell r="AC393">
            <v>0</v>
          </cell>
          <cell r="AD393">
            <v>0</v>
          </cell>
          <cell r="AK393">
            <v>0</v>
          </cell>
          <cell r="AL393">
            <v>0</v>
          </cell>
        </row>
        <row r="394">
          <cell r="F394">
            <v>0</v>
          </cell>
          <cell r="P394">
            <v>0</v>
          </cell>
          <cell r="X394">
            <v>480.66666666666669</v>
          </cell>
          <cell r="Y394">
            <v>209</v>
          </cell>
          <cell r="AC394">
            <v>11</v>
          </cell>
          <cell r="AD394">
            <v>4</v>
          </cell>
          <cell r="AK394">
            <v>491.66666666666669</v>
          </cell>
          <cell r="AL394">
            <v>213</v>
          </cell>
        </row>
        <row r="395">
          <cell r="F395">
            <v>0</v>
          </cell>
          <cell r="P395">
            <v>0</v>
          </cell>
          <cell r="X395">
            <v>0</v>
          </cell>
          <cell r="Y395">
            <v>0</v>
          </cell>
          <cell r="AC395">
            <v>0</v>
          </cell>
          <cell r="AD395">
            <v>0</v>
          </cell>
          <cell r="AK395">
            <v>0</v>
          </cell>
          <cell r="AL395">
            <v>0</v>
          </cell>
        </row>
        <row r="396">
          <cell r="F396">
            <v>1.1666666666666667</v>
          </cell>
          <cell r="P396">
            <v>15.833333333333334</v>
          </cell>
          <cell r="X396">
            <v>41.666666666666664</v>
          </cell>
          <cell r="Y396">
            <v>18</v>
          </cell>
          <cell r="AC396">
            <v>32</v>
          </cell>
          <cell r="AD396">
            <v>12</v>
          </cell>
          <cell r="AK396">
            <v>91</v>
          </cell>
          <cell r="AL396">
            <v>50.833333333333336</v>
          </cell>
        </row>
        <row r="397">
          <cell r="F397">
            <v>0</v>
          </cell>
          <cell r="P397">
            <v>4.666666666666667</v>
          </cell>
          <cell r="X397">
            <v>0</v>
          </cell>
          <cell r="Y397">
            <v>0</v>
          </cell>
          <cell r="AC397">
            <v>0</v>
          </cell>
          <cell r="AD397">
            <v>0</v>
          </cell>
          <cell r="AK397">
            <v>4.666666666666667</v>
          </cell>
          <cell r="AL397">
            <v>0</v>
          </cell>
        </row>
        <row r="398">
          <cell r="F398">
            <v>0</v>
          </cell>
          <cell r="P398">
            <v>0</v>
          </cell>
          <cell r="X398">
            <v>0</v>
          </cell>
          <cell r="Y398">
            <v>0</v>
          </cell>
          <cell r="AC398">
            <v>0</v>
          </cell>
          <cell r="AD398">
            <v>0</v>
          </cell>
          <cell r="AK398">
            <v>0</v>
          </cell>
        </row>
        <row r="399">
          <cell r="F399">
            <v>10</v>
          </cell>
          <cell r="P399">
            <v>39</v>
          </cell>
          <cell r="X399">
            <v>0</v>
          </cell>
          <cell r="Y399">
            <v>0</v>
          </cell>
          <cell r="AC399">
            <v>0</v>
          </cell>
          <cell r="AD399">
            <v>0</v>
          </cell>
          <cell r="AK399">
            <v>49</v>
          </cell>
          <cell r="AL399">
            <v>42</v>
          </cell>
          <cell r="AM399">
            <v>42</v>
          </cell>
        </row>
        <row r="400">
          <cell r="F400">
            <v>2.6666666666666665</v>
          </cell>
          <cell r="P400">
            <v>3.3333333333333335</v>
          </cell>
          <cell r="X400">
            <v>0</v>
          </cell>
          <cell r="Y400">
            <v>0</v>
          </cell>
          <cell r="AC400">
            <v>0</v>
          </cell>
          <cell r="AD400">
            <v>0</v>
          </cell>
          <cell r="AK400">
            <v>6</v>
          </cell>
          <cell r="AL400">
            <v>4.3333333333333339</v>
          </cell>
        </row>
        <row r="401">
          <cell r="F401">
            <v>7.333333333333333</v>
          </cell>
          <cell r="P401">
            <v>35.666666666666664</v>
          </cell>
          <cell r="X401">
            <v>0</v>
          </cell>
          <cell r="Y401">
            <v>0</v>
          </cell>
          <cell r="AC401">
            <v>0</v>
          </cell>
          <cell r="AD401">
            <v>0</v>
          </cell>
          <cell r="AK401">
            <v>43</v>
          </cell>
          <cell r="AL401">
            <v>37.666666666666664</v>
          </cell>
        </row>
        <row r="402">
          <cell r="F402">
            <v>0</v>
          </cell>
          <cell r="P402">
            <v>0</v>
          </cell>
          <cell r="X402">
            <v>0</v>
          </cell>
          <cell r="Y402">
            <v>0</v>
          </cell>
          <cell r="AC402">
            <v>0</v>
          </cell>
          <cell r="AD402">
            <v>0</v>
          </cell>
          <cell r="AK402">
            <v>0</v>
          </cell>
        </row>
        <row r="403">
          <cell r="F403">
            <v>206.33333333333329</v>
          </cell>
          <cell r="P403">
            <v>50.166666666666671</v>
          </cell>
          <cell r="S403">
            <v>50.166666666666671</v>
          </cell>
          <cell r="X403">
            <v>37.833333333333343</v>
          </cell>
          <cell r="Y403">
            <v>16</v>
          </cell>
          <cell r="AC403">
            <v>26.000000000000004</v>
          </cell>
          <cell r="AD403">
            <v>10</v>
          </cell>
          <cell r="AK403">
            <v>1965.0000000000002</v>
          </cell>
          <cell r="AL403">
            <v>395.16666666666663</v>
          </cell>
          <cell r="AM403">
            <v>395.16666666666663</v>
          </cell>
        </row>
        <row r="404">
          <cell r="F404">
            <v>0</v>
          </cell>
          <cell r="P404">
            <v>0</v>
          </cell>
          <cell r="X404">
            <v>0</v>
          </cell>
          <cell r="Y404">
            <v>0</v>
          </cell>
          <cell r="AC404">
            <v>0</v>
          </cell>
          <cell r="AD404">
            <v>0</v>
          </cell>
          <cell r="AK404">
            <v>1350</v>
          </cell>
          <cell r="AL404">
            <v>0</v>
          </cell>
        </row>
        <row r="405">
          <cell r="F405">
            <v>0</v>
          </cell>
          <cell r="P405">
            <v>0</v>
          </cell>
          <cell r="X405">
            <v>0</v>
          </cell>
          <cell r="Y405">
            <v>0</v>
          </cell>
          <cell r="AC405">
            <v>0</v>
          </cell>
          <cell r="AD405">
            <v>0</v>
          </cell>
          <cell r="AK405">
            <v>95</v>
          </cell>
          <cell r="AL405">
            <v>95</v>
          </cell>
        </row>
        <row r="406">
          <cell r="F406">
            <v>0</v>
          </cell>
          <cell r="P406">
            <v>0</v>
          </cell>
          <cell r="X406">
            <v>0</v>
          </cell>
          <cell r="Y406">
            <v>0</v>
          </cell>
          <cell r="AC406">
            <v>0</v>
          </cell>
          <cell r="AD406">
            <v>0</v>
          </cell>
          <cell r="AK406">
            <v>0</v>
          </cell>
          <cell r="AL406">
            <v>0</v>
          </cell>
        </row>
        <row r="407">
          <cell r="F407">
            <v>0</v>
          </cell>
          <cell r="P407">
            <v>12.333333333333334</v>
          </cell>
          <cell r="X407">
            <v>0</v>
          </cell>
          <cell r="Y407">
            <v>0</v>
          </cell>
          <cell r="AC407">
            <v>0</v>
          </cell>
          <cell r="AD407">
            <v>0</v>
          </cell>
          <cell r="AK407">
            <v>12.333333333333334</v>
          </cell>
          <cell r="AL407">
            <v>12.333333333333334</v>
          </cell>
        </row>
        <row r="408">
          <cell r="F408">
            <v>0</v>
          </cell>
          <cell r="P408">
            <v>0</v>
          </cell>
          <cell r="X408">
            <v>0</v>
          </cell>
          <cell r="Y408">
            <v>0</v>
          </cell>
          <cell r="AC408">
            <v>0</v>
          </cell>
          <cell r="AD408">
            <v>0</v>
          </cell>
          <cell r="AK408">
            <v>0</v>
          </cell>
          <cell r="AL408">
            <v>0</v>
          </cell>
        </row>
        <row r="409">
          <cell r="F409">
            <v>1.6666666666666667</v>
          </cell>
          <cell r="P409">
            <v>5</v>
          </cell>
          <cell r="X409">
            <v>3</v>
          </cell>
          <cell r="Y409">
            <v>1</v>
          </cell>
          <cell r="AC409">
            <v>3</v>
          </cell>
          <cell r="AD409">
            <v>1</v>
          </cell>
          <cell r="AK409">
            <v>57.666666666666664</v>
          </cell>
          <cell r="AL409">
            <v>47</v>
          </cell>
        </row>
        <row r="410">
          <cell r="F410">
            <v>0</v>
          </cell>
          <cell r="P410">
            <v>0</v>
          </cell>
          <cell r="X410">
            <v>0</v>
          </cell>
          <cell r="Y410">
            <v>0</v>
          </cell>
          <cell r="AC410">
            <v>0</v>
          </cell>
          <cell r="AD410">
            <v>0</v>
          </cell>
          <cell r="AK410">
            <v>4</v>
          </cell>
          <cell r="AL410">
            <v>0</v>
          </cell>
        </row>
        <row r="411">
          <cell r="F411">
            <v>0</v>
          </cell>
          <cell r="P411">
            <v>0</v>
          </cell>
          <cell r="X411">
            <v>0</v>
          </cell>
          <cell r="Y411">
            <v>0</v>
          </cell>
          <cell r="AC411">
            <v>0</v>
          </cell>
          <cell r="AD411">
            <v>0</v>
          </cell>
          <cell r="AK411">
            <v>0</v>
          </cell>
          <cell r="AL411">
            <v>0</v>
          </cell>
        </row>
        <row r="412">
          <cell r="F412">
            <v>0</v>
          </cell>
          <cell r="P412">
            <v>18.5</v>
          </cell>
          <cell r="X412">
            <v>4.5</v>
          </cell>
          <cell r="Y412">
            <v>2</v>
          </cell>
          <cell r="AC412">
            <v>1.3333333333333333</v>
          </cell>
          <cell r="AD412">
            <v>1</v>
          </cell>
          <cell r="AK412">
            <v>28.5</v>
          </cell>
          <cell r="AL412">
            <v>25.5</v>
          </cell>
        </row>
        <row r="413">
          <cell r="F413">
            <v>0</v>
          </cell>
          <cell r="P413">
            <v>1.3333333333333333</v>
          </cell>
          <cell r="X413">
            <v>0</v>
          </cell>
          <cell r="Y413">
            <v>0</v>
          </cell>
          <cell r="AC413">
            <v>1.6666666666666667</v>
          </cell>
          <cell r="AD413">
            <v>1</v>
          </cell>
          <cell r="AK413">
            <v>69</v>
          </cell>
          <cell r="AL413">
            <v>52.333333333333336</v>
          </cell>
        </row>
        <row r="414">
          <cell r="F414">
            <v>177</v>
          </cell>
          <cell r="P414">
            <v>0</v>
          </cell>
          <cell r="X414">
            <v>0</v>
          </cell>
          <cell r="Y414">
            <v>0</v>
          </cell>
          <cell r="AC414">
            <v>0</v>
          </cell>
          <cell r="AD414">
            <v>0</v>
          </cell>
          <cell r="AK414">
            <v>177</v>
          </cell>
          <cell r="AL414">
            <v>51</v>
          </cell>
        </row>
        <row r="415">
          <cell r="F415">
            <v>0</v>
          </cell>
          <cell r="P415">
            <v>0</v>
          </cell>
          <cell r="X415">
            <v>10</v>
          </cell>
          <cell r="Y415">
            <v>4</v>
          </cell>
          <cell r="AC415">
            <v>7.666666666666667</v>
          </cell>
          <cell r="AD415">
            <v>3</v>
          </cell>
          <cell r="AK415">
            <v>17.666666666666668</v>
          </cell>
          <cell r="AL415">
            <v>7</v>
          </cell>
        </row>
        <row r="416">
          <cell r="F416">
            <v>0.66666666666666663</v>
          </cell>
          <cell r="P416">
            <v>2</v>
          </cell>
          <cell r="X416">
            <v>1.3333333333333333</v>
          </cell>
          <cell r="Y416">
            <v>1</v>
          </cell>
          <cell r="AC416">
            <v>1</v>
          </cell>
          <cell r="AD416">
            <v>0</v>
          </cell>
          <cell r="AK416">
            <v>6</v>
          </cell>
          <cell r="AL416">
            <v>3</v>
          </cell>
        </row>
        <row r="417">
          <cell r="F417">
            <v>2.6666666666666665</v>
          </cell>
          <cell r="P417">
            <v>0.33333333333333331</v>
          </cell>
          <cell r="X417">
            <v>1</v>
          </cell>
          <cell r="Y417">
            <v>0</v>
          </cell>
          <cell r="AC417">
            <v>0.66666666666666663</v>
          </cell>
          <cell r="AD417">
            <v>0</v>
          </cell>
          <cell r="AK417">
            <v>9.3333333333333339</v>
          </cell>
          <cell r="AL417">
            <v>3.3333333333333335</v>
          </cell>
        </row>
        <row r="418">
          <cell r="F418">
            <v>0</v>
          </cell>
          <cell r="P418">
            <v>2.3333333333333335</v>
          </cell>
          <cell r="X418">
            <v>6</v>
          </cell>
          <cell r="Y418">
            <v>3</v>
          </cell>
          <cell r="AC418">
            <v>5</v>
          </cell>
          <cell r="AD418">
            <v>2</v>
          </cell>
          <cell r="AK418">
            <v>13.333333333333334</v>
          </cell>
          <cell r="AL418">
            <v>7.3333333333333339</v>
          </cell>
        </row>
        <row r="419">
          <cell r="F419">
            <v>0</v>
          </cell>
          <cell r="P419">
            <v>0</v>
          </cell>
          <cell r="X419">
            <v>0</v>
          </cell>
          <cell r="Y419">
            <v>0</v>
          </cell>
          <cell r="AC419">
            <v>0</v>
          </cell>
          <cell r="AD419">
            <v>0</v>
          </cell>
          <cell r="AK419">
            <v>0</v>
          </cell>
          <cell r="AL419">
            <v>0</v>
          </cell>
        </row>
        <row r="420">
          <cell r="F420">
            <v>0</v>
          </cell>
          <cell r="P420">
            <v>0</v>
          </cell>
          <cell r="X420">
            <v>0</v>
          </cell>
          <cell r="Y420">
            <v>0</v>
          </cell>
          <cell r="AC420">
            <v>0</v>
          </cell>
          <cell r="AD420">
            <v>0</v>
          </cell>
          <cell r="AK420">
            <v>0</v>
          </cell>
          <cell r="AL420">
            <v>0</v>
          </cell>
        </row>
        <row r="421">
          <cell r="F421">
            <v>9.6666666666666661</v>
          </cell>
          <cell r="P421">
            <v>1</v>
          </cell>
          <cell r="X421">
            <v>0</v>
          </cell>
          <cell r="Y421">
            <v>0</v>
          </cell>
          <cell r="AC421">
            <v>0</v>
          </cell>
          <cell r="AD421">
            <v>0</v>
          </cell>
          <cell r="AK421">
            <v>12</v>
          </cell>
          <cell r="AL421">
            <v>5</v>
          </cell>
        </row>
        <row r="422">
          <cell r="F422">
            <v>0</v>
          </cell>
          <cell r="P422">
            <v>0</v>
          </cell>
          <cell r="X422">
            <v>0</v>
          </cell>
          <cell r="Y422">
            <v>0</v>
          </cell>
          <cell r="AC422">
            <v>0</v>
          </cell>
          <cell r="AD422">
            <v>0</v>
          </cell>
          <cell r="AK422">
            <v>0</v>
          </cell>
          <cell r="AL422">
            <v>0</v>
          </cell>
        </row>
        <row r="423">
          <cell r="F423">
            <v>2.3333333333333335</v>
          </cell>
          <cell r="P423">
            <v>0.66666666666666663</v>
          </cell>
          <cell r="X423">
            <v>0.66666666666666663</v>
          </cell>
          <cell r="Y423">
            <v>0</v>
          </cell>
          <cell r="AC423">
            <v>0.66666666666666663</v>
          </cell>
          <cell r="AD423">
            <v>0</v>
          </cell>
          <cell r="AK423">
            <v>4.333333333333333</v>
          </cell>
          <cell r="AL423">
            <v>1.6666666666666665</v>
          </cell>
        </row>
        <row r="424">
          <cell r="F424">
            <v>1.6666666666666667</v>
          </cell>
          <cell r="P424">
            <v>0.66666666666666663</v>
          </cell>
          <cell r="X424">
            <v>0.66666666666666663</v>
          </cell>
          <cell r="Y424">
            <v>0</v>
          </cell>
          <cell r="AC424">
            <v>0.66666666666666663</v>
          </cell>
          <cell r="AD424">
            <v>0</v>
          </cell>
          <cell r="AK424">
            <v>3.6666666666666665</v>
          </cell>
          <cell r="AL424">
            <v>0.66666666666666663</v>
          </cell>
        </row>
        <row r="425">
          <cell r="F425">
            <v>6.666666666666667</v>
          </cell>
          <cell r="P425">
            <v>4.666666666666667</v>
          </cell>
          <cell r="X425">
            <v>3</v>
          </cell>
          <cell r="Y425">
            <v>1</v>
          </cell>
          <cell r="AC425">
            <v>2</v>
          </cell>
          <cell r="AD425">
            <v>1</v>
          </cell>
          <cell r="AK425">
            <v>33</v>
          </cell>
          <cell r="AL425">
            <v>18.666666666666668</v>
          </cell>
        </row>
        <row r="426">
          <cell r="F426">
            <v>0</v>
          </cell>
          <cell r="P426">
            <v>0</v>
          </cell>
          <cell r="X426">
            <v>0</v>
          </cell>
          <cell r="Y426">
            <v>0</v>
          </cell>
          <cell r="AC426">
            <v>0</v>
          </cell>
          <cell r="AD426">
            <v>0</v>
          </cell>
          <cell r="AK426">
            <v>0</v>
          </cell>
          <cell r="AL426">
            <v>0</v>
          </cell>
        </row>
        <row r="427">
          <cell r="F427">
            <v>0</v>
          </cell>
          <cell r="P427">
            <v>0</v>
          </cell>
          <cell r="X427">
            <v>0</v>
          </cell>
          <cell r="Y427">
            <v>0</v>
          </cell>
          <cell r="AC427">
            <v>0</v>
          </cell>
          <cell r="AD427">
            <v>0</v>
          </cell>
          <cell r="AK427">
            <v>0</v>
          </cell>
          <cell r="AL427">
            <v>53</v>
          </cell>
        </row>
        <row r="428">
          <cell r="F428">
            <v>1</v>
          </cell>
          <cell r="P428">
            <v>0</v>
          </cell>
          <cell r="X428">
            <v>0</v>
          </cell>
          <cell r="Y428">
            <v>0</v>
          </cell>
          <cell r="AC428">
            <v>0</v>
          </cell>
          <cell r="AD428">
            <v>0</v>
          </cell>
          <cell r="AK428">
            <v>1</v>
          </cell>
          <cell r="AL428">
            <v>1</v>
          </cell>
        </row>
        <row r="429">
          <cell r="F429">
            <v>0</v>
          </cell>
          <cell r="P429">
            <v>0</v>
          </cell>
          <cell r="X429">
            <v>0</v>
          </cell>
          <cell r="Y429">
            <v>0</v>
          </cell>
          <cell r="AC429">
            <v>0</v>
          </cell>
          <cell r="AD429">
            <v>0</v>
          </cell>
          <cell r="AK429">
            <v>0</v>
          </cell>
          <cell r="AL429">
            <v>0</v>
          </cell>
        </row>
        <row r="430">
          <cell r="F430">
            <v>0</v>
          </cell>
          <cell r="P430">
            <v>0</v>
          </cell>
          <cell r="X430">
            <v>0</v>
          </cell>
          <cell r="Y430">
            <v>0</v>
          </cell>
          <cell r="AC430">
            <v>0</v>
          </cell>
          <cell r="AD430">
            <v>0</v>
          </cell>
          <cell r="AK430">
            <v>0</v>
          </cell>
          <cell r="AL430">
            <v>0</v>
          </cell>
        </row>
        <row r="431">
          <cell r="F431">
            <v>2.6666666666666665</v>
          </cell>
          <cell r="P431">
            <v>1</v>
          </cell>
          <cell r="X431">
            <v>4</v>
          </cell>
          <cell r="Y431">
            <v>2</v>
          </cell>
          <cell r="AC431">
            <v>2</v>
          </cell>
          <cell r="AD431">
            <v>1</v>
          </cell>
          <cell r="AK431">
            <v>15.666666666666666</v>
          </cell>
          <cell r="AL431">
            <v>8</v>
          </cell>
        </row>
        <row r="432">
          <cell r="F432">
            <v>0</v>
          </cell>
          <cell r="P432">
            <v>0</v>
          </cell>
          <cell r="X432">
            <v>0</v>
          </cell>
          <cell r="Y432">
            <v>0</v>
          </cell>
          <cell r="AC432">
            <v>0</v>
          </cell>
          <cell r="AD432">
            <v>0</v>
          </cell>
          <cell r="AK432">
            <v>0</v>
          </cell>
          <cell r="AL432">
            <v>0</v>
          </cell>
        </row>
        <row r="433">
          <cell r="F433">
            <v>0</v>
          </cell>
          <cell r="P433">
            <v>0</v>
          </cell>
          <cell r="X433">
            <v>3.3333333333333335</v>
          </cell>
          <cell r="Y433">
            <v>1</v>
          </cell>
          <cell r="AC433">
            <v>0</v>
          </cell>
          <cell r="AD433">
            <v>0</v>
          </cell>
          <cell r="AK433">
            <v>3.3333333333333335</v>
          </cell>
          <cell r="AL433">
            <v>1</v>
          </cell>
        </row>
        <row r="434">
          <cell r="F434">
            <v>0.33333333333333331</v>
          </cell>
          <cell r="P434">
            <v>0.33333333333333331</v>
          </cell>
          <cell r="X434">
            <v>0.33333333333333331</v>
          </cell>
          <cell r="Y434">
            <v>0</v>
          </cell>
          <cell r="AC434">
            <v>0.33333333333333331</v>
          </cell>
          <cell r="AD434">
            <v>0</v>
          </cell>
          <cell r="AK434">
            <v>1.9999999999999998</v>
          </cell>
          <cell r="AL434">
            <v>0.33333333333333331</v>
          </cell>
        </row>
        <row r="435">
          <cell r="F435">
            <v>0</v>
          </cell>
          <cell r="P435">
            <v>0</v>
          </cell>
          <cell r="X435">
            <v>0</v>
          </cell>
          <cell r="Y435">
            <v>0</v>
          </cell>
          <cell r="AC435">
            <v>0</v>
          </cell>
          <cell r="AD435">
            <v>0</v>
          </cell>
          <cell r="AK435">
            <v>0</v>
          </cell>
          <cell r="AL435">
            <v>0</v>
          </cell>
        </row>
        <row r="436">
          <cell r="F436">
            <v>0</v>
          </cell>
          <cell r="P436">
            <v>0</v>
          </cell>
          <cell r="X436">
            <v>0</v>
          </cell>
          <cell r="Y436">
            <v>0</v>
          </cell>
          <cell r="AC436">
            <v>0</v>
          </cell>
          <cell r="AD436">
            <v>0</v>
          </cell>
          <cell r="AK436">
            <v>0</v>
          </cell>
          <cell r="AL436">
            <v>0</v>
          </cell>
        </row>
        <row r="437">
          <cell r="F437">
            <v>0</v>
          </cell>
          <cell r="P437">
            <v>0</v>
          </cell>
          <cell r="X437">
            <v>0</v>
          </cell>
          <cell r="Y437">
            <v>0</v>
          </cell>
          <cell r="AC437">
            <v>0</v>
          </cell>
          <cell r="AD437">
            <v>0</v>
          </cell>
          <cell r="AK437">
            <v>0</v>
          </cell>
          <cell r="AL437">
            <v>0</v>
          </cell>
        </row>
        <row r="438">
          <cell r="F438">
            <v>0</v>
          </cell>
          <cell r="P438">
            <v>0</v>
          </cell>
          <cell r="X438">
            <v>0</v>
          </cell>
          <cell r="Y438">
            <v>0</v>
          </cell>
          <cell r="AC438">
            <v>0</v>
          </cell>
          <cell r="AD438">
            <v>0</v>
          </cell>
          <cell r="AK438">
            <v>0</v>
          </cell>
          <cell r="AL438">
            <v>0</v>
          </cell>
        </row>
        <row r="439">
          <cell r="F439">
            <v>0</v>
          </cell>
          <cell r="P439">
            <v>0</v>
          </cell>
          <cell r="X439">
            <v>0</v>
          </cell>
          <cell r="Y439">
            <v>0</v>
          </cell>
          <cell r="AC439">
            <v>0</v>
          </cell>
          <cell r="AD439">
            <v>0</v>
          </cell>
          <cell r="AK439">
            <v>0</v>
          </cell>
          <cell r="AL439">
            <v>0</v>
          </cell>
        </row>
        <row r="440">
          <cell r="F440">
            <v>0</v>
          </cell>
          <cell r="P440">
            <v>0</v>
          </cell>
          <cell r="X440">
            <v>0</v>
          </cell>
          <cell r="Y440">
            <v>0</v>
          </cell>
          <cell r="AC440">
            <v>0</v>
          </cell>
          <cell r="AD440">
            <v>0</v>
          </cell>
          <cell r="AK440">
            <v>0</v>
          </cell>
          <cell r="AL440">
            <v>0</v>
          </cell>
        </row>
        <row r="441">
          <cell r="P441">
            <v>0</v>
          </cell>
          <cell r="X441">
            <v>0</v>
          </cell>
          <cell r="Y441">
            <v>0</v>
          </cell>
          <cell r="AC441">
            <v>0</v>
          </cell>
          <cell r="AD441">
            <v>0</v>
          </cell>
          <cell r="AK441">
            <v>0</v>
          </cell>
          <cell r="AL441">
            <v>2</v>
          </cell>
        </row>
        <row r="442">
          <cell r="P442">
            <v>0</v>
          </cell>
          <cell r="X442">
            <v>0</v>
          </cell>
          <cell r="Y442">
            <v>0</v>
          </cell>
          <cell r="AC442">
            <v>0</v>
          </cell>
          <cell r="AD442">
            <v>0</v>
          </cell>
          <cell r="AK442">
            <v>0</v>
          </cell>
          <cell r="AL442">
            <v>0</v>
          </cell>
        </row>
      </sheetData>
      <sheetData sheetId="4" refreshError="1">
        <row r="21">
          <cell r="AI21" t="str">
            <v xml:space="preserve">         Затверджую</v>
          </cell>
        </row>
        <row r="22">
          <cell r="AI22" t="str">
            <v xml:space="preserve"> Голова правління </v>
          </cell>
        </row>
        <row r="23">
          <cell r="AI23" t="str">
            <v xml:space="preserve"> Голова правління </v>
          </cell>
        </row>
        <row r="24">
          <cell r="AI24" t="str">
            <v xml:space="preserve">                        І.В.Плачков</v>
          </cell>
        </row>
        <row r="25">
          <cell r="AI25" t="str">
            <v xml:space="preserve">   "_____" ________2000 р.</v>
          </cell>
        </row>
        <row r="26">
          <cell r="AI26" t="str">
            <v xml:space="preserve">   "_____" ________2000 р.</v>
          </cell>
        </row>
        <row r="31">
          <cell r="Q31" t="str">
            <v>КТМ</v>
          </cell>
          <cell r="V31" t="str">
            <v xml:space="preserve">ТЕЦ-5 </v>
          </cell>
          <cell r="AA31" t="str">
            <v xml:space="preserve">ТЕЦ-6 </v>
          </cell>
        </row>
        <row r="33">
          <cell r="F33" t="str">
            <v>ВИКОН.ДИР.</v>
          </cell>
          <cell r="G33" t="str">
            <v>Е/Е</v>
          </cell>
          <cell r="H33" t="str">
            <v xml:space="preserve"> Т/Е</v>
          </cell>
          <cell r="P33" t="str">
            <v xml:space="preserve">КМ </v>
          </cell>
          <cell r="S33" t="str">
            <v xml:space="preserve">ТМ </v>
          </cell>
          <cell r="T33" t="str">
            <v>ВИРОБН</v>
          </cell>
          <cell r="U33" t="str">
            <v>ПЕРЕД</v>
          </cell>
          <cell r="X33" t="str">
            <v>ТЕЦ-5 ВСЬОГО</v>
          </cell>
          <cell r="Y33" t="str">
            <v>Е/Е</v>
          </cell>
          <cell r="Z33" t="str">
            <v xml:space="preserve"> Т/Е</v>
          </cell>
          <cell r="AC33" t="str">
            <v>ТЕЦ-6 ВСЬОГО</v>
          </cell>
          <cell r="AD33" t="str">
            <v>Е/Е</v>
          </cell>
          <cell r="AE33" t="str">
            <v xml:space="preserve"> Т/Е</v>
          </cell>
          <cell r="AF33" t="str">
            <v>ТРМ ВСЬОГО</v>
          </cell>
          <cell r="AG33" t="str">
            <v>ТРМ  АК КЕ</v>
          </cell>
          <cell r="AH33" t="str">
            <v>ТРМ СТОР</v>
          </cell>
          <cell r="AI33" t="str">
            <v xml:space="preserve">ДОП.ВИР. </v>
          </cell>
          <cell r="AJ33" t="str">
            <v>ДОП.ВИР. СТ.ОРГ.</v>
          </cell>
          <cell r="AK33" t="str">
            <v>АК КЕ ВСЬОГО</v>
          </cell>
          <cell r="AL33" t="str">
            <v xml:space="preserve"> Е/Е</v>
          </cell>
          <cell r="AM33" t="str">
            <v xml:space="preserve"> Т/Е</v>
          </cell>
          <cell r="AN33" t="str">
            <v>СТАНЦІї ЕЛЕКТРО</v>
          </cell>
          <cell r="AO33" t="str">
            <v>СТАНЦІІ ТЕПЛОВІ</v>
          </cell>
          <cell r="AP33" t="str">
            <v>МЕРЕЖІ ЕЛЕКТРО</v>
          </cell>
          <cell r="AQ33" t="str">
            <v>МЕРЕЖІ ТЕПЛОВІ</v>
          </cell>
        </row>
        <row r="34">
          <cell r="AL34">
            <v>605</v>
          </cell>
        </row>
        <row r="35">
          <cell r="AL35">
            <v>536.20000000000005</v>
          </cell>
        </row>
        <row r="36">
          <cell r="AL36">
            <v>0</v>
          </cell>
        </row>
        <row r="38">
          <cell r="AL38">
            <v>0</v>
          </cell>
        </row>
        <row r="39">
          <cell r="AL39">
            <v>0</v>
          </cell>
        </row>
        <row r="40">
          <cell r="AL40">
            <v>478.2</v>
          </cell>
        </row>
        <row r="41">
          <cell r="P41">
            <v>0</v>
          </cell>
          <cell r="AL41">
            <v>478.2</v>
          </cell>
        </row>
        <row r="42">
          <cell r="AM42">
            <v>1840</v>
          </cell>
        </row>
        <row r="43">
          <cell r="AM43">
            <v>0</v>
          </cell>
        </row>
        <row r="44">
          <cell r="AM44">
            <v>1660</v>
          </cell>
        </row>
        <row r="45">
          <cell r="F45">
            <v>2564.3333333333339</v>
          </cell>
          <cell r="P45">
            <v>2175</v>
          </cell>
          <cell r="S45">
            <v>7897</v>
          </cell>
          <cell r="T45">
            <v>4513.5299999999988</v>
          </cell>
          <cell r="U45">
            <v>1480.47</v>
          </cell>
          <cell r="X45">
            <v>2489.8484848484827</v>
          </cell>
          <cell r="AC45">
            <v>1464</v>
          </cell>
          <cell r="AF45">
            <v>4071.2424242424245</v>
          </cell>
          <cell r="AG45">
            <v>3280.4969696969697</v>
          </cell>
          <cell r="AH45">
            <v>790.74545454545455</v>
          </cell>
          <cell r="AM45">
            <v>1660</v>
          </cell>
        </row>
        <row r="46">
          <cell r="F46">
            <v>3350.1188787878787</v>
          </cell>
          <cell r="P46">
            <v>2181.2434545454544</v>
          </cell>
          <cell r="S46">
            <v>6535.468727272726</v>
          </cell>
          <cell r="T46">
            <v>4851.0902763636368</v>
          </cell>
          <cell r="U46">
            <v>1648.5504509090908</v>
          </cell>
          <cell r="X46">
            <v>1789.018727272733</v>
          </cell>
          <cell r="AC46">
            <v>1029.1789090909119</v>
          </cell>
          <cell r="AF46">
            <v>4502.9056363636373</v>
          </cell>
          <cell r="AG46">
            <v>3771.8816363636361</v>
          </cell>
          <cell r="AH46">
            <v>731.02400000000011</v>
          </cell>
        </row>
        <row r="47">
          <cell r="F47">
            <v>487.66666666666669</v>
          </cell>
          <cell r="G47">
            <v>231</v>
          </cell>
          <cell r="H47">
            <v>256.66666666666669</v>
          </cell>
          <cell r="P47">
            <v>353</v>
          </cell>
          <cell r="S47">
            <v>486</v>
          </cell>
          <cell r="T47">
            <v>243</v>
          </cell>
          <cell r="U47">
            <v>243</v>
          </cell>
          <cell r="X47">
            <v>123</v>
          </cell>
          <cell r="Y47">
            <v>53</v>
          </cell>
          <cell r="Z47">
            <v>70</v>
          </cell>
          <cell r="AC47">
            <v>299</v>
          </cell>
          <cell r="AD47">
            <v>114</v>
          </cell>
          <cell r="AE47">
            <v>185</v>
          </cell>
          <cell r="AF47">
            <v>226.33333333333334</v>
          </cell>
          <cell r="AG47">
            <v>155</v>
          </cell>
          <cell r="AH47">
            <v>71.333333333333343</v>
          </cell>
          <cell r="AI47">
            <v>0.45600000000000002</v>
          </cell>
          <cell r="AK47">
            <v>1998.6666666666667</v>
          </cell>
          <cell r="AL47">
            <v>778.6</v>
          </cell>
          <cell r="AM47">
            <v>1220.0666666666666</v>
          </cell>
          <cell r="AN47">
            <v>167</v>
          </cell>
          <cell r="AO47">
            <v>420</v>
          </cell>
          <cell r="AP47">
            <v>611.6</v>
          </cell>
          <cell r="AQ47">
            <v>800.06666666666661</v>
          </cell>
        </row>
        <row r="48">
          <cell r="F48">
            <v>67.833333333333329</v>
          </cell>
          <cell r="G48">
            <v>32</v>
          </cell>
          <cell r="P48">
            <v>336.7</v>
          </cell>
          <cell r="S48">
            <v>367</v>
          </cell>
          <cell r="X48">
            <v>32</v>
          </cell>
          <cell r="Y48">
            <v>14</v>
          </cell>
          <cell r="Z48">
            <v>18</v>
          </cell>
          <cell r="AC48">
            <v>32</v>
          </cell>
          <cell r="AD48">
            <v>12</v>
          </cell>
          <cell r="AE48">
            <v>20</v>
          </cell>
          <cell r="AF48">
            <v>206.95333333333335</v>
          </cell>
          <cell r="AG48">
            <v>141.72798232695141</v>
          </cell>
          <cell r="AH48">
            <v>65.225351006381942</v>
          </cell>
          <cell r="AK48">
            <v>1031.2613156602847</v>
          </cell>
          <cell r="AL48">
            <v>402.7</v>
          </cell>
          <cell r="AM48">
            <v>628.56131566028466</v>
          </cell>
        </row>
        <row r="49">
          <cell r="F49">
            <v>0</v>
          </cell>
          <cell r="G49">
            <v>0</v>
          </cell>
          <cell r="H49">
            <v>120.376</v>
          </cell>
          <cell r="P49">
            <v>1</v>
          </cell>
          <cell r="S49">
            <v>558.61599999999999</v>
          </cell>
          <cell r="T49">
            <v>279.30799999999999</v>
          </cell>
          <cell r="U49">
            <v>279.30799999999999</v>
          </cell>
          <cell r="X49">
            <v>46</v>
          </cell>
          <cell r="Y49">
            <v>20</v>
          </cell>
          <cell r="Z49">
            <v>26</v>
          </cell>
          <cell r="AC49">
            <v>195</v>
          </cell>
          <cell r="AD49">
            <v>74</v>
          </cell>
          <cell r="AE49">
            <v>121</v>
          </cell>
          <cell r="AF49">
            <v>303.20800000000003</v>
          </cell>
          <cell r="AG49">
            <v>220.68</v>
          </cell>
          <cell r="AH49">
            <v>0</v>
          </cell>
          <cell r="AK49">
            <v>242</v>
          </cell>
          <cell r="AL49">
            <v>95</v>
          </cell>
          <cell r="AM49">
            <v>147</v>
          </cell>
        </row>
        <row r="50">
          <cell r="F50">
            <v>417.35999999999996</v>
          </cell>
          <cell r="G50">
            <v>197</v>
          </cell>
          <cell r="H50">
            <v>36.833333333333329</v>
          </cell>
          <cell r="P50">
            <v>4</v>
          </cell>
          <cell r="S50">
            <v>80</v>
          </cell>
          <cell r="X50">
            <v>35</v>
          </cell>
          <cell r="Y50">
            <v>15</v>
          </cell>
          <cell r="Z50">
            <v>20</v>
          </cell>
          <cell r="AC50">
            <v>29</v>
          </cell>
          <cell r="AD50">
            <v>11</v>
          </cell>
          <cell r="AE50">
            <v>18</v>
          </cell>
          <cell r="AF50">
            <v>17.266666666666666</v>
          </cell>
          <cell r="AG50">
            <v>11.824742268041236</v>
          </cell>
          <cell r="AH50">
            <v>5.4419243986254298</v>
          </cell>
          <cell r="AK50">
            <v>577.18474226804119</v>
          </cell>
          <cell r="AL50">
            <v>227</v>
          </cell>
          <cell r="AM50">
            <v>350.18474226804119</v>
          </cell>
        </row>
        <row r="51">
          <cell r="F51">
            <v>1</v>
          </cell>
          <cell r="G51">
            <v>0</v>
          </cell>
          <cell r="H51">
            <v>1</v>
          </cell>
          <cell r="P51">
            <v>29</v>
          </cell>
          <cell r="S51">
            <v>403</v>
          </cell>
          <cell r="T51">
            <v>314.34000000000003</v>
          </cell>
          <cell r="U51">
            <v>88.659999999999968</v>
          </cell>
          <cell r="X51">
            <v>889</v>
          </cell>
          <cell r="Y51">
            <v>386</v>
          </cell>
          <cell r="Z51">
            <v>503</v>
          </cell>
          <cell r="AC51">
            <v>67</v>
          </cell>
          <cell r="AD51">
            <v>26</v>
          </cell>
          <cell r="AE51">
            <v>41</v>
          </cell>
          <cell r="AF51">
            <v>162.33333333333334</v>
          </cell>
          <cell r="AG51">
            <v>111.66666666666667</v>
          </cell>
          <cell r="AH51">
            <v>50.666666666666671</v>
          </cell>
          <cell r="AK51">
            <v>1501.6666666666667</v>
          </cell>
          <cell r="AL51">
            <v>442</v>
          </cell>
          <cell r="AM51">
            <v>1059.6666666666667</v>
          </cell>
          <cell r="AN51">
            <v>412</v>
          </cell>
          <cell r="AO51">
            <v>681</v>
          </cell>
          <cell r="AP51">
            <v>30</v>
          </cell>
          <cell r="AQ51">
            <v>378.66666666666674</v>
          </cell>
        </row>
        <row r="52">
          <cell r="F52">
            <v>0</v>
          </cell>
          <cell r="G52">
            <v>0</v>
          </cell>
          <cell r="H52">
            <v>0</v>
          </cell>
          <cell r="P52">
            <v>4</v>
          </cell>
          <cell r="S52">
            <v>22</v>
          </cell>
          <cell r="T52">
            <v>22</v>
          </cell>
          <cell r="U52">
            <v>0</v>
          </cell>
          <cell r="X52">
            <v>790</v>
          </cell>
          <cell r="Y52">
            <v>343</v>
          </cell>
          <cell r="Z52">
            <v>447</v>
          </cell>
          <cell r="AC52">
            <v>13</v>
          </cell>
          <cell r="AD52">
            <v>5</v>
          </cell>
          <cell r="AE52">
            <v>8</v>
          </cell>
          <cell r="AF52">
            <v>7.8735999999999997</v>
          </cell>
          <cell r="AG52">
            <v>5.7305415688240409</v>
          </cell>
          <cell r="AH52">
            <v>0</v>
          </cell>
          <cell r="AK52">
            <v>825</v>
          </cell>
          <cell r="AL52">
            <v>348</v>
          </cell>
          <cell r="AM52">
            <v>477</v>
          </cell>
          <cell r="AN52">
            <v>348</v>
          </cell>
          <cell r="AO52">
            <v>462</v>
          </cell>
          <cell r="AP52">
            <v>0</v>
          </cell>
          <cell r="AQ52">
            <v>15</v>
          </cell>
        </row>
        <row r="53">
          <cell r="F53">
            <v>0</v>
          </cell>
          <cell r="G53">
            <v>0</v>
          </cell>
          <cell r="H53">
            <v>0</v>
          </cell>
          <cell r="P53">
            <v>0</v>
          </cell>
          <cell r="S53">
            <v>19250</v>
          </cell>
          <cell r="T53">
            <v>19250</v>
          </cell>
          <cell r="U53">
            <v>0</v>
          </cell>
          <cell r="X53">
            <v>44597</v>
          </cell>
          <cell r="Y53">
            <v>30041.25</v>
          </cell>
          <cell r="Z53">
            <v>14555.75</v>
          </cell>
          <cell r="AC53">
            <v>36151</v>
          </cell>
          <cell r="AD53">
            <v>22308.272727272721</v>
          </cell>
          <cell r="AE53">
            <v>13842.727272727279</v>
          </cell>
          <cell r="AF53">
            <v>120.024</v>
          </cell>
          <cell r="AG53">
            <v>96.92</v>
          </cell>
          <cell r="AH53">
            <v>0</v>
          </cell>
          <cell r="AK53">
            <v>99998</v>
          </cell>
          <cell r="AL53">
            <v>52349.522727272721</v>
          </cell>
          <cell r="AM53">
            <v>47648.477272727279</v>
          </cell>
          <cell r="AN53">
            <v>52349.522727272721</v>
          </cell>
          <cell r="AO53">
            <v>47648</v>
          </cell>
          <cell r="AP53">
            <v>0</v>
          </cell>
          <cell r="AQ53">
            <v>0.47727272727934178</v>
          </cell>
        </row>
        <row r="54">
          <cell r="F54">
            <v>0</v>
          </cell>
          <cell r="G54">
            <v>0</v>
          </cell>
          <cell r="H54">
            <v>0</v>
          </cell>
          <cell r="P54">
            <v>0</v>
          </cell>
          <cell r="S54">
            <v>19250</v>
          </cell>
          <cell r="T54">
            <v>19250</v>
          </cell>
          <cell r="U54">
            <v>0</v>
          </cell>
          <cell r="X54">
            <v>44597</v>
          </cell>
          <cell r="Y54">
            <v>30041.25</v>
          </cell>
          <cell r="Z54">
            <v>14555.75</v>
          </cell>
          <cell r="AC54">
            <v>36151</v>
          </cell>
          <cell r="AD54">
            <v>22308.272727272721</v>
          </cell>
          <cell r="AE54">
            <v>13842.727272727279</v>
          </cell>
          <cell r="AH54">
            <v>0</v>
          </cell>
          <cell r="AI54">
            <v>0</v>
          </cell>
          <cell r="AK54">
            <v>99998</v>
          </cell>
          <cell r="AL54">
            <v>52349.522727272721</v>
          </cell>
          <cell r="AM54">
            <v>47648.477272727279</v>
          </cell>
          <cell r="AN54">
            <v>52349.522727272721</v>
          </cell>
          <cell r="AO54">
            <v>47648</v>
          </cell>
          <cell r="AP54">
            <v>0</v>
          </cell>
          <cell r="AQ54">
            <v>0.47727272727934178</v>
          </cell>
        </row>
        <row r="55">
          <cell r="F55">
            <v>0</v>
          </cell>
          <cell r="G55">
            <v>0</v>
          </cell>
          <cell r="H55">
            <v>0</v>
          </cell>
          <cell r="P55">
            <v>0</v>
          </cell>
          <cell r="S55">
            <v>19250</v>
          </cell>
          <cell r="T55">
            <v>0</v>
          </cell>
          <cell r="U55">
            <v>0</v>
          </cell>
          <cell r="X55">
            <v>44597</v>
          </cell>
          <cell r="Y55">
            <v>30041.25</v>
          </cell>
          <cell r="Z55">
            <v>14555.75</v>
          </cell>
          <cell r="AC55">
            <v>36151</v>
          </cell>
          <cell r="AD55">
            <v>22308.272727272721</v>
          </cell>
          <cell r="AE55">
            <v>13842.727272727279</v>
          </cell>
          <cell r="AH55">
            <v>0</v>
          </cell>
          <cell r="AK55">
            <v>0</v>
          </cell>
          <cell r="AL55">
            <v>0</v>
          </cell>
          <cell r="AM55">
            <v>0</v>
          </cell>
          <cell r="AO55">
            <v>0</v>
          </cell>
        </row>
        <row r="56">
          <cell r="F56">
            <v>7</v>
          </cell>
          <cell r="G56">
            <v>3</v>
          </cell>
          <cell r="H56">
            <v>4</v>
          </cell>
          <cell r="P56">
            <v>56</v>
          </cell>
          <cell r="S56">
            <v>3154</v>
          </cell>
          <cell r="T56">
            <v>3154</v>
          </cell>
          <cell r="U56">
            <v>0</v>
          </cell>
          <cell r="X56">
            <v>0</v>
          </cell>
          <cell r="Y56">
            <v>0</v>
          </cell>
          <cell r="Z56">
            <v>0</v>
          </cell>
          <cell r="AC56">
            <v>0</v>
          </cell>
          <cell r="AD56">
            <v>0</v>
          </cell>
          <cell r="AE56">
            <v>0</v>
          </cell>
          <cell r="AF56">
            <v>890</v>
          </cell>
          <cell r="AG56">
            <v>442</v>
          </cell>
          <cell r="AH56">
            <v>448</v>
          </cell>
          <cell r="AI56">
            <v>0</v>
          </cell>
          <cell r="AK56">
            <v>3659</v>
          </cell>
          <cell r="AL56">
            <v>59</v>
          </cell>
          <cell r="AM56">
            <v>3600</v>
          </cell>
          <cell r="AN56">
            <v>0</v>
          </cell>
          <cell r="AO56">
            <v>1072</v>
          </cell>
          <cell r="AP56">
            <v>59</v>
          </cell>
          <cell r="AQ56">
            <v>2528</v>
          </cell>
        </row>
        <row r="57">
          <cell r="F57">
            <v>288</v>
          </cell>
          <cell r="G57">
            <v>136</v>
          </cell>
          <cell r="H57">
            <v>152</v>
          </cell>
          <cell r="P57">
            <v>449</v>
          </cell>
          <cell r="S57">
            <v>816</v>
          </cell>
          <cell r="T57">
            <v>399.84</v>
          </cell>
          <cell r="U57">
            <v>416.16</v>
          </cell>
          <cell r="X57">
            <v>238.18181818181819</v>
          </cell>
          <cell r="Y57">
            <v>103</v>
          </cell>
          <cell r="Z57">
            <v>135.18181818181819</v>
          </cell>
          <cell r="AC57">
            <v>210</v>
          </cell>
          <cell r="AD57">
            <v>80</v>
          </cell>
          <cell r="AE57">
            <v>130</v>
          </cell>
          <cell r="AF57">
            <v>960.90909090909088</v>
          </cell>
          <cell r="AG57">
            <v>807.16363636363633</v>
          </cell>
          <cell r="AH57">
            <v>153.74545454545455</v>
          </cell>
          <cell r="AK57">
            <v>3032.3454545454542</v>
          </cell>
          <cell r="AL57">
            <v>915</v>
          </cell>
          <cell r="AM57">
            <v>2117.3454545454542</v>
          </cell>
          <cell r="AN57">
            <v>183</v>
          </cell>
          <cell r="AO57">
            <v>543</v>
          </cell>
          <cell r="AP57">
            <v>732</v>
          </cell>
          <cell r="AQ57">
            <v>1574.3454545454542</v>
          </cell>
        </row>
        <row r="58">
          <cell r="F58">
            <v>16</v>
          </cell>
          <cell r="G58">
            <v>8</v>
          </cell>
          <cell r="H58">
            <v>8</v>
          </cell>
          <cell r="P58">
            <v>25</v>
          </cell>
          <cell r="S58">
            <v>45</v>
          </cell>
          <cell r="T58">
            <v>22</v>
          </cell>
          <cell r="U58">
            <v>23</v>
          </cell>
          <cell r="X58">
            <v>13</v>
          </cell>
          <cell r="Y58">
            <v>6</v>
          </cell>
          <cell r="Z58">
            <v>7</v>
          </cell>
          <cell r="AC58">
            <v>12</v>
          </cell>
          <cell r="AD58">
            <v>5</v>
          </cell>
          <cell r="AE58">
            <v>7</v>
          </cell>
          <cell r="AF58">
            <v>53</v>
          </cell>
          <cell r="AG58">
            <v>44</v>
          </cell>
          <cell r="AH58">
            <v>9</v>
          </cell>
          <cell r="AK58">
            <v>167</v>
          </cell>
          <cell r="AL58">
            <v>52</v>
          </cell>
          <cell r="AM58">
            <v>115</v>
          </cell>
          <cell r="AN58">
            <v>11</v>
          </cell>
          <cell r="AO58">
            <v>23</v>
          </cell>
          <cell r="AP58">
            <v>41</v>
          </cell>
          <cell r="AQ58">
            <v>92</v>
          </cell>
        </row>
        <row r="59">
          <cell r="F59">
            <v>92</v>
          </cell>
          <cell r="G59">
            <v>43</v>
          </cell>
          <cell r="H59">
            <v>49</v>
          </cell>
          <cell r="P59">
            <v>144</v>
          </cell>
          <cell r="S59">
            <v>261</v>
          </cell>
          <cell r="T59">
            <v>128</v>
          </cell>
          <cell r="U59">
            <v>133</v>
          </cell>
          <cell r="X59">
            <v>76</v>
          </cell>
          <cell r="Y59">
            <v>33</v>
          </cell>
          <cell r="Z59">
            <v>43</v>
          </cell>
          <cell r="AC59">
            <v>67</v>
          </cell>
          <cell r="AD59">
            <v>26</v>
          </cell>
          <cell r="AE59">
            <v>41</v>
          </cell>
          <cell r="AF59">
            <v>307</v>
          </cell>
          <cell r="AG59">
            <v>258</v>
          </cell>
          <cell r="AH59">
            <v>49</v>
          </cell>
          <cell r="AI59">
            <v>0</v>
          </cell>
          <cell r="AK59">
            <v>970</v>
          </cell>
          <cell r="AL59">
            <v>293</v>
          </cell>
          <cell r="AM59">
            <v>677</v>
          </cell>
          <cell r="AN59">
            <v>0</v>
          </cell>
          <cell r="AO59">
            <v>0</v>
          </cell>
          <cell r="AP59">
            <v>0</v>
          </cell>
          <cell r="AQ59">
            <v>0</v>
          </cell>
        </row>
        <row r="60">
          <cell r="F60">
            <v>20</v>
          </cell>
          <cell r="G60">
            <v>0</v>
          </cell>
          <cell r="H60">
            <v>11</v>
          </cell>
          <cell r="P60">
            <v>34</v>
          </cell>
          <cell r="S60">
            <v>66</v>
          </cell>
          <cell r="T60">
            <v>33</v>
          </cell>
          <cell r="U60">
            <v>34</v>
          </cell>
          <cell r="X60">
            <v>23</v>
          </cell>
          <cell r="Y60">
            <v>10</v>
          </cell>
          <cell r="Z60">
            <v>13</v>
          </cell>
          <cell r="AC60">
            <v>18</v>
          </cell>
          <cell r="AD60">
            <v>7</v>
          </cell>
          <cell r="AE60">
            <v>11</v>
          </cell>
          <cell r="AF60">
            <v>74</v>
          </cell>
          <cell r="AG60">
            <v>62</v>
          </cell>
          <cell r="AH60">
            <v>0</v>
          </cell>
          <cell r="AI60">
            <v>38</v>
          </cell>
          <cell r="AK60">
            <v>0</v>
          </cell>
          <cell r="AL60">
            <v>81</v>
          </cell>
          <cell r="AM60">
            <v>195</v>
          </cell>
        </row>
        <row r="61">
          <cell r="F61">
            <v>87.333333333333329</v>
          </cell>
          <cell r="G61">
            <v>41</v>
          </cell>
          <cell r="H61">
            <v>46.333333333333329</v>
          </cell>
          <cell r="P61">
            <v>586</v>
          </cell>
          <cell r="S61">
            <v>1427</v>
          </cell>
          <cell r="T61">
            <v>228.32</v>
          </cell>
          <cell r="U61">
            <v>1198.68</v>
          </cell>
          <cell r="X61">
            <v>708</v>
          </cell>
          <cell r="Y61">
            <v>307</v>
          </cell>
          <cell r="Z61">
            <v>401</v>
          </cell>
          <cell r="AC61">
            <v>734</v>
          </cell>
          <cell r="AD61">
            <v>280</v>
          </cell>
          <cell r="AE61">
            <v>454</v>
          </cell>
          <cell r="AF61">
            <v>586.33333333333337</v>
          </cell>
          <cell r="AG61">
            <v>530.33333333333337</v>
          </cell>
          <cell r="AH61">
            <v>56</v>
          </cell>
          <cell r="AI61">
            <v>222</v>
          </cell>
          <cell r="AK61">
            <v>4083.666666666667</v>
          </cell>
          <cell r="AL61">
            <v>1224</v>
          </cell>
          <cell r="AM61">
            <v>2859.666666666667</v>
          </cell>
          <cell r="AN61">
            <v>587</v>
          </cell>
          <cell r="AO61">
            <v>1340</v>
          </cell>
          <cell r="AP61">
            <v>637</v>
          </cell>
          <cell r="AQ61">
            <v>1519.666666666667</v>
          </cell>
        </row>
        <row r="62">
          <cell r="G62">
            <v>0</v>
          </cell>
          <cell r="T62">
            <v>23</v>
          </cell>
          <cell r="U62">
            <v>120</v>
          </cell>
          <cell r="AH62">
            <v>0</v>
          </cell>
          <cell r="AI62">
            <v>0</v>
          </cell>
          <cell r="AJ62">
            <v>0</v>
          </cell>
          <cell r="AK62">
            <v>0</v>
          </cell>
          <cell r="AN62">
            <v>59</v>
          </cell>
          <cell r="AO62">
            <v>134</v>
          </cell>
          <cell r="AP62">
            <v>64</v>
          </cell>
          <cell r="AQ62">
            <v>152</v>
          </cell>
        </row>
        <row r="63">
          <cell r="F63">
            <v>68</v>
          </cell>
          <cell r="G63">
            <v>32</v>
          </cell>
          <cell r="H63">
            <v>36</v>
          </cell>
          <cell r="P63">
            <v>350</v>
          </cell>
          <cell r="S63">
            <v>920</v>
          </cell>
          <cell r="T63">
            <v>228.32</v>
          </cell>
          <cell r="U63">
            <v>1198.68</v>
          </cell>
          <cell r="X63">
            <v>110</v>
          </cell>
          <cell r="Y63">
            <v>307</v>
          </cell>
          <cell r="Z63">
            <v>401</v>
          </cell>
          <cell r="AC63">
            <v>80</v>
          </cell>
          <cell r="AD63">
            <v>31</v>
          </cell>
          <cell r="AE63">
            <v>454</v>
          </cell>
          <cell r="AF63">
            <v>250</v>
          </cell>
          <cell r="AG63">
            <v>250</v>
          </cell>
          <cell r="AH63">
            <v>0</v>
          </cell>
          <cell r="AK63">
            <v>1791</v>
          </cell>
          <cell r="AL63">
            <v>426</v>
          </cell>
          <cell r="AM63">
            <v>1365</v>
          </cell>
          <cell r="AO63">
            <v>253</v>
          </cell>
        </row>
        <row r="64">
          <cell r="F64">
            <v>0</v>
          </cell>
          <cell r="G64">
            <v>0</v>
          </cell>
          <cell r="P64">
            <v>0</v>
          </cell>
          <cell r="S64">
            <v>0</v>
          </cell>
          <cell r="T64">
            <v>23</v>
          </cell>
          <cell r="U64">
            <v>120</v>
          </cell>
          <cell r="AC64">
            <v>0</v>
          </cell>
          <cell r="AD64">
            <v>0</v>
          </cell>
          <cell r="AF64">
            <v>0</v>
          </cell>
          <cell r="AG64">
            <v>0</v>
          </cell>
          <cell r="AH64">
            <v>0</v>
          </cell>
          <cell r="AI64">
            <v>0</v>
          </cell>
          <cell r="AJ64">
            <v>0</v>
          </cell>
          <cell r="AK64">
            <v>0</v>
          </cell>
          <cell r="AL64">
            <v>0</v>
          </cell>
          <cell r="AM64">
            <v>0</v>
          </cell>
          <cell r="AO64">
            <v>0</v>
          </cell>
        </row>
        <row r="65">
          <cell r="F65">
            <v>19.333333333333329</v>
          </cell>
          <cell r="G65">
            <v>9</v>
          </cell>
          <cell r="H65">
            <v>10.333333333333329</v>
          </cell>
          <cell r="P65">
            <v>236</v>
          </cell>
          <cell r="S65">
            <v>507</v>
          </cell>
          <cell r="T65">
            <v>205.32</v>
          </cell>
          <cell r="U65">
            <v>1078.68</v>
          </cell>
          <cell r="X65">
            <v>598</v>
          </cell>
          <cell r="Y65">
            <v>307</v>
          </cell>
          <cell r="Z65">
            <v>401</v>
          </cell>
          <cell r="AC65">
            <v>654</v>
          </cell>
          <cell r="AD65">
            <v>249</v>
          </cell>
          <cell r="AE65">
            <v>454</v>
          </cell>
          <cell r="AF65">
            <v>336.33333333333337</v>
          </cell>
          <cell r="AG65">
            <v>280.33333333333337</v>
          </cell>
          <cell r="AH65">
            <v>56</v>
          </cell>
          <cell r="AI65">
            <v>0</v>
          </cell>
          <cell r="AJ65">
            <v>0</v>
          </cell>
          <cell r="AK65">
            <v>2292.6666666666665</v>
          </cell>
          <cell r="AL65">
            <v>798</v>
          </cell>
          <cell r="AM65">
            <v>1494.666666666667</v>
          </cell>
          <cell r="AN65">
            <v>528</v>
          </cell>
          <cell r="AO65">
            <v>953</v>
          </cell>
          <cell r="AP65">
            <v>573</v>
          </cell>
          <cell r="AQ65">
            <v>1367.666666666667</v>
          </cell>
        </row>
        <row r="66">
          <cell r="F66">
            <v>63</v>
          </cell>
          <cell r="G66">
            <v>30</v>
          </cell>
          <cell r="H66">
            <v>33</v>
          </cell>
          <cell r="P66">
            <v>370</v>
          </cell>
          <cell r="S66">
            <v>719</v>
          </cell>
          <cell r="T66">
            <v>179.75</v>
          </cell>
          <cell r="U66">
            <v>539.25</v>
          </cell>
          <cell r="X66">
            <v>550</v>
          </cell>
          <cell r="Y66">
            <v>239</v>
          </cell>
          <cell r="Z66">
            <v>311</v>
          </cell>
          <cell r="AC66">
            <v>480</v>
          </cell>
          <cell r="AD66">
            <v>183</v>
          </cell>
          <cell r="AE66">
            <v>297</v>
          </cell>
          <cell r="AF66">
            <v>506</v>
          </cell>
          <cell r="AG66">
            <v>506</v>
          </cell>
          <cell r="AH66">
            <v>0</v>
          </cell>
          <cell r="AK66">
            <v>2688</v>
          </cell>
          <cell r="AL66">
            <v>822</v>
          </cell>
          <cell r="AM66">
            <v>1866</v>
          </cell>
          <cell r="AN66">
            <v>422</v>
          </cell>
          <cell r="AO66">
            <v>852</v>
          </cell>
          <cell r="AP66">
            <v>400</v>
          </cell>
          <cell r="AQ66">
            <v>1014</v>
          </cell>
        </row>
        <row r="67">
          <cell r="F67">
            <v>0</v>
          </cell>
          <cell r="G67">
            <v>0</v>
          </cell>
          <cell r="H67">
            <v>10.333333333333329</v>
          </cell>
          <cell r="P67">
            <v>53</v>
          </cell>
          <cell r="S67">
            <v>296</v>
          </cell>
          <cell r="T67">
            <v>205.32</v>
          </cell>
          <cell r="U67">
            <v>1078.68</v>
          </cell>
          <cell r="X67">
            <v>197.81818181818181</v>
          </cell>
          <cell r="Y67">
            <v>86</v>
          </cell>
          <cell r="Z67">
            <v>111.81818181818181</v>
          </cell>
          <cell r="AC67">
            <v>144</v>
          </cell>
          <cell r="AD67">
            <v>55</v>
          </cell>
          <cell r="AE67">
            <v>89</v>
          </cell>
          <cell r="AF67">
            <v>85.090909090909093</v>
          </cell>
          <cell r="AG67">
            <v>85.090909090909093</v>
          </cell>
          <cell r="AH67">
            <v>0</v>
          </cell>
          <cell r="AI67">
            <v>0</v>
          </cell>
          <cell r="AJ67">
            <v>0</v>
          </cell>
          <cell r="AK67">
            <v>775.90909090909088</v>
          </cell>
          <cell r="AL67">
            <v>194</v>
          </cell>
          <cell r="AM67">
            <v>581.90909090909088</v>
          </cell>
        </row>
        <row r="68">
          <cell r="F68">
            <v>0</v>
          </cell>
          <cell r="G68">
            <v>0</v>
          </cell>
          <cell r="H68">
            <v>18.641999999999996</v>
          </cell>
          <cell r="P68">
            <v>3</v>
          </cell>
          <cell r="S68">
            <v>16</v>
          </cell>
          <cell r="T68">
            <v>125.15</v>
          </cell>
          <cell r="U68">
            <v>375.45000000000005</v>
          </cell>
          <cell r="X68">
            <v>11</v>
          </cell>
          <cell r="Y68">
            <v>5</v>
          </cell>
          <cell r="Z68">
            <v>6</v>
          </cell>
          <cell r="AC68">
            <v>8</v>
          </cell>
          <cell r="AD68">
            <v>3</v>
          </cell>
          <cell r="AE68">
            <v>5</v>
          </cell>
          <cell r="AF68">
            <v>5</v>
          </cell>
          <cell r="AG68">
            <v>5</v>
          </cell>
          <cell r="AH68">
            <v>0</v>
          </cell>
          <cell r="AK68">
            <v>43</v>
          </cell>
          <cell r="AL68">
            <v>11</v>
          </cell>
          <cell r="AM68">
            <v>32</v>
          </cell>
        </row>
        <row r="69">
          <cell r="F69">
            <v>0</v>
          </cell>
          <cell r="G69">
            <v>0</v>
          </cell>
          <cell r="P69">
            <v>17</v>
          </cell>
          <cell r="S69">
            <v>95</v>
          </cell>
          <cell r="X69">
            <v>63</v>
          </cell>
          <cell r="Y69">
            <v>27</v>
          </cell>
          <cell r="Z69">
            <v>36</v>
          </cell>
          <cell r="AC69">
            <v>45</v>
          </cell>
          <cell r="AD69">
            <v>17</v>
          </cell>
          <cell r="AE69">
            <v>28</v>
          </cell>
          <cell r="AF69">
            <v>27</v>
          </cell>
          <cell r="AG69">
            <v>27</v>
          </cell>
          <cell r="AH69">
            <v>0</v>
          </cell>
          <cell r="AK69">
            <v>247</v>
          </cell>
          <cell r="AL69">
            <v>61</v>
          </cell>
          <cell r="AM69">
            <v>186</v>
          </cell>
        </row>
        <row r="70">
          <cell r="F70">
            <v>0</v>
          </cell>
          <cell r="G70">
            <v>0</v>
          </cell>
          <cell r="P70">
            <v>3</v>
          </cell>
          <cell r="S70">
            <v>16</v>
          </cell>
          <cell r="X70">
            <v>11</v>
          </cell>
          <cell r="Y70">
            <v>5</v>
          </cell>
          <cell r="Z70">
            <v>6</v>
          </cell>
          <cell r="AC70">
            <v>8</v>
          </cell>
          <cell r="AD70">
            <v>3</v>
          </cell>
          <cell r="AE70">
            <v>5</v>
          </cell>
          <cell r="AF70">
            <v>5</v>
          </cell>
          <cell r="AG70">
            <v>5</v>
          </cell>
          <cell r="AH70">
            <v>0</v>
          </cell>
          <cell r="AK70">
            <v>0</v>
          </cell>
          <cell r="AL70">
            <v>0</v>
          </cell>
          <cell r="AM70">
            <v>0</v>
          </cell>
        </row>
        <row r="71">
          <cell r="F71">
            <v>63</v>
          </cell>
          <cell r="G71">
            <v>30</v>
          </cell>
          <cell r="P71">
            <v>370</v>
          </cell>
          <cell r="S71">
            <v>719</v>
          </cell>
          <cell r="X71">
            <v>550</v>
          </cell>
          <cell r="Y71">
            <v>239</v>
          </cell>
          <cell r="Z71">
            <v>311</v>
          </cell>
          <cell r="AC71">
            <v>480</v>
          </cell>
          <cell r="AD71">
            <v>183</v>
          </cell>
          <cell r="AE71">
            <v>297</v>
          </cell>
          <cell r="AF71">
            <v>506</v>
          </cell>
          <cell r="AG71">
            <v>506</v>
          </cell>
          <cell r="AH71">
            <v>0</v>
          </cell>
          <cell r="AK71">
            <v>2688</v>
          </cell>
          <cell r="AL71">
            <v>832</v>
          </cell>
          <cell r="AM71">
            <v>1856</v>
          </cell>
        </row>
        <row r="72">
          <cell r="F72">
            <v>0</v>
          </cell>
          <cell r="G72">
            <v>0</v>
          </cell>
          <cell r="P72">
            <v>0</v>
          </cell>
          <cell r="S72">
            <v>0</v>
          </cell>
          <cell r="X72">
            <v>0</v>
          </cell>
          <cell r="Z72">
            <v>0</v>
          </cell>
          <cell r="AC72">
            <v>0</v>
          </cell>
          <cell r="AD72">
            <v>0</v>
          </cell>
          <cell r="AE72">
            <v>0</v>
          </cell>
          <cell r="AH72">
            <v>0</v>
          </cell>
          <cell r="AK72">
            <v>0</v>
          </cell>
          <cell r="AL72">
            <v>0</v>
          </cell>
          <cell r="AM72">
            <v>0</v>
          </cell>
        </row>
        <row r="73">
          <cell r="F73">
            <v>444.33333333333337</v>
          </cell>
          <cell r="G73">
            <v>210</v>
          </cell>
          <cell r="H73">
            <v>234.33333333333334</v>
          </cell>
          <cell r="P73">
            <v>45</v>
          </cell>
          <cell r="S73">
            <v>110</v>
          </cell>
          <cell r="T73">
            <v>72.600000000000009</v>
          </cell>
          <cell r="U73">
            <v>37.399999999999991</v>
          </cell>
          <cell r="X73">
            <v>68</v>
          </cell>
          <cell r="Y73">
            <v>30</v>
          </cell>
          <cell r="Z73">
            <v>38</v>
          </cell>
          <cell r="AC73">
            <v>27</v>
          </cell>
          <cell r="AD73">
            <v>10</v>
          </cell>
          <cell r="AE73">
            <v>17</v>
          </cell>
          <cell r="AF73">
            <v>105.66666666666667</v>
          </cell>
          <cell r="AG73">
            <v>96.666666666666671</v>
          </cell>
          <cell r="AH73">
            <v>9</v>
          </cell>
          <cell r="AI73">
            <v>0</v>
          </cell>
          <cell r="AK73">
            <v>1113</v>
          </cell>
          <cell r="AL73">
            <v>418</v>
          </cell>
          <cell r="AM73">
            <v>695</v>
          </cell>
          <cell r="AN73">
            <v>40</v>
          </cell>
          <cell r="AO73">
            <v>92</v>
          </cell>
          <cell r="AP73">
            <v>378</v>
          </cell>
          <cell r="AQ73">
            <v>603</v>
          </cell>
        </row>
        <row r="74">
          <cell r="F74">
            <v>61.666666666666664</v>
          </cell>
          <cell r="G74">
            <v>29</v>
          </cell>
          <cell r="H74">
            <v>32.666666666666664</v>
          </cell>
          <cell r="P74">
            <v>0</v>
          </cell>
          <cell r="S74">
            <v>0</v>
          </cell>
          <cell r="T74">
            <v>0</v>
          </cell>
          <cell r="U74">
            <v>0</v>
          </cell>
          <cell r="X74">
            <v>0</v>
          </cell>
          <cell r="Y74">
            <v>0</v>
          </cell>
          <cell r="Z74">
            <v>0</v>
          </cell>
          <cell r="AC74">
            <v>0</v>
          </cell>
          <cell r="AD74">
            <v>0</v>
          </cell>
          <cell r="AE74">
            <v>0</v>
          </cell>
          <cell r="AH74">
            <v>0</v>
          </cell>
          <cell r="AK74">
            <v>61.666666666666664</v>
          </cell>
          <cell r="AL74">
            <v>29</v>
          </cell>
          <cell r="AM74">
            <v>32.666666666666664</v>
          </cell>
          <cell r="AN74">
            <v>0</v>
          </cell>
          <cell r="AO74">
            <v>0</v>
          </cell>
          <cell r="AP74">
            <v>29</v>
          </cell>
          <cell r="AQ74">
            <v>32.666666666666664</v>
          </cell>
        </row>
        <row r="75">
          <cell r="F75">
            <v>382.66666666666669</v>
          </cell>
          <cell r="G75">
            <v>181</v>
          </cell>
          <cell r="H75">
            <v>201.66666666666669</v>
          </cell>
          <cell r="P75">
            <v>45</v>
          </cell>
          <cell r="S75">
            <v>110</v>
          </cell>
          <cell r="T75">
            <v>72.600000000000009</v>
          </cell>
          <cell r="U75">
            <v>37.399999999999991</v>
          </cell>
          <cell r="X75">
            <v>68</v>
          </cell>
          <cell r="Y75">
            <v>30</v>
          </cell>
          <cell r="Z75">
            <v>38</v>
          </cell>
          <cell r="AC75">
            <v>27</v>
          </cell>
          <cell r="AD75">
            <v>10</v>
          </cell>
          <cell r="AE75">
            <v>17</v>
          </cell>
          <cell r="AF75">
            <v>105.66666666666667</v>
          </cell>
          <cell r="AG75">
            <v>96.666666666666671</v>
          </cell>
          <cell r="AH75">
            <v>9</v>
          </cell>
          <cell r="AI75">
            <v>370</v>
          </cell>
          <cell r="AK75">
            <v>1051.3333333333335</v>
          </cell>
          <cell r="AL75">
            <v>389</v>
          </cell>
          <cell r="AM75">
            <v>662.33333333333348</v>
          </cell>
          <cell r="AN75">
            <v>40</v>
          </cell>
          <cell r="AO75">
            <v>92</v>
          </cell>
          <cell r="AP75">
            <v>349</v>
          </cell>
          <cell r="AQ75">
            <v>570.33333333333348</v>
          </cell>
        </row>
        <row r="76">
          <cell r="F76">
            <v>382.66666666666669</v>
          </cell>
          <cell r="G76">
            <v>181</v>
          </cell>
          <cell r="H76">
            <v>201.66666666666669</v>
          </cell>
          <cell r="P76">
            <v>45</v>
          </cell>
          <cell r="S76">
            <v>110</v>
          </cell>
          <cell r="T76">
            <v>72.600000000000009</v>
          </cell>
          <cell r="U76">
            <v>37.399999999999991</v>
          </cell>
          <cell r="X76">
            <v>68</v>
          </cell>
          <cell r="Y76">
            <v>30</v>
          </cell>
          <cell r="Z76">
            <v>38</v>
          </cell>
          <cell r="AC76">
            <v>27</v>
          </cell>
          <cell r="AD76">
            <v>10</v>
          </cell>
          <cell r="AE76">
            <v>17</v>
          </cell>
          <cell r="AF76">
            <v>105.66666666666667</v>
          </cell>
          <cell r="AG76">
            <v>96.666666666666671</v>
          </cell>
          <cell r="AH76">
            <v>9</v>
          </cell>
          <cell r="AK76">
            <v>782.33333333333337</v>
          </cell>
          <cell r="AL76">
            <v>306</v>
          </cell>
          <cell r="AM76">
            <v>476.33333333333337</v>
          </cell>
          <cell r="AQ76">
            <v>476.33333333333337</v>
          </cell>
        </row>
        <row r="77">
          <cell r="F77">
            <v>0</v>
          </cell>
          <cell r="G77">
            <v>474</v>
          </cell>
          <cell r="H77">
            <v>0</v>
          </cell>
          <cell r="P77">
            <v>0</v>
          </cell>
          <cell r="S77">
            <v>0</v>
          </cell>
          <cell r="T77">
            <v>33.105600000000003</v>
          </cell>
          <cell r="U77">
            <v>17.054400000000001</v>
          </cell>
          <cell r="X77">
            <v>47.008000000000003</v>
          </cell>
          <cell r="Y77">
            <v>20</v>
          </cell>
          <cell r="Z77">
            <v>27.008000000000003</v>
          </cell>
          <cell r="AC77">
            <v>74.311999999999998</v>
          </cell>
          <cell r="AD77">
            <v>29</v>
          </cell>
          <cell r="AE77">
            <v>45.311999999999998</v>
          </cell>
          <cell r="AF77">
            <v>74.183999999999997</v>
          </cell>
          <cell r="AG77">
            <v>70.080000000000013</v>
          </cell>
          <cell r="AH77">
            <v>4.1039999999999992</v>
          </cell>
          <cell r="AI77">
            <v>370</v>
          </cell>
          <cell r="AK77">
            <v>269</v>
          </cell>
          <cell r="AL77">
            <v>83</v>
          </cell>
          <cell r="AM77">
            <v>186</v>
          </cell>
          <cell r="AQ77">
            <v>186</v>
          </cell>
        </row>
        <row r="78">
          <cell r="F78">
            <v>0</v>
          </cell>
          <cell r="G78">
            <v>80</v>
          </cell>
          <cell r="H78">
            <v>0</v>
          </cell>
          <cell r="P78">
            <v>20.52</v>
          </cell>
          <cell r="S78">
            <v>50.160000000000004</v>
          </cell>
          <cell r="T78">
            <v>33.105600000000003</v>
          </cell>
          <cell r="U78">
            <v>17.054400000000001</v>
          </cell>
          <cell r="X78">
            <v>31.008000000000003</v>
          </cell>
          <cell r="Y78">
            <v>13</v>
          </cell>
          <cell r="Z78">
            <v>18.008000000000003</v>
          </cell>
          <cell r="AC78">
            <v>12.312000000000001</v>
          </cell>
          <cell r="AD78">
            <v>5</v>
          </cell>
          <cell r="AE78">
            <v>7.3120000000000012</v>
          </cell>
          <cell r="AF78">
            <v>48.184000000000005</v>
          </cell>
          <cell r="AG78">
            <v>44.080000000000005</v>
          </cell>
          <cell r="AH78">
            <v>4.1039999999999992</v>
          </cell>
          <cell r="AK78">
            <v>0</v>
          </cell>
          <cell r="AL78">
            <v>0</v>
          </cell>
          <cell r="AM78">
            <v>0</v>
          </cell>
        </row>
        <row r="79">
          <cell r="F79">
            <v>1</v>
          </cell>
          <cell r="G79">
            <v>0</v>
          </cell>
          <cell r="H79">
            <v>1</v>
          </cell>
          <cell r="P79">
            <v>14.700000000000003</v>
          </cell>
          <cell r="S79">
            <v>0</v>
          </cell>
          <cell r="Y79">
            <v>0</v>
          </cell>
          <cell r="Z79">
            <v>0</v>
          </cell>
          <cell r="AH79">
            <v>0</v>
          </cell>
          <cell r="AK79">
            <v>15.700000000000003</v>
          </cell>
          <cell r="AL79">
            <v>14.700000000000003</v>
          </cell>
          <cell r="AM79">
            <v>1</v>
          </cell>
        </row>
        <row r="80">
          <cell r="F80">
            <v>1486.3333333333335</v>
          </cell>
          <cell r="G80">
            <v>702</v>
          </cell>
          <cell r="H80">
            <v>784.33333333333337</v>
          </cell>
          <cell r="P80">
            <v>2057</v>
          </cell>
          <cell r="Q80">
            <v>0</v>
          </cell>
          <cell r="R80">
            <v>0</v>
          </cell>
          <cell r="S80">
            <v>26671</v>
          </cell>
          <cell r="T80">
            <v>23991.85</v>
          </cell>
          <cell r="U80">
            <v>2679.15</v>
          </cell>
          <cell r="X80">
            <v>47262.181818181816</v>
          </cell>
          <cell r="Y80">
            <v>31198.25</v>
          </cell>
          <cell r="Z80">
            <v>16063.931818181818</v>
          </cell>
          <cell r="AA80">
            <v>0</v>
          </cell>
          <cell r="AB80">
            <v>0</v>
          </cell>
          <cell r="AC80">
            <v>38047</v>
          </cell>
          <cell r="AD80">
            <v>23032.272727272721</v>
          </cell>
          <cell r="AE80">
            <v>15014.727272727279</v>
          </cell>
          <cell r="AF80">
            <v>3797.5757575757575</v>
          </cell>
          <cell r="AG80">
            <v>2950.8303030303032</v>
          </cell>
          <cell r="AH80">
            <v>846.74545454545455</v>
          </cell>
          <cell r="AI80">
            <v>0</v>
          </cell>
          <cell r="AK80">
            <v>119211.34545454546</v>
          </cell>
          <cell r="AL80">
            <v>57353.122727272719</v>
          </cell>
          <cell r="AM80">
            <v>61858.222727272732</v>
          </cell>
          <cell r="AN80">
            <v>54171.522727272721</v>
          </cell>
          <cell r="AO80">
            <v>52671</v>
          </cell>
          <cell r="AP80">
            <v>2888.6</v>
          </cell>
          <cell r="AQ80">
            <v>8510.2227272727341</v>
          </cell>
        </row>
        <row r="81">
          <cell r="F81">
            <v>288</v>
          </cell>
          <cell r="G81">
            <v>136</v>
          </cell>
          <cell r="H81">
            <v>152</v>
          </cell>
          <cell r="P81">
            <v>502</v>
          </cell>
          <cell r="Q81">
            <v>0</v>
          </cell>
          <cell r="R81">
            <v>0</v>
          </cell>
          <cell r="S81">
            <v>1112</v>
          </cell>
          <cell r="T81">
            <v>399.84</v>
          </cell>
          <cell r="U81">
            <v>416.16</v>
          </cell>
          <cell r="V81">
            <v>0</v>
          </cell>
          <cell r="W81">
            <v>0</v>
          </cell>
          <cell r="X81">
            <v>436</v>
          </cell>
          <cell r="Y81">
            <v>189</v>
          </cell>
          <cell r="Z81">
            <v>247</v>
          </cell>
          <cell r="AA81">
            <v>0</v>
          </cell>
          <cell r="AB81">
            <v>0</v>
          </cell>
          <cell r="AC81">
            <v>354</v>
          </cell>
          <cell r="AD81">
            <v>135</v>
          </cell>
          <cell r="AE81">
            <v>219</v>
          </cell>
          <cell r="AF81">
            <v>1046</v>
          </cell>
          <cell r="AG81">
            <v>892.25454545454545</v>
          </cell>
          <cell r="AH81">
            <v>153.74545454545455</v>
          </cell>
          <cell r="AI81">
            <v>0</v>
          </cell>
          <cell r="AK81">
            <v>3808.2545454545452</v>
          </cell>
          <cell r="AL81">
            <v>1109</v>
          </cell>
          <cell r="AM81">
            <v>2699.2545454545452</v>
          </cell>
        </row>
        <row r="82">
          <cell r="F82">
            <v>0</v>
          </cell>
          <cell r="H82">
            <v>0</v>
          </cell>
          <cell r="AK82">
            <v>0</v>
          </cell>
          <cell r="AL82">
            <v>57353.122727272712</v>
          </cell>
          <cell r="AM82">
            <v>0</v>
          </cell>
        </row>
        <row r="83">
          <cell r="F83">
            <v>0</v>
          </cell>
          <cell r="G83">
            <v>0</v>
          </cell>
          <cell r="H83">
            <v>1</v>
          </cell>
          <cell r="AH83">
            <v>0</v>
          </cell>
          <cell r="AK83">
            <v>0</v>
          </cell>
          <cell r="AL83">
            <v>0</v>
          </cell>
          <cell r="AM83">
            <v>0</v>
          </cell>
          <cell r="AN83">
            <v>0</v>
          </cell>
          <cell r="AO83">
            <v>0</v>
          </cell>
          <cell r="AP83">
            <v>0</v>
          </cell>
          <cell r="AQ83">
            <v>0</v>
          </cell>
        </row>
        <row r="84">
          <cell r="F84">
            <v>1486.3333333333335</v>
          </cell>
          <cell r="G84">
            <v>702</v>
          </cell>
          <cell r="H84">
            <v>784.33333333333337</v>
          </cell>
          <cell r="P84">
            <v>2057</v>
          </cell>
          <cell r="Q84">
            <v>0</v>
          </cell>
          <cell r="R84">
            <v>0</v>
          </cell>
          <cell r="S84">
            <v>26671</v>
          </cell>
          <cell r="T84">
            <v>23991.85</v>
          </cell>
          <cell r="U84">
            <v>2679.15</v>
          </cell>
          <cell r="V84">
            <v>0</v>
          </cell>
          <cell r="W84">
            <v>0</v>
          </cell>
          <cell r="X84">
            <v>47262.181818181816</v>
          </cell>
          <cell r="Y84">
            <v>31198.25</v>
          </cell>
          <cell r="Z84">
            <v>16063.931818181818</v>
          </cell>
          <cell r="AA84">
            <v>0</v>
          </cell>
          <cell r="AB84">
            <v>0</v>
          </cell>
          <cell r="AC84">
            <v>38047</v>
          </cell>
          <cell r="AD84">
            <v>23032.272727272721</v>
          </cell>
          <cell r="AE84">
            <v>15014.727272727279</v>
          </cell>
          <cell r="AF84">
            <v>3797.5757575757575</v>
          </cell>
          <cell r="AG84">
            <v>2950.8303030303032</v>
          </cell>
          <cell r="AH84">
            <v>846.74545454545455</v>
          </cell>
          <cell r="AI84">
            <v>0</v>
          </cell>
          <cell r="AK84">
            <v>119211.34545454546</v>
          </cell>
          <cell r="AL84">
            <v>57353.122727272719</v>
          </cell>
          <cell r="AM84">
            <v>61858.222727272732</v>
          </cell>
          <cell r="AN84">
            <v>54171.522727272721</v>
          </cell>
          <cell r="AO84">
            <v>52671</v>
          </cell>
          <cell r="AP84">
            <v>2888.6</v>
          </cell>
          <cell r="AQ84">
            <v>8510.2227272727341</v>
          </cell>
        </row>
        <row r="85">
          <cell r="F85">
            <v>834</v>
          </cell>
          <cell r="G85">
            <v>480.6</v>
          </cell>
          <cell r="H85">
            <v>353.4</v>
          </cell>
          <cell r="P85">
            <v>668.5454545454545</v>
          </cell>
          <cell r="Q85">
            <v>0</v>
          </cell>
          <cell r="R85">
            <v>0</v>
          </cell>
          <cell r="S85">
            <v>1503.2727272727273</v>
          </cell>
          <cell r="T85">
            <v>591.56363636363631</v>
          </cell>
          <cell r="U85">
            <v>615.70909090909095</v>
          </cell>
          <cell r="V85">
            <v>0</v>
          </cell>
          <cell r="W85">
            <v>0</v>
          </cell>
          <cell r="X85">
            <v>608.81818181818176</v>
          </cell>
          <cell r="Y85">
            <v>264</v>
          </cell>
          <cell r="Z85">
            <v>344.81818181818181</v>
          </cell>
          <cell r="AA85">
            <v>0</v>
          </cell>
          <cell r="AB85">
            <v>0</v>
          </cell>
          <cell r="AC85">
            <v>479.09090909090912</v>
          </cell>
          <cell r="AD85">
            <v>183</v>
          </cell>
          <cell r="AE85">
            <v>296.09090909090912</v>
          </cell>
          <cell r="AF85">
            <v>1435.090909090909</v>
          </cell>
          <cell r="AG85">
            <v>1219.090909090909</v>
          </cell>
          <cell r="AH85">
            <v>0</v>
          </cell>
          <cell r="AI85">
            <v>692.36363636363637</v>
          </cell>
          <cell r="AK85">
            <v>834</v>
          </cell>
          <cell r="AL85">
            <v>480.6</v>
          </cell>
          <cell r="AM85">
            <v>353.4</v>
          </cell>
          <cell r="AN85">
            <v>0</v>
          </cell>
          <cell r="AO85">
            <v>0</v>
          </cell>
          <cell r="AP85">
            <v>138.99756689287395</v>
          </cell>
          <cell r="AQ85">
            <v>22.724226359558756</v>
          </cell>
        </row>
        <row r="86">
          <cell r="F86">
            <v>1390</v>
          </cell>
          <cell r="G86">
            <v>810</v>
          </cell>
          <cell r="H86">
            <v>580</v>
          </cell>
          <cell r="AH86">
            <v>0</v>
          </cell>
          <cell r="AK86">
            <v>1390</v>
          </cell>
          <cell r="AL86">
            <v>810</v>
          </cell>
          <cell r="AM86">
            <v>580</v>
          </cell>
          <cell r="AN86">
            <v>0</v>
          </cell>
          <cell r="AO86">
            <v>0</v>
          </cell>
          <cell r="AP86">
            <v>228.12277531937434</v>
          </cell>
          <cell r="AQ86">
            <v>36.936194930798187</v>
          </cell>
        </row>
        <row r="87">
          <cell r="F87">
            <v>600</v>
          </cell>
          <cell r="G87">
            <v>174</v>
          </cell>
          <cell r="H87">
            <v>426</v>
          </cell>
          <cell r="S87">
            <v>0</v>
          </cell>
          <cell r="T87">
            <v>0</v>
          </cell>
          <cell r="U87">
            <v>0</v>
          </cell>
          <cell r="X87">
            <v>0</v>
          </cell>
          <cell r="Y87">
            <v>0</v>
          </cell>
          <cell r="Z87">
            <v>0</v>
          </cell>
          <cell r="AA87">
            <v>0</v>
          </cell>
          <cell r="AB87">
            <v>0</v>
          </cell>
          <cell r="AC87">
            <v>0</v>
          </cell>
          <cell r="AD87">
            <v>0</v>
          </cell>
          <cell r="AE87">
            <v>0</v>
          </cell>
          <cell r="AF87">
            <v>0</v>
          </cell>
          <cell r="AG87">
            <v>0</v>
          </cell>
          <cell r="AH87">
            <v>0</v>
          </cell>
          <cell r="AK87">
            <v>600</v>
          </cell>
          <cell r="AL87">
            <v>174</v>
          </cell>
          <cell r="AM87">
            <v>426</v>
          </cell>
          <cell r="AN87">
            <v>0</v>
          </cell>
          <cell r="AO87">
            <v>0</v>
          </cell>
          <cell r="AP87">
            <v>0</v>
          </cell>
          <cell r="AQ87">
            <v>0</v>
          </cell>
        </row>
        <row r="88">
          <cell r="F88">
            <v>12.666666666666666</v>
          </cell>
          <cell r="G88">
            <v>4</v>
          </cell>
          <cell r="H88">
            <v>8.6666666666666661</v>
          </cell>
          <cell r="P88">
            <v>60</v>
          </cell>
          <cell r="Q88">
            <v>0</v>
          </cell>
          <cell r="R88">
            <v>0</v>
          </cell>
          <cell r="S88">
            <v>1</v>
          </cell>
          <cell r="T88">
            <v>24329.410276363637</v>
          </cell>
          <cell r="U88">
            <v>2847.2304509090909</v>
          </cell>
          <cell r="V88">
            <v>0</v>
          </cell>
          <cell r="W88">
            <v>0</v>
          </cell>
          <cell r="X88">
            <v>110</v>
          </cell>
          <cell r="Y88">
            <v>48</v>
          </cell>
          <cell r="Z88">
            <v>62</v>
          </cell>
          <cell r="AA88">
            <v>0</v>
          </cell>
          <cell r="AB88">
            <v>0</v>
          </cell>
          <cell r="AC88">
            <v>26</v>
          </cell>
          <cell r="AD88">
            <v>16</v>
          </cell>
          <cell r="AE88">
            <v>10</v>
          </cell>
          <cell r="AF88">
            <v>12</v>
          </cell>
          <cell r="AG88">
            <v>11</v>
          </cell>
          <cell r="AH88">
            <v>1</v>
          </cell>
          <cell r="AI88">
            <v>1322.3636363636365</v>
          </cell>
          <cell r="AK88">
            <v>220.66666666666669</v>
          </cell>
          <cell r="AL88">
            <v>128</v>
          </cell>
          <cell r="AM88">
            <v>92.666666666666686</v>
          </cell>
          <cell r="AN88">
            <v>64</v>
          </cell>
          <cell r="AO88">
            <v>72</v>
          </cell>
          <cell r="AP88">
            <v>64</v>
          </cell>
          <cell r="AQ88">
            <v>20.666666666666686</v>
          </cell>
        </row>
        <row r="89">
          <cell r="F89">
            <v>0</v>
          </cell>
          <cell r="G89">
            <v>0</v>
          </cell>
          <cell r="H89">
            <v>0</v>
          </cell>
          <cell r="AH89">
            <v>0</v>
          </cell>
          <cell r="AM89">
            <v>0</v>
          </cell>
        </row>
        <row r="90">
          <cell r="F90">
            <v>1149</v>
          </cell>
          <cell r="G90">
            <v>559</v>
          </cell>
          <cell r="H90">
            <v>590</v>
          </cell>
          <cell r="AH90">
            <v>0</v>
          </cell>
          <cell r="AK90">
            <v>1149</v>
          </cell>
          <cell r="AL90">
            <v>559</v>
          </cell>
          <cell r="AM90">
            <v>590</v>
          </cell>
        </row>
        <row r="91">
          <cell r="F91">
            <v>4323.0000000000009</v>
          </cell>
          <cell r="G91">
            <v>2170.6</v>
          </cell>
          <cell r="H91">
            <v>2152.4</v>
          </cell>
          <cell r="P91">
            <v>2117</v>
          </cell>
          <cell r="Q91">
            <v>0</v>
          </cell>
          <cell r="R91">
            <v>0</v>
          </cell>
          <cell r="S91">
            <v>26672</v>
          </cell>
          <cell r="T91">
            <v>23991.85</v>
          </cell>
          <cell r="U91">
            <v>2679.15</v>
          </cell>
          <cell r="V91">
            <v>0</v>
          </cell>
          <cell r="W91">
            <v>0</v>
          </cell>
          <cell r="X91">
            <v>47372.181818181816</v>
          </cell>
          <cell r="Y91">
            <v>31246.25</v>
          </cell>
          <cell r="Z91">
            <v>16125.931818181818</v>
          </cell>
          <cell r="AA91">
            <v>0</v>
          </cell>
          <cell r="AB91">
            <v>0</v>
          </cell>
          <cell r="AC91">
            <v>38073</v>
          </cell>
          <cell r="AD91">
            <v>23048.272727272721</v>
          </cell>
          <cell r="AE91">
            <v>15024.727272727279</v>
          </cell>
          <cell r="AF91">
            <v>3808.5757575757575</v>
          </cell>
          <cell r="AG91">
            <v>2961.8303030303032</v>
          </cell>
          <cell r="AH91">
            <v>847.74545454545455</v>
          </cell>
          <cell r="AI91">
            <v>0</v>
          </cell>
          <cell r="AJ91">
            <v>0</v>
          </cell>
          <cell r="AK91">
            <v>122256.01212121213</v>
          </cell>
          <cell r="AL91">
            <v>58945.722727272718</v>
          </cell>
          <cell r="AM91">
            <v>63310.289393939398</v>
          </cell>
          <cell r="AN91">
            <v>54235.522727272721</v>
          </cell>
          <cell r="AO91">
            <v>52743</v>
          </cell>
          <cell r="AP91">
            <v>3319.7203422122484</v>
          </cell>
          <cell r="AQ91">
            <v>8590.5498152297569</v>
          </cell>
        </row>
        <row r="92">
          <cell r="F92">
            <v>4323.0000000000009</v>
          </cell>
          <cell r="G92">
            <v>2170.6</v>
          </cell>
          <cell r="H92">
            <v>2152.4</v>
          </cell>
          <cell r="P92">
            <v>2117</v>
          </cell>
          <cell r="Q92">
            <v>0</v>
          </cell>
          <cell r="R92">
            <v>0</v>
          </cell>
          <cell r="S92">
            <v>7422</v>
          </cell>
          <cell r="T92">
            <v>4741.8499999999985</v>
          </cell>
          <cell r="U92">
            <v>2679.15</v>
          </cell>
          <cell r="V92">
            <v>0</v>
          </cell>
          <cell r="W92">
            <v>0</v>
          </cell>
          <cell r="X92">
            <v>2775.1818181818162</v>
          </cell>
          <cell r="Y92">
            <v>1205</v>
          </cell>
          <cell r="Z92">
            <v>1570.181818181818</v>
          </cell>
          <cell r="AA92">
            <v>0</v>
          </cell>
          <cell r="AB92">
            <v>0</v>
          </cell>
          <cell r="AC92">
            <v>1922</v>
          </cell>
          <cell r="AD92">
            <v>740</v>
          </cell>
          <cell r="AE92">
            <v>1182</v>
          </cell>
          <cell r="AF92">
            <v>3808.5757575757575</v>
          </cell>
          <cell r="AG92">
            <v>2961.8303030303032</v>
          </cell>
          <cell r="AH92">
            <v>847.74545454545455</v>
          </cell>
          <cell r="AI92">
            <v>0</v>
          </cell>
          <cell r="AJ92">
            <v>0</v>
          </cell>
          <cell r="AK92">
            <v>22258.01212121213</v>
          </cell>
          <cell r="AL92">
            <v>6596.1999999999971</v>
          </cell>
          <cell r="AM92">
            <v>15661.812121212119</v>
          </cell>
          <cell r="AN92">
            <v>1886</v>
          </cell>
          <cell r="AO92">
            <v>5095</v>
          </cell>
          <cell r="AP92">
            <v>3319.7203422122484</v>
          </cell>
          <cell r="AQ92">
            <v>8590.0725425024775</v>
          </cell>
        </row>
        <row r="93">
          <cell r="F93">
            <v>357</v>
          </cell>
          <cell r="G93">
            <v>4323</v>
          </cell>
          <cell r="P93">
            <v>350</v>
          </cell>
          <cell r="S93">
            <v>920</v>
          </cell>
          <cell r="X93">
            <v>110</v>
          </cell>
          <cell r="Y93">
            <v>47372.181818181816</v>
          </cell>
          <cell r="AC93">
            <v>80</v>
          </cell>
          <cell r="AD93">
            <v>38073</v>
          </cell>
          <cell r="AF93">
            <v>250</v>
          </cell>
          <cell r="AG93">
            <v>250</v>
          </cell>
          <cell r="AH93">
            <v>0</v>
          </cell>
          <cell r="AI93">
            <v>269</v>
          </cell>
          <cell r="AJ93">
            <v>0</v>
          </cell>
          <cell r="AK93">
            <v>2349</v>
          </cell>
          <cell r="AL93">
            <v>122256.01212121213</v>
          </cell>
        </row>
        <row r="94">
          <cell r="F94">
            <v>68</v>
          </cell>
          <cell r="P94">
            <v>350</v>
          </cell>
          <cell r="S94">
            <v>920</v>
          </cell>
          <cell r="X94">
            <v>110</v>
          </cell>
          <cell r="AC94">
            <v>80</v>
          </cell>
          <cell r="AF94">
            <v>250</v>
          </cell>
          <cell r="AG94">
            <v>250</v>
          </cell>
          <cell r="AH94">
            <v>0</v>
          </cell>
          <cell r="AI94">
            <v>5</v>
          </cell>
          <cell r="AK94">
            <v>1796</v>
          </cell>
          <cell r="AL94">
            <v>122256.01212121212</v>
          </cell>
          <cell r="AM94">
            <v>58945.722727272718</v>
          </cell>
        </row>
        <row r="95">
          <cell r="F95">
            <v>3715.6352121212121</v>
          </cell>
          <cell r="G95">
            <v>1632</v>
          </cell>
          <cell r="H95">
            <v>2083.6352121212117</v>
          </cell>
          <cell r="P95">
            <v>0</v>
          </cell>
          <cell r="Q95">
            <v>0</v>
          </cell>
          <cell r="R95">
            <v>0</v>
          </cell>
          <cell r="S95">
            <v>27183.640727272727</v>
          </cell>
          <cell r="T95">
            <v>24329.410276363637</v>
          </cell>
          <cell r="U95">
            <v>2847.2304509090909</v>
          </cell>
          <cell r="V95">
            <v>0</v>
          </cell>
          <cell r="W95">
            <v>0</v>
          </cell>
          <cell r="X95">
            <v>47215.512727272733</v>
          </cell>
          <cell r="Y95">
            <v>31176.25</v>
          </cell>
          <cell r="Z95">
            <v>16039.262727272728</v>
          </cell>
          <cell r="AA95">
            <v>0</v>
          </cell>
          <cell r="AB95">
            <v>0</v>
          </cell>
          <cell r="AC95">
            <v>37916.270909090912</v>
          </cell>
          <cell r="AD95">
            <v>22988.272727272721</v>
          </cell>
          <cell r="AE95">
            <v>14927.99818181819</v>
          </cell>
          <cell r="AF95">
            <v>4597.3529696969699</v>
          </cell>
          <cell r="AG95">
            <v>3810.3289696969696</v>
          </cell>
          <cell r="AH95">
            <v>788.02400000000011</v>
          </cell>
          <cell r="AI95">
            <v>1329.3636363636365</v>
          </cell>
          <cell r="AJ95">
            <v>0</v>
          </cell>
          <cell r="AK95">
            <v>0</v>
          </cell>
          <cell r="AL95">
            <v>58830.66674564944</v>
          </cell>
          <cell r="AM95">
            <v>65411.053799805093</v>
          </cell>
        </row>
        <row r="96">
          <cell r="F96">
            <v>289</v>
          </cell>
          <cell r="G96">
            <v>1632</v>
          </cell>
          <cell r="H96">
            <v>2083.6352121212117</v>
          </cell>
          <cell r="P96">
            <v>2235.8934545454545</v>
          </cell>
          <cell r="Q96">
            <v>0</v>
          </cell>
          <cell r="R96">
            <v>0</v>
          </cell>
          <cell r="S96">
            <v>0</v>
          </cell>
          <cell r="T96">
            <v>5079.4102763636365</v>
          </cell>
          <cell r="U96">
            <v>2847.2304509090909</v>
          </cell>
          <cell r="V96">
            <v>0</v>
          </cell>
          <cell r="W96">
            <v>0</v>
          </cell>
          <cell r="X96">
            <v>0</v>
          </cell>
          <cell r="Y96">
            <v>1135</v>
          </cell>
          <cell r="Z96">
            <v>1483.5127272727277</v>
          </cell>
          <cell r="AA96">
            <v>0</v>
          </cell>
          <cell r="AB96">
            <v>0</v>
          </cell>
          <cell r="AC96">
            <v>0</v>
          </cell>
          <cell r="AD96">
            <v>680</v>
          </cell>
          <cell r="AE96">
            <v>1085.2709090909102</v>
          </cell>
          <cell r="AF96">
            <v>0</v>
          </cell>
          <cell r="AG96">
            <v>0</v>
          </cell>
          <cell r="AH96">
            <v>0</v>
          </cell>
          <cell r="AI96">
            <v>264</v>
          </cell>
          <cell r="AJ96">
            <v>0</v>
          </cell>
          <cell r="AK96">
            <v>553</v>
          </cell>
          <cell r="AL96">
            <v>6481.144018376719</v>
          </cell>
          <cell r="AM96">
            <v>17762.576527077814</v>
          </cell>
        </row>
        <row r="97">
          <cell r="F97">
            <v>674.74900000000002</v>
          </cell>
          <cell r="G97">
            <v>3715.6352121212117</v>
          </cell>
          <cell r="P97">
            <v>0</v>
          </cell>
          <cell r="S97">
            <v>0</v>
          </cell>
          <cell r="X97">
            <v>-121.73</v>
          </cell>
          <cell r="AA97">
            <v>47215.512727272726</v>
          </cell>
          <cell r="AC97">
            <v>-32.44</v>
          </cell>
          <cell r="AD97">
            <v>37916.270909090912</v>
          </cell>
          <cell r="AF97">
            <v>491.25</v>
          </cell>
          <cell r="AG97">
            <v>491.25</v>
          </cell>
          <cell r="AH97">
            <v>0</v>
          </cell>
          <cell r="AI97">
            <v>459.13299999999998</v>
          </cell>
          <cell r="AJ97">
            <v>0</v>
          </cell>
          <cell r="AK97">
            <v>1963.5469999999998</v>
          </cell>
          <cell r="AL97">
            <v>122917.35690909091</v>
          </cell>
        </row>
        <row r="98">
          <cell r="F98">
            <v>68</v>
          </cell>
          <cell r="P98">
            <v>554.95000000000005</v>
          </cell>
          <cell r="S98">
            <v>0</v>
          </cell>
          <cell r="X98">
            <v>0</v>
          </cell>
          <cell r="AC98">
            <v>-32.44</v>
          </cell>
          <cell r="AF98">
            <v>491.25</v>
          </cell>
          <cell r="AG98">
            <v>491.25</v>
          </cell>
          <cell r="AH98">
            <v>0</v>
          </cell>
          <cell r="AI98">
            <v>391.28499999999997</v>
          </cell>
          <cell r="AK98">
            <v>1288.95</v>
          </cell>
          <cell r="AL98">
            <v>124241.72054545453</v>
          </cell>
          <cell r="AM98">
            <v>58755.067797563897</v>
          </cell>
        </row>
        <row r="99">
          <cell r="P99">
            <v>0</v>
          </cell>
          <cell r="AK99">
            <v>0</v>
          </cell>
        </row>
        <row r="100">
          <cell r="F100">
            <v>606.74900000000002</v>
          </cell>
          <cell r="S100">
            <v>0</v>
          </cell>
          <cell r="X100">
            <v>0</v>
          </cell>
          <cell r="AC100">
            <v>0</v>
          </cell>
          <cell r="AF100">
            <v>0</v>
          </cell>
          <cell r="AG100">
            <v>0</v>
          </cell>
          <cell r="AH100">
            <v>0</v>
          </cell>
          <cell r="AI100">
            <v>67.847999999999999</v>
          </cell>
          <cell r="AK100">
            <v>0</v>
          </cell>
        </row>
        <row r="101">
          <cell r="P101">
            <v>0</v>
          </cell>
          <cell r="S101">
            <v>0</v>
          </cell>
          <cell r="AK101">
            <v>0</v>
          </cell>
        </row>
        <row r="102">
          <cell r="F102">
            <v>575.33333333333326</v>
          </cell>
          <cell r="P102">
            <v>7</v>
          </cell>
          <cell r="S102">
            <v>30</v>
          </cell>
          <cell r="X102">
            <v>18</v>
          </cell>
          <cell r="AC102">
            <v>5</v>
          </cell>
          <cell r="AF102">
            <v>33.666666666666664</v>
          </cell>
          <cell r="AG102">
            <v>33.666666666666664</v>
          </cell>
          <cell r="AH102">
            <v>0</v>
          </cell>
          <cell r="AI102">
            <v>343</v>
          </cell>
          <cell r="AK102">
            <v>1014.3333333333333</v>
          </cell>
        </row>
        <row r="103">
          <cell r="F103">
            <v>289</v>
          </cell>
          <cell r="P103">
            <v>0</v>
          </cell>
          <cell r="X103">
            <v>0</v>
          </cell>
          <cell r="AC103">
            <v>0</v>
          </cell>
          <cell r="AF103">
            <v>0</v>
          </cell>
          <cell r="AG103">
            <v>0</v>
          </cell>
          <cell r="AH103">
            <v>0</v>
          </cell>
          <cell r="AI103">
            <v>264</v>
          </cell>
          <cell r="AK103">
            <v>553</v>
          </cell>
        </row>
        <row r="104">
          <cell r="F104">
            <v>0</v>
          </cell>
          <cell r="P104">
            <v>0</v>
          </cell>
          <cell r="S104">
            <v>0</v>
          </cell>
          <cell r="X104">
            <v>0</v>
          </cell>
          <cell r="AC104">
            <v>0</v>
          </cell>
          <cell r="AF104">
            <v>0</v>
          </cell>
          <cell r="AG104">
            <v>0</v>
          </cell>
          <cell r="AH104">
            <v>0</v>
          </cell>
          <cell r="AI104">
            <v>0</v>
          </cell>
          <cell r="AK104">
            <v>0</v>
          </cell>
        </row>
        <row r="105">
          <cell r="F105">
            <v>286.33333333333331</v>
          </cell>
          <cell r="P105">
            <v>7</v>
          </cell>
          <cell r="S105">
            <v>30</v>
          </cell>
          <cell r="X105">
            <v>18</v>
          </cell>
          <cell r="AC105">
            <v>5</v>
          </cell>
          <cell r="AF105">
            <v>33.666666666666664</v>
          </cell>
          <cell r="AG105">
            <v>33.666666666666664</v>
          </cell>
          <cell r="AH105">
            <v>0</v>
          </cell>
          <cell r="AI105">
            <v>79</v>
          </cell>
          <cell r="AK105">
            <v>461.33333333333331</v>
          </cell>
        </row>
        <row r="106">
          <cell r="F106">
            <v>375</v>
          </cell>
          <cell r="G106">
            <v>244</v>
          </cell>
          <cell r="H106">
            <v>598.31700000000001</v>
          </cell>
          <cell r="P106">
            <v>14</v>
          </cell>
          <cell r="S106">
            <v>157</v>
          </cell>
          <cell r="X106">
            <v>17.666666666666668</v>
          </cell>
          <cell r="AC106">
            <v>19</v>
          </cell>
          <cell r="AF106">
            <v>30.333333333333332</v>
          </cell>
          <cell r="AG106">
            <v>30.333333333333332</v>
          </cell>
          <cell r="AH106">
            <v>0</v>
          </cell>
          <cell r="AI106">
            <v>843</v>
          </cell>
          <cell r="AK106">
            <v>1462.9999999999998</v>
          </cell>
        </row>
        <row r="107">
          <cell r="F107">
            <v>0</v>
          </cell>
          <cell r="G107">
            <v>176</v>
          </cell>
          <cell r="H107">
            <v>430.74900000000002</v>
          </cell>
          <cell r="P107">
            <v>0</v>
          </cell>
          <cell r="S107">
            <v>120</v>
          </cell>
          <cell r="X107">
            <v>0</v>
          </cell>
          <cell r="AC107">
            <v>0</v>
          </cell>
          <cell r="AF107">
            <v>0</v>
          </cell>
          <cell r="AG107">
            <v>0</v>
          </cell>
          <cell r="AH107">
            <v>0</v>
          </cell>
          <cell r="AI107">
            <v>0</v>
          </cell>
          <cell r="AK107">
            <v>120</v>
          </cell>
        </row>
        <row r="108">
          <cell r="F108">
            <v>375</v>
          </cell>
          <cell r="G108">
            <v>68</v>
          </cell>
          <cell r="H108">
            <v>168</v>
          </cell>
          <cell r="P108">
            <v>14</v>
          </cell>
          <cell r="S108">
            <v>37</v>
          </cell>
          <cell r="X108">
            <v>17.666666666666668</v>
          </cell>
          <cell r="AC108">
            <v>19</v>
          </cell>
          <cell r="AF108">
            <v>30.333333333333332</v>
          </cell>
          <cell r="AG108">
            <v>30.333333333333332</v>
          </cell>
          <cell r="AH108">
            <v>0</v>
          </cell>
          <cell r="AI108">
            <v>843</v>
          </cell>
          <cell r="AK108">
            <v>1343</v>
          </cell>
        </row>
        <row r="109">
          <cell r="F109">
            <v>0</v>
          </cell>
          <cell r="G109">
            <v>0</v>
          </cell>
          <cell r="H109">
            <v>-0.43200000000001637</v>
          </cell>
          <cell r="P109">
            <v>0</v>
          </cell>
          <cell r="S109">
            <v>250</v>
          </cell>
          <cell r="X109">
            <v>-0.3360000000000003</v>
          </cell>
          <cell r="AC109">
            <v>0</v>
          </cell>
          <cell r="AF109">
            <v>0</v>
          </cell>
          <cell r="AG109">
            <v>0</v>
          </cell>
          <cell r="AH109">
            <v>0</v>
          </cell>
          <cell r="AI109">
            <v>88.560000000000016</v>
          </cell>
          <cell r="AK109">
            <v>250</v>
          </cell>
          <cell r="AL109">
            <v>25.641990811638593</v>
          </cell>
          <cell r="AM109">
            <v>0</v>
          </cell>
        </row>
        <row r="110">
          <cell r="F110">
            <v>0</v>
          </cell>
          <cell r="G110">
            <v>163</v>
          </cell>
          <cell r="H110">
            <v>397.5</v>
          </cell>
          <cell r="P110">
            <v>0</v>
          </cell>
          <cell r="S110">
            <v>250</v>
          </cell>
          <cell r="X110">
            <v>-0.42800000000000082</v>
          </cell>
          <cell r="AC110">
            <v>30.067999999999998</v>
          </cell>
          <cell r="AF110">
            <v>0.28399999999999892</v>
          </cell>
          <cell r="AG110">
            <v>0.28399999999999892</v>
          </cell>
          <cell r="AH110">
            <v>0</v>
          </cell>
          <cell r="AI110">
            <v>336.596</v>
          </cell>
          <cell r="AK110">
            <v>250</v>
          </cell>
        </row>
        <row r="111">
          <cell r="F111">
            <v>0</v>
          </cell>
          <cell r="G111">
            <v>163</v>
          </cell>
          <cell r="H111">
            <v>398</v>
          </cell>
          <cell r="P111">
            <v>0</v>
          </cell>
          <cell r="S111">
            <v>0</v>
          </cell>
          <cell r="X111">
            <v>0</v>
          </cell>
          <cell r="AC111">
            <v>0</v>
          </cell>
          <cell r="AF111">
            <v>0</v>
          </cell>
          <cell r="AG111">
            <v>0</v>
          </cell>
          <cell r="AH111">
            <v>0</v>
          </cell>
          <cell r="AI111">
            <v>56</v>
          </cell>
          <cell r="AK111">
            <v>0</v>
          </cell>
          <cell r="AL111">
            <v>0</v>
          </cell>
          <cell r="AM111">
            <v>0</v>
          </cell>
        </row>
        <row r="112">
          <cell r="F112">
            <v>-0.5</v>
          </cell>
          <cell r="G112">
            <v>0</v>
          </cell>
          <cell r="H112">
            <v>-0.5</v>
          </cell>
          <cell r="P112">
            <v>0</v>
          </cell>
          <cell r="S112">
            <v>0</v>
          </cell>
          <cell r="X112">
            <v>0</v>
          </cell>
          <cell r="AC112">
            <v>0</v>
          </cell>
          <cell r="AF112">
            <v>0</v>
          </cell>
          <cell r="AG112">
            <v>0</v>
          </cell>
          <cell r="AH112">
            <v>0</v>
          </cell>
          <cell r="AI112">
            <v>280.596</v>
          </cell>
          <cell r="AK112">
            <v>0</v>
          </cell>
          <cell r="AL112">
            <v>89.844474732006134</v>
          </cell>
          <cell r="AM112">
            <v>219.75152526799388</v>
          </cell>
        </row>
        <row r="113">
          <cell r="F113">
            <v>196</v>
          </cell>
          <cell r="G113">
            <v>0</v>
          </cell>
          <cell r="H113">
            <v>0</v>
          </cell>
          <cell r="P113">
            <v>273</v>
          </cell>
          <cell r="S113">
            <v>538</v>
          </cell>
          <cell r="X113">
            <v>237</v>
          </cell>
          <cell r="AC113">
            <v>172</v>
          </cell>
          <cell r="AF113">
            <v>535</v>
          </cell>
          <cell r="AG113">
            <v>535</v>
          </cell>
          <cell r="AH113">
            <v>0</v>
          </cell>
          <cell r="AI113">
            <v>952</v>
          </cell>
          <cell r="AK113">
            <v>2987</v>
          </cell>
          <cell r="AM113">
            <v>0</v>
          </cell>
        </row>
        <row r="114">
          <cell r="F114">
            <v>2</v>
          </cell>
          <cell r="G114">
            <v>0</v>
          </cell>
          <cell r="H114">
            <v>0</v>
          </cell>
          <cell r="P114">
            <v>0</v>
          </cell>
          <cell r="S114">
            <v>7</v>
          </cell>
          <cell r="X114">
            <v>40</v>
          </cell>
          <cell r="AC114">
            <v>0</v>
          </cell>
          <cell r="AF114">
            <v>0</v>
          </cell>
          <cell r="AG114">
            <v>0</v>
          </cell>
          <cell r="AH114">
            <v>0</v>
          </cell>
          <cell r="AI114">
            <v>6.7</v>
          </cell>
          <cell r="AK114">
            <v>55.7</v>
          </cell>
        </row>
        <row r="115">
          <cell r="F115">
            <v>588.33333333333337</v>
          </cell>
          <cell r="G115">
            <v>0</v>
          </cell>
          <cell r="H115">
            <v>0</v>
          </cell>
          <cell r="P115">
            <v>0</v>
          </cell>
          <cell r="S115">
            <v>0</v>
          </cell>
          <cell r="X115">
            <v>0</v>
          </cell>
          <cell r="AC115">
            <v>0</v>
          </cell>
          <cell r="AF115">
            <v>0</v>
          </cell>
          <cell r="AG115">
            <v>0</v>
          </cell>
          <cell r="AH115">
            <v>0</v>
          </cell>
          <cell r="AK115">
            <v>588.33333333333337</v>
          </cell>
          <cell r="AL115">
            <v>0</v>
          </cell>
          <cell r="AM115">
            <v>0</v>
          </cell>
        </row>
        <row r="116">
          <cell r="F116">
            <v>0</v>
          </cell>
          <cell r="G116">
            <v>0</v>
          </cell>
          <cell r="H116">
            <v>0</v>
          </cell>
          <cell r="P116">
            <v>0</v>
          </cell>
          <cell r="S116">
            <v>0</v>
          </cell>
          <cell r="X116">
            <v>0</v>
          </cell>
          <cell r="AC116">
            <v>0</v>
          </cell>
          <cell r="AF116">
            <v>0</v>
          </cell>
          <cell r="AG116">
            <v>0</v>
          </cell>
          <cell r="AH116">
            <v>0</v>
          </cell>
          <cell r="AK116">
            <v>0</v>
          </cell>
        </row>
        <row r="117">
          <cell r="F117">
            <v>5733.333333333333</v>
          </cell>
          <cell r="G117">
            <v>0</v>
          </cell>
          <cell r="H117">
            <v>0</v>
          </cell>
          <cell r="P117">
            <v>0</v>
          </cell>
          <cell r="S117">
            <v>0</v>
          </cell>
          <cell r="X117">
            <v>0</v>
          </cell>
          <cell r="AC117">
            <v>0</v>
          </cell>
          <cell r="AF117">
            <v>0</v>
          </cell>
          <cell r="AG117">
            <v>0</v>
          </cell>
          <cell r="AH117">
            <v>0</v>
          </cell>
          <cell r="AI117">
            <v>952</v>
          </cell>
          <cell r="AK117">
            <v>5733.333333333333</v>
          </cell>
          <cell r="AL117">
            <v>276.26952526799386</v>
          </cell>
          <cell r="AM117">
            <v>675.73047473200609</v>
          </cell>
        </row>
        <row r="118">
          <cell r="F118">
            <v>0</v>
          </cell>
          <cell r="P118">
            <v>0</v>
          </cell>
          <cell r="X118">
            <v>0</v>
          </cell>
          <cell r="AC118">
            <v>0</v>
          </cell>
          <cell r="AF118">
            <v>0</v>
          </cell>
          <cell r="AG118">
            <v>0</v>
          </cell>
          <cell r="AH118">
            <v>0</v>
          </cell>
          <cell r="AI118">
            <v>6.7</v>
          </cell>
          <cell r="AK118">
            <v>0</v>
          </cell>
        </row>
        <row r="119">
          <cell r="F119">
            <v>-20223</v>
          </cell>
          <cell r="AK119">
            <v>-20223</v>
          </cell>
          <cell r="AL119">
            <v>-20400.07348484849</v>
          </cell>
        </row>
        <row r="120">
          <cell r="F120">
            <v>0</v>
          </cell>
          <cell r="S120">
            <v>0</v>
          </cell>
          <cell r="X120">
            <v>0</v>
          </cell>
          <cell r="AK120">
            <v>-3990</v>
          </cell>
        </row>
        <row r="121">
          <cell r="F121">
            <v>7470</v>
          </cell>
          <cell r="G121">
            <v>0</v>
          </cell>
          <cell r="H121">
            <v>0</v>
          </cell>
          <cell r="P121">
            <v>294</v>
          </cell>
          <cell r="Q121">
            <v>0</v>
          </cell>
          <cell r="R121">
            <v>0</v>
          </cell>
          <cell r="S121">
            <v>982</v>
          </cell>
          <cell r="T121">
            <v>0</v>
          </cell>
          <cell r="U121">
            <v>0</v>
          </cell>
          <cell r="V121">
            <v>0</v>
          </cell>
          <cell r="W121">
            <v>0</v>
          </cell>
          <cell r="X121">
            <v>312.66666666666669</v>
          </cell>
          <cell r="Y121">
            <v>0</v>
          </cell>
          <cell r="Z121">
            <v>0</v>
          </cell>
          <cell r="AA121">
            <v>0</v>
          </cell>
          <cell r="AB121">
            <v>0</v>
          </cell>
          <cell r="AC121">
            <v>196</v>
          </cell>
          <cell r="AD121">
            <v>0</v>
          </cell>
          <cell r="AE121">
            <v>0</v>
          </cell>
          <cell r="AF121">
            <v>599</v>
          </cell>
          <cell r="AG121">
            <v>599</v>
          </cell>
          <cell r="AH121">
            <v>0</v>
          </cell>
          <cell r="AI121">
            <v>2144.6999999999998</v>
          </cell>
          <cell r="AJ121">
            <v>0</v>
          </cell>
          <cell r="AK121">
            <v>12091.699999999999</v>
          </cell>
          <cell r="AN121">
            <v>0</v>
          </cell>
          <cell r="AO121">
            <v>0</v>
          </cell>
          <cell r="AP121">
            <v>0</v>
          </cell>
          <cell r="AQ121">
            <v>0</v>
          </cell>
        </row>
        <row r="122">
          <cell r="F122">
            <v>7470</v>
          </cell>
          <cell r="G122">
            <v>0</v>
          </cell>
          <cell r="H122">
            <v>0</v>
          </cell>
          <cell r="P122">
            <v>294</v>
          </cell>
          <cell r="S122">
            <v>982</v>
          </cell>
          <cell r="X122">
            <v>312.66666666666669</v>
          </cell>
          <cell r="Y122">
            <v>0</v>
          </cell>
          <cell r="Z122">
            <v>0</v>
          </cell>
          <cell r="AC122">
            <v>196</v>
          </cell>
          <cell r="AD122">
            <v>0</v>
          </cell>
          <cell r="AE122">
            <v>0</v>
          </cell>
          <cell r="AF122">
            <v>599</v>
          </cell>
          <cell r="AG122">
            <v>599</v>
          </cell>
          <cell r="AH122">
            <v>0</v>
          </cell>
          <cell r="AI122">
            <v>2144.6999999999998</v>
          </cell>
          <cell r="AJ122">
            <v>0</v>
          </cell>
          <cell r="AK122">
            <v>-8131.3000000000011</v>
          </cell>
        </row>
        <row r="123">
          <cell r="F123">
            <v>-13094</v>
          </cell>
          <cell r="AK123">
            <v>-8308.373484848491</v>
          </cell>
          <cell r="AL123">
            <v>12091.699999999997</v>
          </cell>
        </row>
        <row r="124">
          <cell r="F124">
            <v>0</v>
          </cell>
          <cell r="AK124">
            <v>-4318.373484848491</v>
          </cell>
        </row>
        <row r="125">
          <cell r="F125">
            <v>6402.6170000000002</v>
          </cell>
          <cell r="G125">
            <v>407</v>
          </cell>
          <cell r="H125">
            <v>995.81700000000001</v>
          </cell>
          <cell r="P125">
            <v>0.40000000000000036</v>
          </cell>
          <cell r="Q125">
            <v>0</v>
          </cell>
          <cell r="R125">
            <v>0</v>
          </cell>
          <cell r="S125">
            <v>94.533999999999992</v>
          </cell>
          <cell r="T125">
            <v>0</v>
          </cell>
          <cell r="U125">
            <v>0</v>
          </cell>
          <cell r="V125">
            <v>0</v>
          </cell>
          <cell r="W125">
            <v>0</v>
          </cell>
          <cell r="X125">
            <v>0.23599999999999888</v>
          </cell>
          <cell r="Y125">
            <v>0</v>
          </cell>
          <cell r="Z125">
            <v>0</v>
          </cell>
          <cell r="AA125">
            <v>0</v>
          </cell>
          <cell r="AB125">
            <v>0</v>
          </cell>
          <cell r="AC125">
            <v>30.347999999999999</v>
          </cell>
          <cell r="AD125">
            <v>0</v>
          </cell>
          <cell r="AE125">
            <v>0</v>
          </cell>
          <cell r="AF125">
            <v>0.63599999999999923</v>
          </cell>
          <cell r="AG125">
            <v>0.63599999999999923</v>
          </cell>
          <cell r="AH125">
            <v>0</v>
          </cell>
          <cell r="AI125">
            <v>1451.704</v>
          </cell>
          <cell r="AJ125">
            <v>0</v>
          </cell>
          <cell r="AK125">
            <v>-6480.7621212121303</v>
          </cell>
          <cell r="AL125">
            <v>-3043.7227272727177</v>
          </cell>
          <cell r="AM125">
            <v>-4302.289393939398</v>
          </cell>
        </row>
        <row r="126">
          <cell r="F126">
            <v>6402.6170000000002</v>
          </cell>
          <cell r="G126">
            <v>407</v>
          </cell>
          <cell r="H126">
            <v>995.81700000000001</v>
          </cell>
          <cell r="P126">
            <v>0.40000000000000036</v>
          </cell>
          <cell r="S126">
            <v>94.533999999999992</v>
          </cell>
          <cell r="X126">
            <v>-0.76400000000000112</v>
          </cell>
          <cell r="Y126">
            <v>0</v>
          </cell>
          <cell r="Z126">
            <v>0</v>
          </cell>
          <cell r="AC126">
            <v>30.347999999999999</v>
          </cell>
          <cell r="AD126">
            <v>0</v>
          </cell>
          <cell r="AE126">
            <v>0</v>
          </cell>
          <cell r="AF126">
            <v>0.63599999999999923</v>
          </cell>
          <cell r="AG126">
            <v>0.63599999999999923</v>
          </cell>
          <cell r="AH126">
            <v>0</v>
          </cell>
          <cell r="AI126">
            <v>1451.7040000000002</v>
          </cell>
          <cell r="AJ126">
            <v>0</v>
          </cell>
          <cell r="AK126">
            <v>-5114.857</v>
          </cell>
        </row>
        <row r="127">
          <cell r="AK127">
            <v>-2162.3886363636389</v>
          </cell>
          <cell r="AL127">
            <v>7980.1429999999991</v>
          </cell>
          <cell r="AN127">
            <v>0</v>
          </cell>
        </row>
        <row r="128">
          <cell r="AK128">
            <v>0</v>
          </cell>
        </row>
        <row r="129">
          <cell r="AK129">
            <v>-8466.4705454545474</v>
          </cell>
          <cell r="AL129">
            <v>-2928.6667456494397</v>
          </cell>
          <cell r="AM129">
            <v>-6403.0537998050931</v>
          </cell>
        </row>
        <row r="130">
          <cell r="AK130">
            <v>59008</v>
          </cell>
          <cell r="AM130">
            <v>59008</v>
          </cell>
          <cell r="AN130">
            <v>0</v>
          </cell>
          <cell r="AP130">
            <v>0</v>
          </cell>
        </row>
        <row r="131">
          <cell r="AK131">
            <v>-4302.289393939398</v>
          </cell>
          <cell r="AN131">
            <v>0</v>
          </cell>
        </row>
        <row r="132">
          <cell r="AK132">
            <v>35.549999999999997</v>
          </cell>
          <cell r="AN132" t="e">
            <v>#DIV/0!</v>
          </cell>
        </row>
        <row r="133">
          <cell r="AK133">
            <v>38.14</v>
          </cell>
          <cell r="AN133" t="e">
            <v>#DIV/0!</v>
          </cell>
        </row>
        <row r="134">
          <cell r="AK134">
            <v>0</v>
          </cell>
          <cell r="AM134">
            <v>59008</v>
          </cell>
          <cell r="AN134">
            <v>0</v>
          </cell>
        </row>
        <row r="135">
          <cell r="AK135">
            <v>-6403.0537998050931</v>
          </cell>
        </row>
        <row r="136">
          <cell r="AK136">
            <v>11.69</v>
          </cell>
          <cell r="AN136" t="e">
            <v>#DIV/0!</v>
          </cell>
        </row>
        <row r="137">
          <cell r="AK137">
            <v>39.4</v>
          </cell>
        </row>
        <row r="138">
          <cell r="AJ138">
            <v>0</v>
          </cell>
          <cell r="AK138">
            <v>12.33</v>
          </cell>
          <cell r="AN138" t="e">
            <v>#DIV/0!</v>
          </cell>
        </row>
        <row r="139">
          <cell r="AK139">
            <v>55902</v>
          </cell>
          <cell r="AL139">
            <v>55902</v>
          </cell>
        </row>
        <row r="140">
          <cell r="AK140">
            <v>11.69</v>
          </cell>
        </row>
        <row r="141">
          <cell r="AJ141">
            <v>300</v>
          </cell>
        </row>
        <row r="142">
          <cell r="AJ142">
            <v>0</v>
          </cell>
          <cell r="AK142">
            <v>17273.857142857141</v>
          </cell>
          <cell r="AL142">
            <v>20710.896536796539</v>
          </cell>
          <cell r="AM142">
            <v>-4302.289393939398</v>
          </cell>
        </row>
        <row r="143">
          <cell r="S143">
            <v>0</v>
          </cell>
          <cell r="AK143">
            <v>865.25</v>
          </cell>
          <cell r="AL143">
            <v>16408.607142857141</v>
          </cell>
        </row>
        <row r="145">
          <cell r="AJ145">
            <v>0</v>
          </cell>
          <cell r="AK145">
            <v>114910</v>
          </cell>
          <cell r="AL145">
            <v>55902</v>
          </cell>
          <cell r="AM145">
            <v>59008</v>
          </cell>
          <cell r="AN145">
            <v>0</v>
          </cell>
        </row>
        <row r="146">
          <cell r="AK146">
            <v>0</v>
          </cell>
          <cell r="AL146">
            <v>16936.579514090809</v>
          </cell>
          <cell r="AM146">
            <v>-6403.0537998050931</v>
          </cell>
        </row>
        <row r="147">
          <cell r="S147">
            <v>0</v>
          </cell>
          <cell r="AH147">
            <v>7980.143</v>
          </cell>
          <cell r="AK147">
            <v>114910</v>
          </cell>
          <cell r="AL147">
            <v>55902</v>
          </cell>
          <cell r="AM147">
            <v>59008</v>
          </cell>
        </row>
        <row r="148">
          <cell r="AK148">
            <v>138664.61926406925</v>
          </cell>
          <cell r="AL148">
            <v>79656.619264069261</v>
          </cell>
          <cell r="AM148">
            <v>59008</v>
          </cell>
          <cell r="AN148">
            <v>1886</v>
          </cell>
          <cell r="AO148">
            <v>5095</v>
          </cell>
          <cell r="AP148">
            <v>3319.7203422122484</v>
          </cell>
          <cell r="AQ148">
            <v>8590.0725425024775</v>
          </cell>
        </row>
        <row r="149">
          <cell r="AJ149">
            <v>0</v>
          </cell>
          <cell r="AK149">
            <v>-5.3</v>
          </cell>
          <cell r="AL149">
            <v>-5.2</v>
          </cell>
          <cell r="AM149">
            <v>-6.8</v>
          </cell>
        </row>
        <row r="150">
          <cell r="AK150">
            <v>14.129249632100526</v>
          </cell>
          <cell r="AL150">
            <v>35.135537539544195</v>
          </cell>
          <cell r="AM150">
            <v>-6.7955610930302432</v>
          </cell>
        </row>
        <row r="151">
          <cell r="AK151">
            <v>114910</v>
          </cell>
          <cell r="AL151">
            <v>16.65759499457743</v>
          </cell>
          <cell r="AM151">
            <v>35.546987951807232</v>
          </cell>
        </row>
        <row r="152">
          <cell r="AK152">
            <v>134775.24625974026</v>
          </cell>
          <cell r="AL152">
            <v>75767.246259740248</v>
          </cell>
          <cell r="AM152">
            <v>59008</v>
          </cell>
        </row>
        <row r="153">
          <cell r="F153">
            <v>0</v>
          </cell>
          <cell r="P153">
            <v>0</v>
          </cell>
          <cell r="S153">
            <v>0</v>
          </cell>
          <cell r="X153">
            <v>0</v>
          </cell>
          <cell r="AC153">
            <v>0</v>
          </cell>
          <cell r="AI153">
            <v>0</v>
          </cell>
          <cell r="AJ153">
            <v>142</v>
          </cell>
          <cell r="AK153">
            <v>0</v>
          </cell>
          <cell r="AL153">
            <v>-5</v>
          </cell>
          <cell r="AM153">
            <v>-9.8000000000000007</v>
          </cell>
        </row>
        <row r="154">
          <cell r="F154">
            <v>63</v>
          </cell>
          <cell r="P154">
            <v>370</v>
          </cell>
          <cell r="S154">
            <v>719</v>
          </cell>
          <cell r="X154">
            <v>550</v>
          </cell>
          <cell r="AC154">
            <v>480</v>
          </cell>
          <cell r="AF154">
            <v>506</v>
          </cell>
          <cell r="AG154">
            <v>506</v>
          </cell>
          <cell r="AH154">
            <v>0</v>
          </cell>
          <cell r="AK154">
            <v>2688</v>
          </cell>
          <cell r="AL154">
            <v>28.788692107323904</v>
          </cell>
          <cell r="AM154">
            <v>-9.7889476286409742</v>
          </cell>
        </row>
        <row r="155">
          <cell r="F155">
            <v>63</v>
          </cell>
          <cell r="P155">
            <v>160</v>
          </cell>
          <cell r="S155">
            <v>215</v>
          </cell>
          <cell r="X155">
            <v>225</v>
          </cell>
          <cell r="AC155">
            <v>250</v>
          </cell>
          <cell r="AF155">
            <v>300</v>
          </cell>
          <cell r="AG155">
            <v>300</v>
          </cell>
          <cell r="AH155">
            <v>0</v>
          </cell>
          <cell r="AK155">
            <v>913</v>
          </cell>
          <cell r="AL155">
            <v>15.84425894181101</v>
          </cell>
          <cell r="AM155">
            <v>35.546987951807232</v>
          </cell>
        </row>
        <row r="156">
          <cell r="F156">
            <v>63</v>
          </cell>
          <cell r="P156">
            <v>40</v>
          </cell>
          <cell r="S156">
            <v>93</v>
          </cell>
          <cell r="X156">
            <v>49</v>
          </cell>
          <cell r="AC156">
            <v>65</v>
          </cell>
          <cell r="AF156">
            <v>30</v>
          </cell>
          <cell r="AG156">
            <v>30</v>
          </cell>
          <cell r="AH156">
            <v>0</v>
          </cell>
          <cell r="AI156">
            <v>125</v>
          </cell>
          <cell r="AK156">
            <v>465</v>
          </cell>
        </row>
        <row r="157">
          <cell r="F157">
            <v>0</v>
          </cell>
          <cell r="P157">
            <v>0</v>
          </cell>
          <cell r="S157">
            <v>0</v>
          </cell>
          <cell r="X157">
            <v>0</v>
          </cell>
          <cell r="AC157">
            <v>0</v>
          </cell>
          <cell r="AI157">
            <v>0</v>
          </cell>
          <cell r="AJ157">
            <v>142</v>
          </cell>
          <cell r="AK157">
            <v>0</v>
          </cell>
        </row>
        <row r="158">
          <cell r="F158">
            <v>269.642</v>
          </cell>
          <cell r="P158">
            <v>200.1</v>
          </cell>
          <cell r="S158">
            <v>500.6</v>
          </cell>
          <cell r="X158">
            <v>370.27272727272725</v>
          </cell>
          <cell r="AC158">
            <v>296.89999999999998</v>
          </cell>
          <cell r="AF158">
            <v>1020.7636363636364</v>
          </cell>
          <cell r="AG158">
            <v>1020.7636363636364</v>
          </cell>
          <cell r="AH158">
            <v>0</v>
          </cell>
          <cell r="AI158">
            <v>132.79999999999998</v>
          </cell>
          <cell r="AK158">
            <v>0</v>
          </cell>
        </row>
        <row r="159">
          <cell r="F159">
            <v>14.170833333333334</v>
          </cell>
          <cell r="P159">
            <v>48</v>
          </cell>
          <cell r="S159">
            <v>64.5</v>
          </cell>
          <cell r="X159">
            <v>82.5</v>
          </cell>
          <cell r="AC159">
            <v>75</v>
          </cell>
          <cell r="AF159">
            <v>90</v>
          </cell>
          <cell r="AG159">
            <v>90</v>
          </cell>
          <cell r="AH159">
            <v>0</v>
          </cell>
          <cell r="AK159">
            <v>14.170833333333334</v>
          </cell>
        </row>
        <row r="160">
          <cell r="F160">
            <v>269.642</v>
          </cell>
          <cell r="P160">
            <v>73</v>
          </cell>
          <cell r="S160">
            <v>407</v>
          </cell>
          <cell r="X160">
            <v>271.81818181818181</v>
          </cell>
          <cell r="AC160">
            <v>197</v>
          </cell>
          <cell r="AF160">
            <v>9</v>
          </cell>
          <cell r="AG160">
            <v>117.09090909090909</v>
          </cell>
          <cell r="AH160">
            <v>0</v>
          </cell>
          <cell r="AI160">
            <v>125</v>
          </cell>
          <cell r="AK160">
            <v>948.81818181818176</v>
          </cell>
        </row>
        <row r="161">
          <cell r="F161">
            <v>-396</v>
          </cell>
          <cell r="S161">
            <v>312</v>
          </cell>
          <cell r="X161">
            <v>278.18181818181819</v>
          </cell>
          <cell r="AC161">
            <v>283</v>
          </cell>
          <cell r="AK161">
            <v>477.18181818181819</v>
          </cell>
        </row>
        <row r="162">
          <cell r="S162">
            <v>719</v>
          </cell>
          <cell r="X162">
            <v>550</v>
          </cell>
          <cell r="AC162">
            <v>480</v>
          </cell>
          <cell r="AK162">
            <v>0</v>
          </cell>
        </row>
        <row r="163">
          <cell r="F163">
            <v>459</v>
          </cell>
          <cell r="P163">
            <v>0</v>
          </cell>
          <cell r="S163">
            <v>0</v>
          </cell>
          <cell r="X163">
            <v>0</v>
          </cell>
          <cell r="AC163">
            <v>0</v>
          </cell>
          <cell r="AK163">
            <v>459</v>
          </cell>
        </row>
        <row r="164">
          <cell r="P164">
            <v>73</v>
          </cell>
          <cell r="S164">
            <v>296</v>
          </cell>
          <cell r="X164">
            <v>625</v>
          </cell>
          <cell r="AC164">
            <v>444</v>
          </cell>
          <cell r="AF164">
            <v>180</v>
          </cell>
          <cell r="AG164">
            <v>180</v>
          </cell>
          <cell r="AH164">
            <v>0</v>
          </cell>
          <cell r="AK164">
            <v>1365</v>
          </cell>
        </row>
        <row r="165">
          <cell r="F165">
            <v>357</v>
          </cell>
          <cell r="G165">
            <v>4323</v>
          </cell>
          <cell r="H165">
            <v>0</v>
          </cell>
          <cell r="P165">
            <v>2350</v>
          </cell>
          <cell r="Q165">
            <v>0</v>
          </cell>
          <cell r="R165">
            <v>0</v>
          </cell>
          <cell r="S165">
            <v>3290</v>
          </cell>
          <cell r="T165">
            <v>0</v>
          </cell>
          <cell r="U165">
            <v>0</v>
          </cell>
          <cell r="V165">
            <v>0</v>
          </cell>
          <cell r="W165">
            <v>0</v>
          </cell>
          <cell r="X165">
            <v>110</v>
          </cell>
          <cell r="Y165">
            <v>47372.181818181816</v>
          </cell>
          <cell r="Z165">
            <v>0</v>
          </cell>
          <cell r="AA165">
            <v>0</v>
          </cell>
          <cell r="AB165">
            <v>0</v>
          </cell>
          <cell r="AC165">
            <v>1080</v>
          </cell>
          <cell r="AD165">
            <v>38073</v>
          </cell>
          <cell r="AE165">
            <v>0</v>
          </cell>
          <cell r="AF165">
            <v>350</v>
          </cell>
          <cell r="AG165">
            <v>350</v>
          </cell>
          <cell r="AH165">
            <v>0</v>
          </cell>
          <cell r="AI165">
            <v>269</v>
          </cell>
          <cell r="AJ165">
            <v>0</v>
          </cell>
          <cell r="AK165">
            <v>7819</v>
          </cell>
        </row>
        <row r="166">
          <cell r="F166">
            <v>357</v>
          </cell>
          <cell r="G166">
            <v>4323</v>
          </cell>
          <cell r="H166">
            <v>0</v>
          </cell>
          <cell r="P166">
            <v>350</v>
          </cell>
          <cell r="Q166">
            <v>0</v>
          </cell>
          <cell r="R166">
            <v>0</v>
          </cell>
          <cell r="S166">
            <v>1040</v>
          </cell>
          <cell r="T166">
            <v>0</v>
          </cell>
          <cell r="U166">
            <v>0</v>
          </cell>
          <cell r="V166">
            <v>0</v>
          </cell>
          <cell r="W166">
            <v>0</v>
          </cell>
          <cell r="X166">
            <v>110</v>
          </cell>
          <cell r="Y166">
            <v>47372.181818181816</v>
          </cell>
          <cell r="Z166">
            <v>0</v>
          </cell>
          <cell r="AA166">
            <v>0</v>
          </cell>
          <cell r="AB166">
            <v>0</v>
          </cell>
          <cell r="AC166">
            <v>80</v>
          </cell>
          <cell r="AD166">
            <v>38073</v>
          </cell>
          <cell r="AE166">
            <v>0</v>
          </cell>
          <cell r="AF166">
            <v>250</v>
          </cell>
          <cell r="AG166">
            <v>250</v>
          </cell>
          <cell r="AH166">
            <v>0</v>
          </cell>
          <cell r="AI166">
            <v>269</v>
          </cell>
          <cell r="AJ166">
            <v>0</v>
          </cell>
          <cell r="AK166">
            <v>2469</v>
          </cell>
        </row>
        <row r="167">
          <cell r="F167">
            <v>0</v>
          </cell>
          <cell r="G167">
            <v>0</v>
          </cell>
          <cell r="H167">
            <v>0</v>
          </cell>
          <cell r="P167">
            <v>0</v>
          </cell>
          <cell r="R167">
            <v>0</v>
          </cell>
          <cell r="S167">
            <v>250</v>
          </cell>
          <cell r="T167">
            <v>0</v>
          </cell>
          <cell r="U167">
            <v>0</v>
          </cell>
          <cell r="V167">
            <v>0</v>
          </cell>
          <cell r="W167">
            <v>0</v>
          </cell>
          <cell r="X167">
            <v>0</v>
          </cell>
          <cell r="Y167">
            <v>0</v>
          </cell>
          <cell r="Z167">
            <v>0</v>
          </cell>
          <cell r="AA167">
            <v>0</v>
          </cell>
          <cell r="AB167">
            <v>0</v>
          </cell>
          <cell r="AC167">
            <v>0</v>
          </cell>
          <cell r="AE167">
            <v>0</v>
          </cell>
          <cell r="AF167">
            <v>0</v>
          </cell>
          <cell r="AG167">
            <v>0</v>
          </cell>
          <cell r="AH167">
            <v>0</v>
          </cell>
          <cell r="AI167">
            <v>0</v>
          </cell>
          <cell r="AJ167">
            <v>0</v>
          </cell>
          <cell r="AK167">
            <v>250</v>
          </cell>
        </row>
        <row r="168">
          <cell r="F168">
            <v>0</v>
          </cell>
          <cell r="P168">
            <v>2000</v>
          </cell>
          <cell r="S168">
            <v>2000</v>
          </cell>
          <cell r="X168">
            <v>0</v>
          </cell>
          <cell r="AC168">
            <v>1000</v>
          </cell>
          <cell r="AF168">
            <v>100</v>
          </cell>
          <cell r="AG168">
            <v>100</v>
          </cell>
          <cell r="AH168">
            <v>0</v>
          </cell>
          <cell r="AK168">
            <v>5100</v>
          </cell>
        </row>
        <row r="169">
          <cell r="F169">
            <v>674.74900000000002</v>
          </cell>
          <cell r="G169">
            <v>3715.6352121212117</v>
          </cell>
          <cell r="H169">
            <v>0</v>
          </cell>
          <cell r="P169">
            <v>554.95000000000005</v>
          </cell>
          <cell r="Q169">
            <v>0</v>
          </cell>
          <cell r="R169">
            <v>0</v>
          </cell>
          <cell r="S169">
            <v>29.383999999999986</v>
          </cell>
          <cell r="T169">
            <v>0</v>
          </cell>
          <cell r="U169">
            <v>0</v>
          </cell>
          <cell r="V169">
            <v>0</v>
          </cell>
          <cell r="W169">
            <v>0</v>
          </cell>
          <cell r="X169">
            <v>-121.73</v>
          </cell>
          <cell r="Y169">
            <v>0</v>
          </cell>
          <cell r="Z169">
            <v>0</v>
          </cell>
          <cell r="AA169">
            <v>47215.512727272726</v>
          </cell>
          <cell r="AB169">
            <v>0</v>
          </cell>
          <cell r="AC169">
            <v>-32.44</v>
          </cell>
          <cell r="AD169">
            <v>37916.270909090912</v>
          </cell>
          <cell r="AE169">
            <v>0</v>
          </cell>
          <cell r="AF169">
            <v>491.25</v>
          </cell>
          <cell r="AG169">
            <v>491.25</v>
          </cell>
          <cell r="AH169">
            <v>0</v>
          </cell>
          <cell r="AI169">
            <v>515.13300000000004</v>
          </cell>
          <cell r="AJ169">
            <v>0</v>
          </cell>
          <cell r="AK169">
            <v>0</v>
          </cell>
        </row>
        <row r="170">
          <cell r="F170">
            <v>5733.333333333333</v>
          </cell>
          <cell r="G170">
            <v>3715.6352121212117</v>
          </cell>
          <cell r="H170">
            <v>0</v>
          </cell>
          <cell r="P170">
            <v>554.95000000000005</v>
          </cell>
          <cell r="Q170">
            <v>0</v>
          </cell>
          <cell r="R170">
            <v>0</v>
          </cell>
          <cell r="S170">
            <v>-34.866000000000014</v>
          </cell>
          <cell r="T170">
            <v>0</v>
          </cell>
          <cell r="U170">
            <v>0</v>
          </cell>
          <cell r="V170">
            <v>0</v>
          </cell>
          <cell r="W170">
            <v>0</v>
          </cell>
          <cell r="X170">
            <v>-121.73</v>
          </cell>
          <cell r="Y170">
            <v>0</v>
          </cell>
          <cell r="Z170">
            <v>0</v>
          </cell>
          <cell r="AA170">
            <v>47215.512727272726</v>
          </cell>
          <cell r="AB170">
            <v>0</v>
          </cell>
          <cell r="AC170">
            <v>200</v>
          </cell>
          <cell r="AD170">
            <v>37916.270909090912</v>
          </cell>
          <cell r="AE170">
            <v>0</v>
          </cell>
          <cell r="AF170">
            <v>491.25</v>
          </cell>
          <cell r="AG170">
            <v>491.25</v>
          </cell>
          <cell r="AH170">
            <v>0</v>
          </cell>
          <cell r="AI170">
            <v>515.13300000000004</v>
          </cell>
          <cell r="AJ170">
            <v>0</v>
          </cell>
          <cell r="AK170">
            <v>5933.333333333333</v>
          </cell>
        </row>
        <row r="171">
          <cell r="F171">
            <v>592</v>
          </cell>
          <cell r="G171">
            <v>0</v>
          </cell>
          <cell r="H171">
            <v>0</v>
          </cell>
          <cell r="P171">
            <v>964</v>
          </cell>
          <cell r="Q171">
            <v>0</v>
          </cell>
          <cell r="R171">
            <v>0</v>
          </cell>
          <cell r="S171">
            <v>2067</v>
          </cell>
          <cell r="T171">
            <v>549.83999999999992</v>
          </cell>
          <cell r="U171">
            <v>572.16000000000008</v>
          </cell>
          <cell r="V171">
            <v>0</v>
          </cell>
          <cell r="W171">
            <v>0</v>
          </cell>
          <cell r="X171">
            <v>836</v>
          </cell>
          <cell r="Y171">
            <v>0</v>
          </cell>
          <cell r="Z171">
            <v>0</v>
          </cell>
          <cell r="AA171">
            <v>0</v>
          </cell>
          <cell r="AB171">
            <v>0</v>
          </cell>
          <cell r="AC171">
            <v>658</v>
          </cell>
          <cell r="AE171">
            <v>0</v>
          </cell>
          <cell r="AF171">
            <v>1973</v>
          </cell>
          <cell r="AG171">
            <v>1761.2545454545452</v>
          </cell>
          <cell r="AH171">
            <v>211.74545454545455</v>
          </cell>
          <cell r="AI171">
            <v>0</v>
          </cell>
          <cell r="AJ171">
            <v>0</v>
          </cell>
          <cell r="AK171">
            <v>7270.2545454545452</v>
          </cell>
          <cell r="AN171">
            <v>194</v>
          </cell>
          <cell r="AO171">
            <v>566</v>
          </cell>
          <cell r="AP171">
            <v>773</v>
          </cell>
          <cell r="AQ171">
            <v>1666.3454545454542</v>
          </cell>
        </row>
        <row r="172">
          <cell r="F172">
            <v>0</v>
          </cell>
          <cell r="G172">
            <v>0</v>
          </cell>
          <cell r="H172">
            <v>0</v>
          </cell>
          <cell r="P172">
            <v>73</v>
          </cell>
          <cell r="Q172">
            <v>0</v>
          </cell>
          <cell r="R172">
            <v>0</v>
          </cell>
          <cell r="S172">
            <v>407</v>
          </cell>
          <cell r="T172">
            <v>0</v>
          </cell>
          <cell r="U172">
            <v>0</v>
          </cell>
          <cell r="V172">
            <v>0</v>
          </cell>
          <cell r="W172">
            <v>0</v>
          </cell>
          <cell r="X172">
            <v>271.81818181818181</v>
          </cell>
          <cell r="Y172">
            <v>118</v>
          </cell>
          <cell r="Z172">
            <v>153.81818181818181</v>
          </cell>
          <cell r="AA172">
            <v>0</v>
          </cell>
          <cell r="AB172">
            <v>0</v>
          </cell>
          <cell r="AC172">
            <v>197</v>
          </cell>
          <cell r="AD172">
            <v>75</v>
          </cell>
          <cell r="AE172">
            <v>122</v>
          </cell>
          <cell r="AF172">
            <v>117.09090909090909</v>
          </cell>
          <cell r="AG172">
            <v>117.09090909090909</v>
          </cell>
          <cell r="AH172">
            <v>0</v>
          </cell>
          <cell r="AK172">
            <v>0</v>
          </cell>
        </row>
        <row r="173">
          <cell r="F173">
            <v>14.666666666666666</v>
          </cell>
          <cell r="P173">
            <v>60</v>
          </cell>
          <cell r="Q173">
            <v>0</v>
          </cell>
          <cell r="R173">
            <v>0</v>
          </cell>
          <cell r="S173">
            <v>30</v>
          </cell>
          <cell r="T173">
            <v>22</v>
          </cell>
          <cell r="U173">
            <v>0</v>
          </cell>
          <cell r="V173">
            <v>0</v>
          </cell>
          <cell r="W173">
            <v>0</v>
          </cell>
          <cell r="X173">
            <v>940</v>
          </cell>
          <cell r="AA173">
            <v>0</v>
          </cell>
          <cell r="AB173">
            <v>0</v>
          </cell>
          <cell r="AC173">
            <v>39</v>
          </cell>
          <cell r="AF173">
            <v>12</v>
          </cell>
          <cell r="AG173">
            <v>11</v>
          </cell>
          <cell r="AH173">
            <v>1</v>
          </cell>
          <cell r="AI173">
            <v>6.7</v>
          </cell>
          <cell r="AJ173">
            <v>0</v>
          </cell>
          <cell r="AK173">
            <v>1101.3666666666668</v>
          </cell>
          <cell r="AN173">
            <v>412</v>
          </cell>
          <cell r="AO173">
            <v>534</v>
          </cell>
          <cell r="AP173">
            <v>64</v>
          </cell>
          <cell r="AQ173">
            <v>35.666666666666686</v>
          </cell>
        </row>
        <row r="174">
          <cell r="F174">
            <v>1162.6666666666672</v>
          </cell>
          <cell r="P174">
            <v>-1510</v>
          </cell>
          <cell r="S174">
            <v>2161</v>
          </cell>
          <cell r="X174">
            <v>307.99999999999801</v>
          </cell>
          <cell r="AC174">
            <v>-615</v>
          </cell>
          <cell r="AF174">
            <v>1317</v>
          </cell>
          <cell r="AG174">
            <v>739.00000000000011</v>
          </cell>
          <cell r="AH174">
            <v>578</v>
          </cell>
          <cell r="AK174">
            <v>4683.4666666666662</v>
          </cell>
          <cell r="AO174">
            <v>1507.2</v>
          </cell>
        </row>
        <row r="175">
          <cell r="F175">
            <v>507.45454545454538</v>
          </cell>
          <cell r="P175">
            <v>919.5454545454545</v>
          </cell>
          <cell r="Q175">
            <v>0</v>
          </cell>
          <cell r="R175">
            <v>0</v>
          </cell>
          <cell r="S175">
            <v>2066.272727272727</v>
          </cell>
          <cell r="T175">
            <v>813.56363636363631</v>
          </cell>
          <cell r="U175">
            <v>846.70909090909095</v>
          </cell>
          <cell r="V175">
            <v>0</v>
          </cell>
          <cell r="W175">
            <v>0</v>
          </cell>
          <cell r="X175">
            <v>837.81818181818176</v>
          </cell>
          <cell r="AA175">
            <v>0</v>
          </cell>
          <cell r="AB175">
            <v>0</v>
          </cell>
          <cell r="AC175">
            <v>657.09090909090912</v>
          </cell>
          <cell r="AF175">
            <v>1973.090909090909</v>
          </cell>
          <cell r="AG175">
            <v>1676.090909090909</v>
          </cell>
          <cell r="AH175">
            <v>297</v>
          </cell>
          <cell r="AJ175">
            <v>0</v>
          </cell>
          <cell r="AK175">
            <v>7055.363636363636</v>
          </cell>
          <cell r="AN175" t="str">
            <v>ОЧИК.18.02.</v>
          </cell>
        </row>
        <row r="176">
          <cell r="F176">
            <v>0</v>
          </cell>
          <cell r="G176">
            <v>0</v>
          </cell>
          <cell r="H176">
            <v>0</v>
          </cell>
          <cell r="P176">
            <v>73</v>
          </cell>
          <cell r="Q176">
            <v>0</v>
          </cell>
          <cell r="R176">
            <v>0</v>
          </cell>
          <cell r="S176">
            <v>407</v>
          </cell>
          <cell r="T176">
            <v>0</v>
          </cell>
          <cell r="U176">
            <v>0</v>
          </cell>
          <cell r="V176">
            <v>0</v>
          </cell>
          <cell r="W176">
            <v>0</v>
          </cell>
          <cell r="X176">
            <v>271.81818181818181</v>
          </cell>
          <cell r="Y176">
            <v>118</v>
          </cell>
          <cell r="Z176">
            <v>153.81818181818181</v>
          </cell>
          <cell r="AA176">
            <v>0</v>
          </cell>
          <cell r="AB176">
            <v>0</v>
          </cell>
          <cell r="AC176">
            <v>197</v>
          </cell>
          <cell r="AD176">
            <v>75</v>
          </cell>
          <cell r="AE176">
            <v>122</v>
          </cell>
          <cell r="AF176">
            <v>117.09090909090909</v>
          </cell>
          <cell r="AG176">
            <v>117.09090909090909</v>
          </cell>
          <cell r="AH176">
            <v>0</v>
          </cell>
        </row>
        <row r="177">
          <cell r="F177">
            <v>14.666666666666666</v>
          </cell>
          <cell r="P177">
            <v>-60</v>
          </cell>
          <cell r="Q177">
            <v>0</v>
          </cell>
          <cell r="R177">
            <v>0</v>
          </cell>
          <cell r="S177">
            <v>30</v>
          </cell>
          <cell r="T177">
            <v>22</v>
          </cell>
          <cell r="U177">
            <v>0</v>
          </cell>
          <cell r="V177">
            <v>0</v>
          </cell>
          <cell r="W177">
            <v>0</v>
          </cell>
          <cell r="X177">
            <v>826</v>
          </cell>
          <cell r="AA177">
            <v>0</v>
          </cell>
          <cell r="AB177">
            <v>0</v>
          </cell>
          <cell r="AC177">
            <v>39</v>
          </cell>
          <cell r="AF177">
            <v>12</v>
          </cell>
          <cell r="AG177">
            <v>11</v>
          </cell>
          <cell r="AH177">
            <v>1</v>
          </cell>
          <cell r="AI177">
            <v>13.7</v>
          </cell>
          <cell r="AJ177">
            <v>0</v>
          </cell>
          <cell r="AK177">
            <v>874.36666666666667</v>
          </cell>
        </row>
        <row r="178">
          <cell r="F178" t="str">
            <v>АПАРАТ ВСЬОГО</v>
          </cell>
          <cell r="G178" t="str">
            <v>АПАРАТ ЕЛЕКТРО</v>
          </cell>
          <cell r="H178" t="str">
            <v>АПАРАТ ТЕПЛО</v>
          </cell>
          <cell r="P178" t="str">
            <v>ККМ</v>
          </cell>
          <cell r="S178" t="str">
            <v>КТМ</v>
          </cell>
          <cell r="X178" t="str">
            <v>ТЕЦ-5 ВСЬОГО</v>
          </cell>
          <cell r="Y178" t="str">
            <v>Е/Е</v>
          </cell>
          <cell r="Z178" t="str">
            <v xml:space="preserve"> Т/Е</v>
          </cell>
          <cell r="AC178" t="str">
            <v>ТЕЦ-6 ВСЬОГО</v>
          </cell>
          <cell r="AD178" t="str">
            <v>Е/Е</v>
          </cell>
          <cell r="AE178" t="str">
            <v xml:space="preserve"> Т/Е</v>
          </cell>
          <cell r="AF178" t="str">
            <v>Е/Е</v>
          </cell>
          <cell r="AG178" t="str">
            <v xml:space="preserve"> Т/Е</v>
          </cell>
          <cell r="AH178">
            <v>433.02400000000011</v>
          </cell>
          <cell r="AI178" t="str">
            <v xml:space="preserve">ДОП.ВИР. </v>
          </cell>
          <cell r="AJ178" t="str">
            <v>ДОП.ВИР. СТ.ОРГ.</v>
          </cell>
          <cell r="AK178" t="str">
            <v>АК КЕ ВСЬОГО</v>
          </cell>
          <cell r="AL178" t="str">
            <v>Е/Е</v>
          </cell>
          <cell r="AM178" t="str">
            <v xml:space="preserve"> Т/Е</v>
          </cell>
          <cell r="AN178" t="str">
            <v>СТАНЦІї ЕЛЕКТРО</v>
          </cell>
          <cell r="AO178" t="str">
            <v>СТАНЦІІ ТЕПЛОВІ</v>
          </cell>
          <cell r="AP178" t="str">
            <v>МЕРЕЖІ ЕЛЕКТРО</v>
          </cell>
          <cell r="AQ178" t="str">
            <v>МЕРЕЖІ ТЕПЛОВІ</v>
          </cell>
        </row>
        <row r="181">
          <cell r="S181">
            <v>100</v>
          </cell>
          <cell r="X181">
            <v>79.7</v>
          </cell>
          <cell r="AC181">
            <v>63.3</v>
          </cell>
          <cell r="AK181">
            <v>243</v>
          </cell>
          <cell r="AN181">
            <v>221.49122807017542</v>
          </cell>
        </row>
        <row r="182">
          <cell r="S182">
            <v>114.9</v>
          </cell>
          <cell r="X182">
            <v>91.6</v>
          </cell>
          <cell r="AC182">
            <v>72.8</v>
          </cell>
          <cell r="AK182">
            <v>279.29999999999995</v>
          </cell>
          <cell r="AN182">
            <v>252.49999999999997</v>
          </cell>
        </row>
        <row r="183">
          <cell r="F183" t="str">
            <v>АПАРАТ ВСЬОГО</v>
          </cell>
          <cell r="G183" t="str">
            <v>АПАРАТ ЕЛЕКТРО</v>
          </cell>
          <cell r="H183" t="str">
            <v>АПАРАТ ТЕПЛО</v>
          </cell>
          <cell r="P183">
            <v>0</v>
          </cell>
          <cell r="S183">
            <v>0</v>
          </cell>
          <cell r="X183">
            <v>0</v>
          </cell>
          <cell r="Y183" t="str">
            <v>Е/Е</v>
          </cell>
          <cell r="Z183" t="str">
            <v xml:space="preserve"> Т/Е</v>
          </cell>
          <cell r="AC183">
            <v>0</v>
          </cell>
          <cell r="AD183" t="str">
            <v>Е/Е</v>
          </cell>
          <cell r="AE183" t="str">
            <v xml:space="preserve"> Т/Е</v>
          </cell>
          <cell r="AF183" t="str">
            <v>Е/Е</v>
          </cell>
          <cell r="AG183" t="str">
            <v xml:space="preserve"> Т/Е</v>
          </cell>
          <cell r="AI183" t="str">
            <v xml:space="preserve">ДОП.ВИР. </v>
          </cell>
          <cell r="AJ183" t="str">
            <v>ДОП.ВИР. СТ.ОРГ.</v>
          </cell>
          <cell r="AK183" t="str">
            <v>АК КЕ ВСЬОГО</v>
          </cell>
          <cell r="AL183" t="str">
            <v>Е/Е</v>
          </cell>
          <cell r="AM183" t="str">
            <v xml:space="preserve"> Т/Е</v>
          </cell>
          <cell r="AN183">
            <v>66</v>
          </cell>
        </row>
        <row r="184">
          <cell r="P184">
            <v>0</v>
          </cell>
          <cell r="S184">
            <v>192.5</v>
          </cell>
          <cell r="X184">
            <v>192.5</v>
          </cell>
          <cell r="AC184">
            <v>192.5</v>
          </cell>
          <cell r="AK184">
            <v>192.5</v>
          </cell>
          <cell r="AN184">
            <v>0</v>
          </cell>
        </row>
        <row r="185">
          <cell r="S185">
            <v>19250</v>
          </cell>
          <cell r="X185">
            <v>15343</v>
          </cell>
          <cell r="AC185">
            <v>12185</v>
          </cell>
          <cell r="AK185">
            <v>46778</v>
          </cell>
          <cell r="AN185">
            <v>0</v>
          </cell>
        </row>
        <row r="186">
          <cell r="S186">
            <v>100</v>
          </cell>
          <cell r="X186">
            <v>79.7</v>
          </cell>
          <cell r="AC186">
            <v>63.3</v>
          </cell>
          <cell r="AK186">
            <v>46778</v>
          </cell>
        </row>
        <row r="187">
          <cell r="S187">
            <v>114.9</v>
          </cell>
          <cell r="X187">
            <v>0</v>
          </cell>
          <cell r="AC187">
            <v>0</v>
          </cell>
          <cell r="AK187">
            <v>0</v>
          </cell>
        </row>
        <row r="188">
          <cell r="P188">
            <v>0</v>
          </cell>
          <cell r="S188">
            <v>0</v>
          </cell>
          <cell r="X188">
            <v>0</v>
          </cell>
          <cell r="AC188">
            <v>0</v>
          </cell>
          <cell r="AK188">
            <v>0</v>
          </cell>
        </row>
        <row r="189">
          <cell r="P189">
            <v>0</v>
          </cell>
          <cell r="S189">
            <v>192.5</v>
          </cell>
          <cell r="X189">
            <v>82.5</v>
          </cell>
          <cell r="AC189">
            <v>82.5</v>
          </cell>
          <cell r="AK189">
            <v>192.5</v>
          </cell>
        </row>
        <row r="190">
          <cell r="S190">
            <v>19250</v>
          </cell>
          <cell r="X190">
            <v>0</v>
          </cell>
          <cell r="AC190">
            <v>0</v>
          </cell>
          <cell r="AK190">
            <v>0</v>
          </cell>
        </row>
        <row r="191">
          <cell r="S191">
            <v>0</v>
          </cell>
          <cell r="X191">
            <v>0</v>
          </cell>
          <cell r="AC191">
            <v>0</v>
          </cell>
          <cell r="AK191">
            <v>0</v>
          </cell>
        </row>
        <row r="192">
          <cell r="X192">
            <v>0</v>
          </cell>
          <cell r="AC192">
            <v>0</v>
          </cell>
          <cell r="AK192">
            <v>0</v>
          </cell>
        </row>
        <row r="193">
          <cell r="X193">
            <v>44.8</v>
          </cell>
          <cell r="AC193">
            <v>36.700000000000003</v>
          </cell>
          <cell r="AK193">
            <v>81.5</v>
          </cell>
          <cell r="AN193">
            <v>75.839416058394164</v>
          </cell>
        </row>
        <row r="194">
          <cell r="X194">
            <v>61.9</v>
          </cell>
          <cell r="AC194">
            <v>50.6</v>
          </cell>
          <cell r="AK194">
            <v>112.5</v>
          </cell>
          <cell r="AN194">
            <v>103.9</v>
          </cell>
        </row>
        <row r="195">
          <cell r="F195">
            <v>75</v>
          </cell>
          <cell r="P195">
            <v>75</v>
          </cell>
          <cell r="X195">
            <v>0</v>
          </cell>
          <cell r="AC195">
            <v>0</v>
          </cell>
          <cell r="AJ195">
            <v>0</v>
          </cell>
          <cell r="AK195">
            <v>0</v>
          </cell>
          <cell r="AN195" t="e">
            <v>#DIV/0!</v>
          </cell>
          <cell r="AQ195">
            <v>75</v>
          </cell>
        </row>
        <row r="196">
          <cell r="S196">
            <v>653</v>
          </cell>
          <cell r="X196">
            <v>653</v>
          </cell>
          <cell r="AC196">
            <v>653</v>
          </cell>
          <cell r="AK196">
            <v>653</v>
          </cell>
          <cell r="AN196">
            <v>195.28</v>
          </cell>
        </row>
        <row r="197">
          <cell r="S197">
            <v>0</v>
          </cell>
          <cell r="X197">
            <v>29254</v>
          </cell>
          <cell r="AC197">
            <v>23966</v>
          </cell>
          <cell r="AK197">
            <v>53220</v>
          </cell>
          <cell r="AN197">
            <v>14810</v>
          </cell>
        </row>
        <row r="198">
          <cell r="X198">
            <v>44.8</v>
          </cell>
          <cell r="AC198">
            <v>36.700000000000003</v>
          </cell>
          <cell r="AK198">
            <v>53220</v>
          </cell>
        </row>
        <row r="199">
          <cell r="S199">
            <v>114.9</v>
          </cell>
          <cell r="X199">
            <v>153.5</v>
          </cell>
          <cell r="Y199">
            <v>66.599999999999994</v>
          </cell>
          <cell r="Z199">
            <v>86.9</v>
          </cell>
          <cell r="AC199">
            <v>123.4</v>
          </cell>
          <cell r="AD199">
            <v>47.1</v>
          </cell>
          <cell r="AE199">
            <v>76.300000000000011</v>
          </cell>
          <cell r="AK199">
            <v>391.79999999999995</v>
          </cell>
          <cell r="AL199">
            <v>113.69999999999999</v>
          </cell>
          <cell r="AM199">
            <v>278.10000000000002</v>
          </cell>
          <cell r="AN199">
            <v>356.4</v>
          </cell>
          <cell r="AO199">
            <v>74.900000000000006</v>
          </cell>
          <cell r="AP199">
            <v>281.5</v>
          </cell>
        </row>
        <row r="200">
          <cell r="F200">
            <v>75</v>
          </cell>
          <cell r="P200">
            <v>75</v>
          </cell>
          <cell r="S200">
            <v>19250</v>
          </cell>
          <cell r="X200">
            <v>44597</v>
          </cell>
          <cell r="Y200">
            <v>30041.25</v>
          </cell>
          <cell r="Z200">
            <v>14555.750000000002</v>
          </cell>
          <cell r="AA200">
            <v>14555.750000000004</v>
          </cell>
          <cell r="AC200">
            <v>36151</v>
          </cell>
          <cell r="AD200">
            <v>22308.272727272721</v>
          </cell>
          <cell r="AE200">
            <v>13842.727272727279</v>
          </cell>
          <cell r="AJ200">
            <v>0</v>
          </cell>
          <cell r="AK200">
            <v>99998</v>
          </cell>
          <cell r="AL200">
            <v>52349.522727272721</v>
          </cell>
          <cell r="AM200">
            <v>47648.477272727279</v>
          </cell>
          <cell r="AN200">
            <v>14810</v>
          </cell>
          <cell r="AO200">
            <v>3112.427048260382</v>
          </cell>
          <cell r="AP200">
            <v>11697.572951739618</v>
          </cell>
        </row>
        <row r="201">
          <cell r="S201">
            <v>167.54</v>
          </cell>
          <cell r="X201">
            <v>290.52999999999997</v>
          </cell>
          <cell r="Y201">
            <v>451.07</v>
          </cell>
          <cell r="Z201">
            <v>167.5</v>
          </cell>
          <cell r="AC201">
            <v>292.95999999999998</v>
          </cell>
          <cell r="AD201">
            <v>473.64</v>
          </cell>
          <cell r="AE201">
            <v>181.42</v>
          </cell>
          <cell r="AI201">
            <v>0</v>
          </cell>
          <cell r="AJ201">
            <v>0</v>
          </cell>
          <cell r="AK201">
            <v>255.23</v>
          </cell>
          <cell r="AL201">
            <v>460.42</v>
          </cell>
          <cell r="AM201">
            <v>171.34</v>
          </cell>
          <cell r="AN201">
            <v>41.55</v>
          </cell>
          <cell r="AO201">
            <v>41.55</v>
          </cell>
          <cell r="AP201">
            <v>41.55</v>
          </cell>
          <cell r="AQ201">
            <v>0</v>
          </cell>
        </row>
        <row r="202">
          <cell r="S202">
            <v>0</v>
          </cell>
          <cell r="X202">
            <v>29254</v>
          </cell>
          <cell r="AC202">
            <v>23966</v>
          </cell>
          <cell r="AK202">
            <v>53220</v>
          </cell>
          <cell r="AM202">
            <v>0</v>
          </cell>
          <cell r="AN202">
            <v>52</v>
          </cell>
          <cell r="AO202">
            <v>52</v>
          </cell>
        </row>
        <row r="203">
          <cell r="X203">
            <v>44597</v>
          </cell>
          <cell r="AC203">
            <v>36151</v>
          </cell>
          <cell r="AK203">
            <v>99998</v>
          </cell>
          <cell r="AL203">
            <v>52349.522727272721</v>
          </cell>
          <cell r="AM203">
            <v>47648.477272727279</v>
          </cell>
          <cell r="AN203">
            <v>14862</v>
          </cell>
          <cell r="AO203">
            <v>3164.427048260382</v>
          </cell>
          <cell r="AP203">
            <v>11697.572951739618</v>
          </cell>
        </row>
        <row r="204">
          <cell r="S204">
            <v>114.9</v>
          </cell>
          <cell r="X204">
            <v>153.5</v>
          </cell>
          <cell r="Y204">
            <v>66.599999999999994</v>
          </cell>
          <cell r="Z204">
            <v>86.9</v>
          </cell>
          <cell r="AC204">
            <v>123.4</v>
          </cell>
          <cell r="AD204">
            <v>47.1</v>
          </cell>
          <cell r="AE204">
            <v>76.300000000000011</v>
          </cell>
          <cell r="AK204">
            <v>391.79999999999995</v>
          </cell>
          <cell r="AL204">
            <v>113.69999999999999</v>
          </cell>
          <cell r="AM204">
            <v>278.10000000000002</v>
          </cell>
        </row>
        <row r="205">
          <cell r="S205">
            <v>19250</v>
          </cell>
          <cell r="X205">
            <v>44597</v>
          </cell>
          <cell r="Y205">
            <v>30041.25</v>
          </cell>
          <cell r="Z205">
            <v>14555.750000000002</v>
          </cell>
          <cell r="AA205">
            <v>14555.750000000004</v>
          </cell>
          <cell r="AC205">
            <v>36151</v>
          </cell>
          <cell r="AD205">
            <v>22308.272727272721</v>
          </cell>
          <cell r="AE205">
            <v>13842.727272727279</v>
          </cell>
          <cell r="AK205">
            <v>99998</v>
          </cell>
          <cell r="AL205">
            <v>52349.522727272721</v>
          </cell>
          <cell r="AM205">
            <v>47648.477272727279</v>
          </cell>
        </row>
        <row r="206">
          <cell r="S206">
            <v>167.54</v>
          </cell>
          <cell r="X206">
            <v>290.52999999999997</v>
          </cell>
          <cell r="Y206">
            <v>451.07</v>
          </cell>
          <cell r="Z206">
            <v>167.5</v>
          </cell>
          <cell r="AC206">
            <v>292.95999999999998</v>
          </cell>
          <cell r="AD206">
            <v>473.64</v>
          </cell>
          <cell r="AE206">
            <v>181.42</v>
          </cell>
          <cell r="AI206">
            <v>0</v>
          </cell>
          <cell r="AJ206">
            <v>0</v>
          </cell>
          <cell r="AK206">
            <v>255.23</v>
          </cell>
          <cell r="AL206">
            <v>460.42</v>
          </cell>
          <cell r="AM206">
            <v>171.34</v>
          </cell>
        </row>
        <row r="207">
          <cell r="AM207">
            <v>0</v>
          </cell>
        </row>
        <row r="208">
          <cell r="X208">
            <v>44597</v>
          </cell>
          <cell r="AC208">
            <v>36151</v>
          </cell>
          <cell r="AK208">
            <v>99998</v>
          </cell>
          <cell r="AL208">
            <v>52349.522727272721</v>
          </cell>
          <cell r="AM208">
            <v>47648.477272727279</v>
          </cell>
        </row>
        <row r="209">
          <cell r="G209" t="str">
            <v xml:space="preserve"> В.О.НОВОСАД</v>
          </cell>
        </row>
        <row r="210">
          <cell r="AK210">
            <v>99998</v>
          </cell>
        </row>
        <row r="212">
          <cell r="G212" t="str">
            <v>Б.В.ЯЩЕНКО</v>
          </cell>
        </row>
        <row r="213">
          <cell r="G213" t="str">
            <v>М.В.ТЕРПИЛО</v>
          </cell>
        </row>
        <row r="214">
          <cell r="G214" t="str">
            <v xml:space="preserve">В.І.МИРГОРОДСЬКИЙ                                  </v>
          </cell>
        </row>
        <row r="215">
          <cell r="G215" t="str">
            <v xml:space="preserve">М.І.ШЕВЧЕНКО                                 </v>
          </cell>
        </row>
        <row r="216">
          <cell r="G216" t="str">
            <v>В.Ю.МОНТЬЕВ</v>
          </cell>
        </row>
        <row r="217">
          <cell r="G217" t="str">
            <v xml:space="preserve">О.М.НИКОЛЕНКО      </v>
          </cell>
        </row>
        <row r="218">
          <cell r="G218" t="str">
            <v>М.В.ТЕРПИЛО</v>
          </cell>
        </row>
        <row r="219">
          <cell r="G219" t="str">
            <v xml:space="preserve">В.І.МИРГОРОДСЬКИЙ                                  </v>
          </cell>
        </row>
        <row r="220">
          <cell r="G220" t="str">
            <v xml:space="preserve">М.І.ШЕВЧЕНКО                                 </v>
          </cell>
        </row>
        <row r="221">
          <cell r="G221" t="str">
            <v>В.Ю.МОНТЬЕВ</v>
          </cell>
          <cell r="AO221">
            <v>1507.2</v>
          </cell>
        </row>
        <row r="222">
          <cell r="G222" t="str">
            <v xml:space="preserve">О.М.НИКОЛЕНКО      </v>
          </cell>
        </row>
        <row r="236">
          <cell r="AG236" t="str">
            <v xml:space="preserve">         Затверджую</v>
          </cell>
        </row>
        <row r="237">
          <cell r="AG237" t="str">
            <v xml:space="preserve"> Голова правління </v>
          </cell>
        </row>
        <row r="238">
          <cell r="AG238" t="str">
            <v xml:space="preserve">                        І.В.Плачков</v>
          </cell>
        </row>
        <row r="239">
          <cell r="AG239" t="str">
            <v xml:space="preserve">   "_____" ________2000 р.</v>
          </cell>
        </row>
        <row r="241">
          <cell r="AG241" t="str">
            <v xml:space="preserve">         Затверджую</v>
          </cell>
        </row>
        <row r="242">
          <cell r="AG242" t="str">
            <v xml:space="preserve"> Голова правління -</v>
          </cell>
        </row>
        <row r="243">
          <cell r="F243" t="str">
            <v>РОЗРАХУНОК ФІНАНСОВИХ ПОТОКІВ НА   лютий  2000 року</v>
          </cell>
          <cell r="AG243" t="str">
            <v xml:space="preserve"> генеральний директор</v>
          </cell>
        </row>
        <row r="244">
          <cell r="F244" t="str">
            <v>ПО ФІЛІАЛАХ АК КИЇВЕНЕРГО</v>
          </cell>
          <cell r="AG244" t="str">
            <v xml:space="preserve">                        І.В.Плачков</v>
          </cell>
        </row>
        <row r="245">
          <cell r="AG245" t="str">
            <v xml:space="preserve">   "_____" ________2000 р.</v>
          </cell>
        </row>
        <row r="249">
          <cell r="F249" t="str">
            <v>РОЗРАХУНОК ФІНАНСОВИХ ПОТОКІВ НА   лютий  2000 року</v>
          </cell>
          <cell r="AI249" t="str">
            <v>ТИС.ГРН.</v>
          </cell>
          <cell r="AK249" t="str">
            <v>тис.грн.</v>
          </cell>
        </row>
        <row r="250">
          <cell r="F250" t="str">
            <v>ВИКОН.ДИР.</v>
          </cell>
          <cell r="G250" t="str">
            <v>АПАРАТ ЕЛЕКТРО</v>
          </cell>
          <cell r="H250" t="str">
            <v>АПАРАТ ТЕПЛО</v>
          </cell>
          <cell r="P250" t="str">
            <v>КМ</v>
          </cell>
          <cell r="Q250" t="str">
            <v>ТМ</v>
          </cell>
          <cell r="S250" t="str">
            <v>КТМ</v>
          </cell>
          <cell r="T250" t="str">
            <v>ВИРОБН</v>
          </cell>
          <cell r="U250" t="str">
            <v>ПЕРЕД</v>
          </cell>
          <cell r="X250" t="str">
            <v>ТЕЦ-5 ВСЬОГО</v>
          </cell>
          <cell r="Y250" t="str">
            <v>Е/Е</v>
          </cell>
          <cell r="Z250" t="str">
            <v xml:space="preserve"> Т/Е</v>
          </cell>
          <cell r="AC250" t="str">
            <v>ТЕЦ-6 ВСЬОГО</v>
          </cell>
          <cell r="AD250" t="str">
            <v>Е/Е</v>
          </cell>
          <cell r="AE250" t="str">
            <v xml:space="preserve"> Т/Е</v>
          </cell>
          <cell r="AF250" t="str">
            <v>ТРМ ВСЬОГО</v>
          </cell>
          <cell r="AG250" t="str">
            <v>ТРМ  АК КЕ</v>
          </cell>
          <cell r="AH250" t="str">
            <v>ТРМ СТОР</v>
          </cell>
          <cell r="AI250" t="str">
            <v xml:space="preserve">ДОП.ВИР. </v>
          </cell>
          <cell r="AJ250" t="str">
            <v>ДОП.ВИР. СТ.ОРГ.</v>
          </cell>
          <cell r="AK250" t="str">
            <v>АК КЕ ВСЬОГО</v>
          </cell>
          <cell r="AL250" t="str">
            <v>АК КЕ ВСЬОГО</v>
          </cell>
          <cell r="AM250" t="str">
            <v xml:space="preserve"> Т/Е</v>
          </cell>
          <cell r="AN250" t="str">
            <v>СТАНЦІї ЕЛЕКТРО</v>
          </cell>
          <cell r="AO250" t="str">
            <v>СТАНЦІІ ТЕПЛОВІ</v>
          </cell>
          <cell r="AP250" t="str">
            <v>МЕРЕЖІ ЕЛЕКТРО</v>
          </cell>
          <cell r="AQ250" t="str">
            <v>МЕРЕЖІ ТЕПЛОВІ</v>
          </cell>
        </row>
        <row r="251">
          <cell r="F251">
            <v>2564.3333333333339</v>
          </cell>
          <cell r="P251">
            <v>2175</v>
          </cell>
          <cell r="S251">
            <v>7897</v>
          </cell>
          <cell r="X251">
            <v>2489.8484848484827</v>
          </cell>
          <cell r="AC251">
            <v>1464</v>
          </cell>
          <cell r="AF251">
            <v>4071.242424242424</v>
          </cell>
          <cell r="AG251">
            <v>3280.4969696969697</v>
          </cell>
          <cell r="AH251">
            <v>791.74545454545455</v>
          </cell>
          <cell r="AJ251">
            <v>7599</v>
          </cell>
          <cell r="AK251">
            <v>21493.757575757576</v>
          </cell>
        </row>
        <row r="253">
          <cell r="F253">
            <v>40160.608095238102</v>
          </cell>
          <cell r="G253">
            <v>2161.6</v>
          </cell>
          <cell r="H253">
            <v>2142.0666666666666</v>
          </cell>
          <cell r="P253">
            <v>2175</v>
          </cell>
          <cell r="Q253">
            <v>0</v>
          </cell>
          <cell r="R253">
            <v>0</v>
          </cell>
          <cell r="S253">
            <v>7897</v>
          </cell>
          <cell r="T253">
            <v>4513.5299999999988</v>
          </cell>
          <cell r="U253">
            <v>1480.47</v>
          </cell>
          <cell r="V253">
            <v>0</v>
          </cell>
          <cell r="W253">
            <v>0</v>
          </cell>
          <cell r="X253">
            <v>2489.8484848484827</v>
          </cell>
          <cell r="Y253">
            <v>898</v>
          </cell>
          <cell r="Z253">
            <v>1169.181818181818</v>
          </cell>
          <cell r="AA253">
            <v>0</v>
          </cell>
          <cell r="AB253">
            <v>0</v>
          </cell>
          <cell r="AC253">
            <v>1464</v>
          </cell>
          <cell r="AD253">
            <v>491</v>
          </cell>
          <cell r="AE253">
            <v>728</v>
          </cell>
          <cell r="AF253">
            <v>4071.242424242424</v>
          </cell>
          <cell r="AG253">
            <v>3280.4969696969697</v>
          </cell>
          <cell r="AH253">
            <v>791.74545454545455</v>
          </cell>
          <cell r="AI253">
            <v>2144.6999999999998</v>
          </cell>
          <cell r="AJ253">
            <v>0</v>
          </cell>
          <cell r="AK253">
            <v>139067.65354978354</v>
          </cell>
          <cell r="AM253">
            <v>111785.25</v>
          </cell>
        </row>
        <row r="254">
          <cell r="F254">
            <v>31766.748095238101</v>
          </cell>
          <cell r="G254">
            <v>1974.6</v>
          </cell>
          <cell r="H254">
            <v>1933.0666666666666</v>
          </cell>
          <cell r="P254">
            <v>306.29999999999995</v>
          </cell>
          <cell r="S254">
            <v>1960</v>
          </cell>
          <cell r="T254">
            <v>3735.369999999999</v>
          </cell>
          <cell r="U254">
            <v>-290.37000000000012</v>
          </cell>
          <cell r="X254">
            <v>1301.6666666666645</v>
          </cell>
          <cell r="Y254">
            <v>449</v>
          </cell>
          <cell r="Z254">
            <v>582.99999999999977</v>
          </cell>
          <cell r="AC254">
            <v>272</v>
          </cell>
          <cell r="AD254">
            <v>131</v>
          </cell>
          <cell r="AE254">
            <v>96</v>
          </cell>
          <cell r="AF254">
            <v>375.11333333333289</v>
          </cell>
          <cell r="AG254">
            <v>314.78060873834113</v>
          </cell>
          <cell r="AH254">
            <v>61.332724594992555</v>
          </cell>
          <cell r="AI254">
            <v>1192.6999999999998</v>
          </cell>
          <cell r="AJ254">
            <v>-2455</v>
          </cell>
          <cell r="AK254">
            <v>121038.78264069262</v>
          </cell>
          <cell r="AM254">
            <v>36916.748095238101</v>
          </cell>
        </row>
        <row r="255">
          <cell r="F255">
            <v>118194.27476190477</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K255">
            <v>118194.27476190477</v>
          </cell>
        </row>
        <row r="256">
          <cell r="F256">
            <v>99998</v>
          </cell>
          <cell r="G256" t="str">
            <v>АПАРАТ ЕЛЕКТРО</v>
          </cell>
          <cell r="H256" t="str">
            <v>АПАРАТ ТЕПЛО</v>
          </cell>
          <cell r="P256" t="str">
            <v>КМ</v>
          </cell>
          <cell r="Q256" t="str">
            <v>ТМ</v>
          </cell>
          <cell r="S256" t="str">
            <v>КТМ</v>
          </cell>
          <cell r="T256" t="str">
            <v>ВИРОБН</v>
          </cell>
          <cell r="U256" t="str">
            <v>ПЕРЕД</v>
          </cell>
          <cell r="X256" t="str">
            <v>ТЕЦ-5 ВСЬОГО</v>
          </cell>
          <cell r="Y256" t="str">
            <v>Е/Е</v>
          </cell>
          <cell r="Z256" t="str">
            <v xml:space="preserve"> Т/Е</v>
          </cell>
          <cell r="AC256" t="str">
            <v>ТЕЦ-6 ВСЬОГО</v>
          </cell>
          <cell r="AD256" t="str">
            <v>Е/Е</v>
          </cell>
          <cell r="AE256" t="str">
            <v xml:space="preserve"> Т/Е</v>
          </cell>
          <cell r="AF256" t="str">
            <v>ТРМ ВСЬОГО</v>
          </cell>
          <cell r="AG256" t="str">
            <v>ТРМ  АК КЕ</v>
          </cell>
          <cell r="AH256" t="str">
            <v>ТРМ СТОР</v>
          </cell>
          <cell r="AI256" t="str">
            <v xml:space="preserve">ДОП.ВИР. </v>
          </cell>
          <cell r="AJ256" t="str">
            <v>ДОП.ВИР. СТ.ОРГ.</v>
          </cell>
          <cell r="AK256">
            <v>99998</v>
          </cell>
          <cell r="AL256" t="str">
            <v>АК КЕ ВСЬОГО</v>
          </cell>
          <cell r="AM256" t="str">
            <v xml:space="preserve"> Т/Е</v>
          </cell>
        </row>
        <row r="257">
          <cell r="F257">
            <v>0</v>
          </cell>
          <cell r="P257">
            <v>2181.2434545454548</v>
          </cell>
          <cell r="S257">
            <v>6535.468727272726</v>
          </cell>
          <cell r="X257">
            <v>1789.0187272727333</v>
          </cell>
          <cell r="AC257">
            <v>1029.1789090909119</v>
          </cell>
          <cell r="AF257">
            <v>4502.9056363636373</v>
          </cell>
          <cell r="AG257">
            <v>3771.8816363636361</v>
          </cell>
          <cell r="AH257">
            <v>732.02400000000011</v>
          </cell>
          <cell r="AJ257">
            <v>7599</v>
          </cell>
          <cell r="AK257">
            <v>0</v>
          </cell>
        </row>
        <row r="258">
          <cell r="F258">
            <v>11812.941428571428</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K258">
            <v>11812.941428571428</v>
          </cell>
        </row>
        <row r="259">
          <cell r="F259">
            <v>825</v>
          </cell>
          <cell r="G259">
            <v>2030</v>
          </cell>
          <cell r="H259">
            <v>3069.1188787878782</v>
          </cell>
          <cell r="P259">
            <v>2181.2434545454548</v>
          </cell>
          <cell r="Q259">
            <v>0</v>
          </cell>
          <cell r="R259">
            <v>0</v>
          </cell>
          <cell r="S259">
            <v>6535.468727272726</v>
          </cell>
          <cell r="T259">
            <v>4851.0902763636368</v>
          </cell>
          <cell r="U259">
            <v>1648.5504509090908</v>
          </cell>
          <cell r="V259">
            <v>0</v>
          </cell>
          <cell r="W259">
            <v>0</v>
          </cell>
          <cell r="X259">
            <v>1789.0187272727333</v>
          </cell>
          <cell r="Y259">
            <v>828</v>
          </cell>
          <cell r="Z259">
            <v>1082.5127272727277</v>
          </cell>
          <cell r="AA259">
            <v>0</v>
          </cell>
          <cell r="AB259">
            <v>0</v>
          </cell>
          <cell r="AC259">
            <v>1029.1789090909119</v>
          </cell>
          <cell r="AD259">
            <v>388</v>
          </cell>
          <cell r="AE259">
            <v>631.27090909091021</v>
          </cell>
          <cell r="AF259">
            <v>4502.9056363636373</v>
          </cell>
          <cell r="AG259">
            <v>3771.8816363636361</v>
          </cell>
          <cell r="AH259">
            <v>732.02400000000011</v>
          </cell>
          <cell r="AI259">
            <v>2781.0676363636367</v>
          </cell>
          <cell r="AJ259">
            <v>0</v>
          </cell>
          <cell r="AK259">
            <v>825</v>
          </cell>
          <cell r="AM259">
            <v>111785.25</v>
          </cell>
        </row>
        <row r="260">
          <cell r="F260">
            <v>0</v>
          </cell>
          <cell r="G260">
            <v>1797</v>
          </cell>
          <cell r="H260">
            <v>2794.6643333333327</v>
          </cell>
          <cell r="P260">
            <v>898.27680000000021</v>
          </cell>
          <cell r="S260">
            <v>625.06999999999891</v>
          </cell>
          <cell r="T260">
            <v>4037.5266400000005</v>
          </cell>
          <cell r="U260">
            <v>801.8413599999999</v>
          </cell>
          <cell r="X260">
            <v>813.34800000000598</v>
          </cell>
          <cell r="Y260">
            <v>583</v>
          </cell>
          <cell r="Z260">
            <v>761.51272727272772</v>
          </cell>
          <cell r="AC260">
            <v>248.92400000000279</v>
          </cell>
          <cell r="AD260">
            <v>212</v>
          </cell>
          <cell r="AE260">
            <v>347.18000000000109</v>
          </cell>
          <cell r="AF260">
            <v>862.80768000000114</v>
          </cell>
          <cell r="AG260">
            <v>764.90295828850901</v>
          </cell>
          <cell r="AH260">
            <v>98.904721711490538</v>
          </cell>
          <cell r="AI260">
            <v>743.90400000000022</v>
          </cell>
          <cell r="AJ260">
            <v>-2455</v>
          </cell>
          <cell r="AK260">
            <v>0</v>
          </cell>
          <cell r="AM260">
            <v>23577.368640000012</v>
          </cell>
        </row>
        <row r="261">
          <cell r="F261">
            <v>4663.9414285714283</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K261">
            <v>4663.9414285714283</v>
          </cell>
        </row>
        <row r="262">
          <cell r="F262">
            <v>3500</v>
          </cell>
          <cell r="AK262">
            <v>3500</v>
          </cell>
        </row>
        <row r="263">
          <cell r="F263">
            <v>0</v>
          </cell>
          <cell r="AK263">
            <v>0</v>
          </cell>
        </row>
        <row r="264">
          <cell r="F264">
            <v>2824</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K264">
            <v>2824</v>
          </cell>
        </row>
        <row r="265">
          <cell r="F265">
            <v>6321.6666666666661</v>
          </cell>
          <cell r="AK265">
            <v>6321.6666666666661</v>
          </cell>
        </row>
        <row r="266">
          <cell r="F266">
            <v>61.666666666666664</v>
          </cell>
          <cell r="P266">
            <v>0</v>
          </cell>
          <cell r="S266">
            <v>0</v>
          </cell>
          <cell r="X266">
            <v>0</v>
          </cell>
          <cell r="AC266">
            <v>0</v>
          </cell>
          <cell r="AF266">
            <v>0</v>
          </cell>
          <cell r="AG266">
            <v>0</v>
          </cell>
          <cell r="AH266">
            <v>0</v>
          </cell>
          <cell r="AI266">
            <v>0</v>
          </cell>
          <cell r="AK266">
            <v>61.666666666666664</v>
          </cell>
        </row>
        <row r="267">
          <cell r="F267">
            <v>120758.6080952381</v>
          </cell>
          <cell r="P267">
            <v>2175</v>
          </cell>
          <cell r="Q267">
            <v>0</v>
          </cell>
          <cell r="R267">
            <v>0</v>
          </cell>
          <cell r="S267">
            <v>7897</v>
          </cell>
          <cell r="T267">
            <v>0</v>
          </cell>
          <cell r="U267">
            <v>0</v>
          </cell>
          <cell r="V267">
            <v>0</v>
          </cell>
          <cell r="W267">
            <v>0</v>
          </cell>
          <cell r="X267">
            <v>2489.8484848484827</v>
          </cell>
          <cell r="Y267">
            <v>0</v>
          </cell>
          <cell r="Z267">
            <v>0</v>
          </cell>
          <cell r="AA267">
            <v>0</v>
          </cell>
          <cell r="AB267">
            <v>0</v>
          </cell>
          <cell r="AC267">
            <v>1464</v>
          </cell>
          <cell r="AD267">
            <v>0</v>
          </cell>
          <cell r="AE267">
            <v>0</v>
          </cell>
          <cell r="AF267">
            <v>4071.242424242424</v>
          </cell>
          <cell r="AG267">
            <v>3280.4969696969697</v>
          </cell>
          <cell r="AH267">
            <v>791.74545454545455</v>
          </cell>
          <cell r="AI267">
            <v>0</v>
          </cell>
          <cell r="AK267">
            <v>139688.03233766233</v>
          </cell>
        </row>
        <row r="268">
          <cell r="F268">
            <v>1247.1933333333332</v>
          </cell>
          <cell r="P268">
            <v>1651.7</v>
          </cell>
          <cell r="Q268">
            <v>0</v>
          </cell>
          <cell r="R268">
            <v>0</v>
          </cell>
          <cell r="S268">
            <v>6083</v>
          </cell>
          <cell r="T268">
            <v>571.83999999999992</v>
          </cell>
          <cell r="U268">
            <v>572.16000000000008</v>
          </cell>
          <cell r="V268">
            <v>0</v>
          </cell>
          <cell r="W268">
            <v>0</v>
          </cell>
          <cell r="X268">
            <v>1798</v>
          </cell>
          <cell r="Y268">
            <v>485</v>
          </cell>
          <cell r="Z268">
            <v>632.18181818181824</v>
          </cell>
          <cell r="AA268">
            <v>0</v>
          </cell>
          <cell r="AB268">
            <v>0</v>
          </cell>
          <cell r="AC268">
            <v>1052</v>
          </cell>
          <cell r="AD268">
            <v>116</v>
          </cell>
          <cell r="AE268">
            <v>186</v>
          </cell>
          <cell r="AF268">
            <v>3367.2200000000003</v>
          </cell>
          <cell r="AG268">
            <v>2636.8072700495377</v>
          </cell>
          <cell r="AH268">
            <v>730.41272995046188</v>
          </cell>
          <cell r="AI268">
            <v>952</v>
          </cell>
          <cell r="AK268">
            <v>15914.113333333335</v>
          </cell>
        </row>
        <row r="269">
          <cell r="F269">
            <v>592</v>
          </cell>
          <cell r="G269">
            <v>187</v>
          </cell>
          <cell r="H269">
            <v>209</v>
          </cell>
          <cell r="P269">
            <v>964</v>
          </cell>
          <cell r="S269">
            <v>2067</v>
          </cell>
          <cell r="T269">
            <v>549.83999999999992</v>
          </cell>
          <cell r="U269">
            <v>572.16000000000008</v>
          </cell>
          <cell r="X269">
            <v>836</v>
          </cell>
          <cell r="Y269">
            <v>142</v>
          </cell>
          <cell r="Z269">
            <v>185.18181818181819</v>
          </cell>
          <cell r="AC269">
            <v>658</v>
          </cell>
          <cell r="AD269">
            <v>111</v>
          </cell>
          <cell r="AE269">
            <v>178</v>
          </cell>
          <cell r="AF269">
            <v>1973</v>
          </cell>
          <cell r="AG269">
            <v>1761.2545454545452</v>
          </cell>
          <cell r="AH269">
            <v>211.74545454545455</v>
          </cell>
          <cell r="AI269">
            <v>952</v>
          </cell>
          <cell r="AK269">
            <v>7482</v>
          </cell>
        </row>
        <row r="270">
          <cell r="F270">
            <v>0</v>
          </cell>
          <cell r="P270">
            <v>0</v>
          </cell>
          <cell r="Q270">
            <v>0</v>
          </cell>
          <cell r="R270">
            <v>0</v>
          </cell>
          <cell r="S270">
            <v>22</v>
          </cell>
          <cell r="T270">
            <v>22</v>
          </cell>
          <cell r="U270">
            <v>0</v>
          </cell>
          <cell r="V270">
            <v>0</v>
          </cell>
          <cell r="W270">
            <v>0</v>
          </cell>
          <cell r="X270">
            <v>790</v>
          </cell>
          <cell r="Y270">
            <v>343</v>
          </cell>
          <cell r="Z270">
            <v>447</v>
          </cell>
          <cell r="AA270">
            <v>0</v>
          </cell>
          <cell r="AB270">
            <v>0</v>
          </cell>
          <cell r="AC270">
            <v>13</v>
          </cell>
          <cell r="AD270">
            <v>5</v>
          </cell>
          <cell r="AE270">
            <v>8</v>
          </cell>
          <cell r="AF270">
            <v>0</v>
          </cell>
          <cell r="AG270">
            <v>0</v>
          </cell>
          <cell r="AH270">
            <v>0</v>
          </cell>
          <cell r="AI270">
            <v>0</v>
          </cell>
          <cell r="AK270">
            <v>825</v>
          </cell>
        </row>
        <row r="271">
          <cell r="F271">
            <v>648.19333333333327</v>
          </cell>
          <cell r="P271">
            <v>630.70000000000005</v>
          </cell>
          <cell r="Q271">
            <v>0</v>
          </cell>
          <cell r="R271">
            <v>0</v>
          </cell>
          <cell r="S271">
            <v>590</v>
          </cell>
          <cell r="T271">
            <v>0</v>
          </cell>
          <cell r="U271">
            <v>0</v>
          </cell>
          <cell r="V271">
            <v>0</v>
          </cell>
          <cell r="W271">
            <v>0</v>
          </cell>
          <cell r="X271">
            <v>126</v>
          </cell>
          <cell r="Y271">
            <v>0</v>
          </cell>
          <cell r="Z271">
            <v>0</v>
          </cell>
          <cell r="AA271">
            <v>0</v>
          </cell>
          <cell r="AB271">
            <v>0</v>
          </cell>
          <cell r="AC271">
            <v>186</v>
          </cell>
          <cell r="AD271">
            <v>0</v>
          </cell>
          <cell r="AE271">
            <v>0</v>
          </cell>
          <cell r="AF271">
            <v>504.22</v>
          </cell>
          <cell r="AG271">
            <v>433.55272459499264</v>
          </cell>
          <cell r="AH271">
            <v>70.667275405007373</v>
          </cell>
          <cell r="AI271">
            <v>0</v>
          </cell>
          <cell r="AK271">
            <v>2739.1133333333337</v>
          </cell>
        </row>
        <row r="272">
          <cell r="F272">
            <v>67.833333333333329</v>
          </cell>
          <cell r="P272">
            <v>336.7</v>
          </cell>
          <cell r="S272">
            <v>367</v>
          </cell>
          <cell r="X272">
            <v>32</v>
          </cell>
          <cell r="AC272">
            <v>32</v>
          </cell>
          <cell r="AF272">
            <v>206.95333333333335</v>
          </cell>
          <cell r="AG272">
            <v>141.72798232695141</v>
          </cell>
          <cell r="AH272">
            <v>65.225351006381942</v>
          </cell>
          <cell r="AI272">
            <v>0</v>
          </cell>
          <cell r="AK272">
            <v>1096.4866666666667</v>
          </cell>
        </row>
        <row r="273">
          <cell r="F273">
            <v>417.35999999999996</v>
          </cell>
          <cell r="P273">
            <v>4</v>
          </cell>
          <cell r="Q273">
            <v>0</v>
          </cell>
          <cell r="R273">
            <v>0</v>
          </cell>
          <cell r="S273">
            <v>80</v>
          </cell>
          <cell r="T273">
            <v>0</v>
          </cell>
          <cell r="U273">
            <v>0</v>
          </cell>
          <cell r="V273">
            <v>0</v>
          </cell>
          <cell r="W273">
            <v>0</v>
          </cell>
          <cell r="X273">
            <v>35</v>
          </cell>
          <cell r="Y273">
            <v>0</v>
          </cell>
          <cell r="Z273">
            <v>0</v>
          </cell>
          <cell r="AA273">
            <v>0</v>
          </cell>
          <cell r="AB273">
            <v>0</v>
          </cell>
          <cell r="AC273">
            <v>29</v>
          </cell>
          <cell r="AD273">
            <v>0</v>
          </cell>
          <cell r="AE273">
            <v>0</v>
          </cell>
          <cell r="AF273">
            <v>17.266666666666666</v>
          </cell>
          <cell r="AG273">
            <v>11.824742268041236</v>
          </cell>
          <cell r="AH273">
            <v>5.4419243986254298</v>
          </cell>
          <cell r="AI273">
            <v>0</v>
          </cell>
          <cell r="AK273">
            <v>582.62666666666655</v>
          </cell>
        </row>
        <row r="274">
          <cell r="F274">
            <v>100</v>
          </cell>
          <cell r="P274">
            <v>250</v>
          </cell>
          <cell r="Q274">
            <v>0</v>
          </cell>
          <cell r="R274">
            <v>0</v>
          </cell>
          <cell r="S274">
            <v>50</v>
          </cell>
          <cell r="T274">
            <v>835.56363636363631</v>
          </cell>
          <cell r="U274">
            <v>846.70909090909095</v>
          </cell>
          <cell r="V274">
            <v>0</v>
          </cell>
          <cell r="W274">
            <v>0</v>
          </cell>
          <cell r="X274">
            <v>10</v>
          </cell>
          <cell r="Y274">
            <v>588</v>
          </cell>
          <cell r="Z274">
            <v>768</v>
          </cell>
          <cell r="AA274">
            <v>0</v>
          </cell>
          <cell r="AB274">
            <v>0</v>
          </cell>
          <cell r="AC274">
            <v>60</v>
          </cell>
          <cell r="AD274">
            <v>181</v>
          </cell>
          <cell r="AE274">
            <v>292.09090909090912</v>
          </cell>
          <cell r="AF274">
            <v>250</v>
          </cell>
          <cell r="AG274">
            <v>250</v>
          </cell>
          <cell r="AH274">
            <v>633.11927828850958</v>
          </cell>
          <cell r="AI274">
            <v>1904.3636363636365</v>
          </cell>
          <cell r="AK274">
            <v>720</v>
          </cell>
        </row>
        <row r="275">
          <cell r="F275">
            <v>63</v>
          </cell>
          <cell r="G275">
            <v>233</v>
          </cell>
          <cell r="H275">
            <v>274.45454545454538</v>
          </cell>
          <cell r="P275">
            <v>40</v>
          </cell>
          <cell r="S275">
            <v>93</v>
          </cell>
          <cell r="T275">
            <v>813.56363636363631</v>
          </cell>
          <cell r="U275">
            <v>846.70909090909095</v>
          </cell>
          <cell r="X275">
            <v>49</v>
          </cell>
          <cell r="Y275">
            <v>245</v>
          </cell>
          <cell r="Z275">
            <v>321</v>
          </cell>
          <cell r="AC275">
            <v>65</v>
          </cell>
          <cell r="AD275">
            <v>176</v>
          </cell>
          <cell r="AE275">
            <v>284.09090909090912</v>
          </cell>
          <cell r="AF275">
            <v>30</v>
          </cell>
          <cell r="AG275">
            <v>30</v>
          </cell>
          <cell r="AH275">
            <v>0</v>
          </cell>
          <cell r="AI275">
            <v>1904.3636363636365</v>
          </cell>
          <cell r="AK275">
            <v>340</v>
          </cell>
        </row>
        <row r="276">
          <cell r="F276">
            <v>7</v>
          </cell>
          <cell r="P276">
            <v>57</v>
          </cell>
          <cell r="Q276">
            <v>0</v>
          </cell>
          <cell r="R276">
            <v>0</v>
          </cell>
          <cell r="S276">
            <v>3154</v>
          </cell>
          <cell r="T276">
            <v>0</v>
          </cell>
          <cell r="U276">
            <v>0</v>
          </cell>
          <cell r="V276">
            <v>0</v>
          </cell>
          <cell r="W276">
            <v>0</v>
          </cell>
          <cell r="X276">
            <v>46</v>
          </cell>
          <cell r="Y276">
            <v>0</v>
          </cell>
          <cell r="Z276">
            <v>0</v>
          </cell>
          <cell r="AA276">
            <v>0</v>
          </cell>
          <cell r="AB276">
            <v>0</v>
          </cell>
          <cell r="AC276">
            <v>195</v>
          </cell>
          <cell r="AD276">
            <v>0</v>
          </cell>
          <cell r="AE276">
            <v>0</v>
          </cell>
          <cell r="AF276">
            <v>890</v>
          </cell>
          <cell r="AG276">
            <v>442</v>
          </cell>
          <cell r="AH276">
            <v>448</v>
          </cell>
          <cell r="AI276">
            <v>0</v>
          </cell>
          <cell r="AK276">
            <v>4618</v>
          </cell>
        </row>
        <row r="277">
          <cell r="F277">
            <v>0</v>
          </cell>
          <cell r="P277">
            <v>1</v>
          </cell>
          <cell r="Q277">
            <v>0</v>
          </cell>
          <cell r="R277">
            <v>0</v>
          </cell>
          <cell r="S277">
            <v>0</v>
          </cell>
          <cell r="T277">
            <v>0</v>
          </cell>
          <cell r="U277">
            <v>0</v>
          </cell>
          <cell r="V277">
            <v>0</v>
          </cell>
          <cell r="W277">
            <v>0</v>
          </cell>
          <cell r="X277">
            <v>46</v>
          </cell>
          <cell r="Y277">
            <v>0</v>
          </cell>
          <cell r="Z277">
            <v>0</v>
          </cell>
          <cell r="AA277">
            <v>0</v>
          </cell>
          <cell r="AB277">
            <v>0</v>
          </cell>
          <cell r="AC277">
            <v>195</v>
          </cell>
          <cell r="AD277">
            <v>0</v>
          </cell>
          <cell r="AE277">
            <v>0</v>
          </cell>
          <cell r="AF277">
            <v>0</v>
          </cell>
          <cell r="AG277">
            <v>0</v>
          </cell>
          <cell r="AH277">
            <v>0</v>
          </cell>
          <cell r="AI277">
            <v>0</v>
          </cell>
          <cell r="AK277">
            <v>242</v>
          </cell>
        </row>
        <row r="278">
          <cell r="F278">
            <v>7</v>
          </cell>
          <cell r="P278">
            <v>56</v>
          </cell>
          <cell r="S278">
            <v>3154</v>
          </cell>
          <cell r="X278">
            <v>0</v>
          </cell>
          <cell r="AC278">
            <v>0</v>
          </cell>
          <cell r="AF278">
            <v>890</v>
          </cell>
          <cell r="AG278">
            <v>442</v>
          </cell>
          <cell r="AH278">
            <v>448</v>
          </cell>
          <cell r="AI278">
            <v>0</v>
          </cell>
          <cell r="AK278">
            <v>4107</v>
          </cell>
        </row>
        <row r="279">
          <cell r="F279">
            <v>140.31616</v>
          </cell>
          <cell r="P279">
            <v>4</v>
          </cell>
          <cell r="S279">
            <v>80</v>
          </cell>
          <cell r="X279">
            <v>15.96</v>
          </cell>
          <cell r="AC279">
            <v>13.224</v>
          </cell>
          <cell r="AF279">
            <v>7.8735999999999997</v>
          </cell>
          <cell r="AG279">
            <v>5.7305415688240409</v>
          </cell>
          <cell r="AH279">
            <v>2.1430584311759588</v>
          </cell>
          <cell r="AI279">
            <v>0</v>
          </cell>
          <cell r="AK279">
            <v>269</v>
          </cell>
        </row>
        <row r="280">
          <cell r="F280">
            <v>25.7</v>
          </cell>
          <cell r="P280">
            <v>64.25</v>
          </cell>
          <cell r="S280">
            <v>250</v>
          </cell>
          <cell r="X280">
            <v>2.5700000000000003</v>
          </cell>
          <cell r="AC280">
            <v>15.42</v>
          </cell>
          <cell r="AF280">
            <v>64.25</v>
          </cell>
          <cell r="AG280">
            <v>64.25</v>
          </cell>
          <cell r="AH280">
            <v>0</v>
          </cell>
          <cell r="AI280">
            <v>0</v>
          </cell>
          <cell r="AK280">
            <v>250</v>
          </cell>
        </row>
        <row r="281">
          <cell r="F281">
            <v>119511.41476190477</v>
          </cell>
          <cell r="P281">
            <v>523.29999999999995</v>
          </cell>
          <cell r="Q281">
            <v>0</v>
          </cell>
          <cell r="R281">
            <v>0</v>
          </cell>
          <cell r="S281">
            <v>1814</v>
          </cell>
          <cell r="T281">
            <v>-571.83999999999992</v>
          </cell>
          <cell r="U281">
            <v>-572.16000000000008</v>
          </cell>
          <cell r="V281">
            <v>0</v>
          </cell>
          <cell r="W281">
            <v>0</v>
          </cell>
          <cell r="X281">
            <v>691.84848484848271</v>
          </cell>
          <cell r="Y281">
            <v>-485</v>
          </cell>
          <cell r="Z281">
            <v>-632.18181818181824</v>
          </cell>
          <cell r="AA281">
            <v>0</v>
          </cell>
          <cell r="AB281">
            <v>0</v>
          </cell>
          <cell r="AC281">
            <v>412</v>
          </cell>
          <cell r="AD281">
            <v>-116</v>
          </cell>
          <cell r="AE281">
            <v>-186</v>
          </cell>
          <cell r="AF281">
            <v>704.02242424242377</v>
          </cell>
          <cell r="AG281">
            <v>643.68969964743201</v>
          </cell>
          <cell r="AH281">
            <v>61.332724594992669</v>
          </cell>
          <cell r="AI281">
            <v>-952</v>
          </cell>
          <cell r="AK281">
            <v>123773.91900432901</v>
          </cell>
        </row>
        <row r="282">
          <cell r="F282">
            <v>7</v>
          </cell>
          <cell r="P282">
            <v>26.536000000000001</v>
          </cell>
          <cell r="Q282">
            <v>0</v>
          </cell>
          <cell r="R282">
            <v>0</v>
          </cell>
          <cell r="S282">
            <v>3238.2240000000002</v>
          </cell>
          <cell r="T282">
            <v>0</v>
          </cell>
          <cell r="U282">
            <v>0</v>
          </cell>
          <cell r="V282">
            <v>0</v>
          </cell>
          <cell r="W282">
            <v>0</v>
          </cell>
          <cell r="X282">
            <v>20.975999999999999</v>
          </cell>
          <cell r="Y282">
            <v>0</v>
          </cell>
          <cell r="Z282">
            <v>0</v>
          </cell>
          <cell r="AA282">
            <v>0</v>
          </cell>
          <cell r="AB282">
            <v>0</v>
          </cell>
          <cell r="AC282">
            <v>-0.47200000000000841</v>
          </cell>
          <cell r="AD282">
            <v>0</v>
          </cell>
          <cell r="AE282">
            <v>0</v>
          </cell>
          <cell r="AF282">
            <v>625.84</v>
          </cell>
          <cell r="AG282">
            <v>301.55200000000002</v>
          </cell>
          <cell r="AH282">
            <v>324.28800000000001</v>
          </cell>
          <cell r="AI282">
            <v>0</v>
          </cell>
          <cell r="AK282">
            <v>0</v>
          </cell>
        </row>
        <row r="283">
          <cell r="F283">
            <v>1482.14</v>
          </cell>
          <cell r="P283">
            <v>523.29999999999995</v>
          </cell>
          <cell r="Q283">
            <v>0</v>
          </cell>
          <cell r="R283">
            <v>0</v>
          </cell>
          <cell r="S283">
            <v>1814</v>
          </cell>
          <cell r="T283">
            <v>0</v>
          </cell>
          <cell r="U283">
            <v>0</v>
          </cell>
          <cell r="V283">
            <v>0</v>
          </cell>
          <cell r="W283">
            <v>0</v>
          </cell>
          <cell r="X283">
            <v>691.84848484848487</v>
          </cell>
          <cell r="Y283">
            <v>0</v>
          </cell>
          <cell r="Z283">
            <v>0</v>
          </cell>
          <cell r="AA283">
            <v>0</v>
          </cell>
          <cell r="AB283">
            <v>0</v>
          </cell>
          <cell r="AC283">
            <v>412</v>
          </cell>
          <cell r="AD283">
            <v>0</v>
          </cell>
          <cell r="AE283">
            <v>0</v>
          </cell>
          <cell r="AF283">
            <v>705.02242424242422</v>
          </cell>
          <cell r="AG283">
            <v>643.68969964743155</v>
          </cell>
          <cell r="AH283">
            <v>61.332724594992641</v>
          </cell>
          <cell r="AI283">
            <v>1197.7</v>
          </cell>
          <cell r="AK283">
            <v>5745.6442424242432</v>
          </cell>
        </row>
        <row r="284">
          <cell r="F284">
            <v>357</v>
          </cell>
          <cell r="P284">
            <v>100</v>
          </cell>
          <cell r="S284">
            <v>990</v>
          </cell>
          <cell r="X284">
            <v>100</v>
          </cell>
          <cell r="AC284">
            <v>20</v>
          </cell>
          <cell r="AF284">
            <v>0</v>
          </cell>
          <cell r="AG284">
            <v>0</v>
          </cell>
          <cell r="AH284">
            <v>0</v>
          </cell>
          <cell r="AI284">
            <v>269</v>
          </cell>
          <cell r="AK284">
            <v>1580</v>
          </cell>
        </row>
        <row r="285">
          <cell r="F285">
            <v>63</v>
          </cell>
          <cell r="P285">
            <v>257</v>
          </cell>
          <cell r="Q285">
            <v>0</v>
          </cell>
          <cell r="R285">
            <v>0</v>
          </cell>
          <cell r="S285">
            <v>219</v>
          </cell>
          <cell r="T285">
            <v>0</v>
          </cell>
          <cell r="U285">
            <v>0</v>
          </cell>
          <cell r="V285">
            <v>0</v>
          </cell>
          <cell r="W285">
            <v>0</v>
          </cell>
          <cell r="X285">
            <v>229.18181818181819</v>
          </cell>
          <cell r="Y285">
            <v>0</v>
          </cell>
          <cell r="Z285">
            <v>0</v>
          </cell>
          <cell r="AA285">
            <v>0</v>
          </cell>
          <cell r="AB285">
            <v>0</v>
          </cell>
          <cell r="AC285">
            <v>218</v>
          </cell>
          <cell r="AD285">
            <v>0</v>
          </cell>
          <cell r="AE285">
            <v>0</v>
          </cell>
          <cell r="AF285">
            <v>358.90909090909088</v>
          </cell>
          <cell r="AG285">
            <v>358.90909090909088</v>
          </cell>
          <cell r="AH285">
            <v>0</v>
          </cell>
          <cell r="AI285">
            <v>0</v>
          </cell>
          <cell r="AK285">
            <v>1345.090909090909</v>
          </cell>
        </row>
        <row r="286">
          <cell r="F286">
            <v>375</v>
          </cell>
          <cell r="P286">
            <v>14</v>
          </cell>
          <cell r="S286">
            <v>37</v>
          </cell>
          <cell r="X286">
            <v>17.666666666666668</v>
          </cell>
          <cell r="AC286">
            <v>19</v>
          </cell>
          <cell r="AF286">
            <v>30.333333333333332</v>
          </cell>
          <cell r="AG286">
            <v>30.333333333333332</v>
          </cell>
          <cell r="AH286">
            <v>0</v>
          </cell>
          <cell r="AI286">
            <v>843</v>
          </cell>
          <cell r="AK286">
            <v>500</v>
          </cell>
        </row>
        <row r="287">
          <cell r="F287">
            <v>286.33333333333326</v>
          </cell>
          <cell r="P287">
            <v>7</v>
          </cell>
          <cell r="Q287">
            <v>0</v>
          </cell>
          <cell r="R287">
            <v>0</v>
          </cell>
          <cell r="S287">
            <v>30</v>
          </cell>
          <cell r="T287">
            <v>-835.56363636363631</v>
          </cell>
          <cell r="U287">
            <v>-846.70909090909095</v>
          </cell>
          <cell r="V287">
            <v>0</v>
          </cell>
          <cell r="W287">
            <v>0</v>
          </cell>
          <cell r="X287">
            <v>18</v>
          </cell>
          <cell r="Y287">
            <v>-588</v>
          </cell>
          <cell r="Z287">
            <v>-768</v>
          </cell>
          <cell r="AA287">
            <v>0</v>
          </cell>
          <cell r="AB287">
            <v>0</v>
          </cell>
          <cell r="AC287">
            <v>5</v>
          </cell>
          <cell r="AD287">
            <v>-181</v>
          </cell>
          <cell r="AE287">
            <v>-292.09090909090912</v>
          </cell>
          <cell r="AF287">
            <v>33.666666666666664</v>
          </cell>
          <cell r="AG287">
            <v>33.666666666666664</v>
          </cell>
          <cell r="AH287">
            <v>0</v>
          </cell>
          <cell r="AI287">
            <v>79</v>
          </cell>
          <cell r="AK287">
            <v>382.33333333333326</v>
          </cell>
        </row>
        <row r="288">
          <cell r="F288">
            <v>386.1400000000001</v>
          </cell>
          <cell r="P288">
            <v>85.300000000000011</v>
          </cell>
          <cell r="Q288">
            <v>0</v>
          </cell>
          <cell r="R288">
            <v>0</v>
          </cell>
          <cell r="S288">
            <v>530</v>
          </cell>
          <cell r="T288">
            <v>0</v>
          </cell>
          <cell r="U288">
            <v>0</v>
          </cell>
          <cell r="V288">
            <v>0</v>
          </cell>
          <cell r="W288">
            <v>0</v>
          </cell>
          <cell r="X288">
            <v>177</v>
          </cell>
          <cell r="Y288">
            <v>0</v>
          </cell>
          <cell r="Z288">
            <v>0</v>
          </cell>
          <cell r="AA288">
            <v>0</v>
          </cell>
          <cell r="AB288">
            <v>0</v>
          </cell>
          <cell r="AC288">
            <v>124</v>
          </cell>
          <cell r="AD288">
            <v>0</v>
          </cell>
          <cell r="AE288">
            <v>0</v>
          </cell>
          <cell r="AF288">
            <v>270.11333333333334</v>
          </cell>
          <cell r="AG288">
            <v>209.7806087383407</v>
          </cell>
          <cell r="AH288">
            <v>60.332724594992641</v>
          </cell>
          <cell r="AI288">
            <v>0</v>
          </cell>
          <cell r="AK288">
            <v>1667.5533333333333</v>
          </cell>
        </row>
        <row r="289">
          <cell r="F289">
            <v>2.4733333333334144</v>
          </cell>
          <cell r="P289">
            <v>11.300000000000011</v>
          </cell>
          <cell r="Q289">
            <v>0</v>
          </cell>
          <cell r="R289">
            <v>0</v>
          </cell>
          <cell r="S289">
            <v>39</v>
          </cell>
          <cell r="T289">
            <v>0</v>
          </cell>
          <cell r="U289">
            <v>0</v>
          </cell>
          <cell r="V289">
            <v>0</v>
          </cell>
          <cell r="W289">
            <v>0</v>
          </cell>
          <cell r="X289">
            <v>10</v>
          </cell>
          <cell r="Y289">
            <v>0</v>
          </cell>
          <cell r="Z289">
            <v>0</v>
          </cell>
          <cell r="AA289">
            <v>0</v>
          </cell>
          <cell r="AB289">
            <v>0</v>
          </cell>
          <cell r="AC289">
            <v>43</v>
          </cell>
          <cell r="AD289">
            <v>0</v>
          </cell>
          <cell r="AE289">
            <v>0</v>
          </cell>
          <cell r="AF289">
            <v>2.1133333333333297</v>
          </cell>
          <cell r="AG289">
            <v>1.4472754050073586</v>
          </cell>
          <cell r="AH289">
            <v>0.6660579283259711</v>
          </cell>
          <cell r="AI289">
            <v>0</v>
          </cell>
          <cell r="AK289">
            <v>148.88666666666677</v>
          </cell>
        </row>
        <row r="290">
          <cell r="F290">
            <v>1</v>
          </cell>
          <cell r="P290">
            <v>29</v>
          </cell>
          <cell r="S290">
            <v>381</v>
          </cell>
          <cell r="X290">
            <v>99</v>
          </cell>
          <cell r="AC290">
            <v>54</v>
          </cell>
          <cell r="AF290">
            <v>162.33333333333334</v>
          </cell>
          <cell r="AG290">
            <v>111.66666666666667</v>
          </cell>
          <cell r="AH290">
            <v>50.666666666666671</v>
          </cell>
          <cell r="AI290">
            <v>0</v>
          </cell>
          <cell r="AK290">
            <v>727.33333333333337</v>
          </cell>
        </row>
        <row r="291">
          <cell r="F291">
            <v>382.66666666666669</v>
          </cell>
          <cell r="P291">
            <v>45</v>
          </cell>
          <cell r="Q291">
            <v>0</v>
          </cell>
          <cell r="R291">
            <v>0</v>
          </cell>
          <cell r="S291">
            <v>110</v>
          </cell>
          <cell r="T291">
            <v>0</v>
          </cell>
          <cell r="U291">
            <v>0</v>
          </cell>
          <cell r="V291">
            <v>0</v>
          </cell>
          <cell r="W291">
            <v>0</v>
          </cell>
          <cell r="X291">
            <v>68</v>
          </cell>
          <cell r="Y291">
            <v>0</v>
          </cell>
          <cell r="Z291">
            <v>0</v>
          </cell>
          <cell r="AA291">
            <v>0</v>
          </cell>
          <cell r="AB291">
            <v>0</v>
          </cell>
          <cell r="AC291">
            <v>27</v>
          </cell>
          <cell r="AD291">
            <v>0</v>
          </cell>
          <cell r="AE291">
            <v>0</v>
          </cell>
          <cell r="AF291">
            <v>105.66666666666667</v>
          </cell>
          <cell r="AG291">
            <v>96.666666666666671</v>
          </cell>
          <cell r="AH291">
            <v>9</v>
          </cell>
          <cell r="AI291">
            <v>0</v>
          </cell>
          <cell r="AK291">
            <v>791.33333333333337</v>
          </cell>
        </row>
        <row r="292">
          <cell r="F292">
            <v>-0.5</v>
          </cell>
          <cell r="P292">
            <v>0</v>
          </cell>
          <cell r="S292">
            <v>-0.23600000000000065</v>
          </cell>
          <cell r="X292">
            <v>-0.42800000000000082</v>
          </cell>
          <cell r="AC292">
            <v>30.067999999999998</v>
          </cell>
          <cell r="AF292">
            <v>0</v>
          </cell>
          <cell r="AG292">
            <v>0</v>
          </cell>
          <cell r="AH292">
            <v>0</v>
          </cell>
          <cell r="AI292">
            <v>0</v>
          </cell>
          <cell r="AK292">
            <v>0</v>
          </cell>
        </row>
        <row r="293">
          <cell r="F293">
            <v>14.666666666666666</v>
          </cell>
          <cell r="P293">
            <v>60</v>
          </cell>
          <cell r="S293">
            <v>8</v>
          </cell>
          <cell r="X293">
            <v>150</v>
          </cell>
          <cell r="AC293">
            <v>26</v>
          </cell>
          <cell r="AF293">
            <v>12</v>
          </cell>
          <cell r="AG293">
            <v>11</v>
          </cell>
          <cell r="AH293">
            <v>1</v>
          </cell>
          <cell r="AI293">
            <v>6.7</v>
          </cell>
          <cell r="AK293">
            <v>270.66666666666669</v>
          </cell>
        </row>
        <row r="294">
          <cell r="F294">
            <v>119511.41476190477</v>
          </cell>
          <cell r="P294">
            <v>523.29999999999995</v>
          </cell>
          <cell r="Q294">
            <v>0</v>
          </cell>
          <cell r="R294">
            <v>0</v>
          </cell>
          <cell r="S294">
            <v>1814</v>
          </cell>
          <cell r="T294">
            <v>-571.83999999999992</v>
          </cell>
          <cell r="U294">
            <v>-572.16000000000008</v>
          </cell>
          <cell r="V294">
            <v>0</v>
          </cell>
          <cell r="W294">
            <v>0</v>
          </cell>
          <cell r="X294">
            <v>691.84848484848271</v>
          </cell>
          <cell r="Y294">
            <v>-485</v>
          </cell>
          <cell r="Z294">
            <v>-632.18181818181824</v>
          </cell>
          <cell r="AA294">
            <v>0</v>
          </cell>
          <cell r="AB294">
            <v>0</v>
          </cell>
          <cell r="AC294">
            <v>412</v>
          </cell>
          <cell r="AD294">
            <v>-116</v>
          </cell>
          <cell r="AE294">
            <v>-186</v>
          </cell>
          <cell r="AF294">
            <v>704.02242424242377</v>
          </cell>
          <cell r="AG294">
            <v>643.68969964743201</v>
          </cell>
          <cell r="AH294">
            <v>61.332724594992669</v>
          </cell>
          <cell r="AI294">
            <v>-952</v>
          </cell>
          <cell r="AK294">
            <v>123773.91900432901</v>
          </cell>
        </row>
        <row r="295">
          <cell r="F295">
            <v>14.226506666666666</v>
          </cell>
          <cell r="P295">
            <v>413.43280000000004</v>
          </cell>
          <cell r="S295">
            <v>31.26400000000001</v>
          </cell>
          <cell r="X295">
            <v>4.5600000000000023</v>
          </cell>
          <cell r="AC295">
            <v>54</v>
          </cell>
          <cell r="AF295">
            <v>220.96368000000001</v>
          </cell>
          <cell r="AG295">
            <v>150.26695828850956</v>
          </cell>
          <cell r="AH295">
            <v>191</v>
          </cell>
          <cell r="AI295">
            <v>0</v>
          </cell>
          <cell r="AK295">
            <v>0</v>
          </cell>
        </row>
        <row r="296">
          <cell r="F296">
            <v>1</v>
          </cell>
          <cell r="P296">
            <v>13.224</v>
          </cell>
          <cell r="S296">
            <v>441.76800000000003</v>
          </cell>
          <cell r="X296">
            <v>45.144000000000005</v>
          </cell>
          <cell r="AC296">
            <v>79.623999999999995</v>
          </cell>
          <cell r="AF296">
            <v>120.024</v>
          </cell>
          <cell r="AG296">
            <v>96.92</v>
          </cell>
          <cell r="AH296">
            <v>23.103999999999999</v>
          </cell>
          <cell r="AI296">
            <v>0</v>
          </cell>
          <cell r="AK296">
            <v>701.78399999999999</v>
          </cell>
        </row>
        <row r="297">
          <cell r="F297">
            <v>119511.41476190477</v>
          </cell>
          <cell r="G297">
            <v>0</v>
          </cell>
          <cell r="H297">
            <v>0</v>
          </cell>
          <cell r="P297">
            <v>523.29999999999995</v>
          </cell>
          <cell r="Q297">
            <v>0</v>
          </cell>
          <cell r="R297">
            <v>0</v>
          </cell>
          <cell r="S297">
            <v>1814</v>
          </cell>
          <cell r="T297">
            <v>-571.83999999999992</v>
          </cell>
          <cell r="U297">
            <v>-572.16000000000008</v>
          </cell>
          <cell r="V297">
            <v>0</v>
          </cell>
          <cell r="W297">
            <v>0</v>
          </cell>
          <cell r="X297">
            <v>691.84848484848271</v>
          </cell>
          <cell r="Y297">
            <v>-485</v>
          </cell>
          <cell r="Z297">
            <v>-632.18181818181824</v>
          </cell>
          <cell r="AA297">
            <v>0</v>
          </cell>
          <cell r="AB297">
            <v>0</v>
          </cell>
          <cell r="AC297">
            <v>412</v>
          </cell>
          <cell r="AF297">
            <v>704.02242424242377</v>
          </cell>
          <cell r="AG297">
            <v>451.6896996474311</v>
          </cell>
          <cell r="AH297">
            <v>252.33272459499267</v>
          </cell>
          <cell r="AI297">
            <v>370</v>
          </cell>
          <cell r="AK297">
            <v>123773.91900432901</v>
          </cell>
        </row>
        <row r="298">
          <cell r="F298">
            <v>0</v>
          </cell>
          <cell r="P298">
            <v>0</v>
          </cell>
          <cell r="AF298">
            <v>0</v>
          </cell>
          <cell r="AG298">
            <v>0</v>
          </cell>
          <cell r="AH298">
            <v>0</v>
          </cell>
          <cell r="AI298">
            <v>0</v>
          </cell>
          <cell r="AK298">
            <v>0</v>
          </cell>
        </row>
        <row r="299">
          <cell r="F299">
            <v>0</v>
          </cell>
          <cell r="P299">
            <v>0</v>
          </cell>
          <cell r="Q299">
            <v>0</v>
          </cell>
          <cell r="R299">
            <v>0</v>
          </cell>
          <cell r="S299">
            <v>296</v>
          </cell>
          <cell r="T299">
            <v>0</v>
          </cell>
          <cell r="U299">
            <v>0</v>
          </cell>
          <cell r="V299">
            <v>0</v>
          </cell>
          <cell r="W299">
            <v>0</v>
          </cell>
          <cell r="X299">
            <v>625</v>
          </cell>
          <cell r="Y299">
            <v>0</v>
          </cell>
          <cell r="Z299">
            <v>0</v>
          </cell>
          <cell r="AA299">
            <v>0</v>
          </cell>
          <cell r="AB299">
            <v>0</v>
          </cell>
          <cell r="AC299">
            <v>444</v>
          </cell>
          <cell r="AD299">
            <v>0</v>
          </cell>
          <cell r="AE299">
            <v>0</v>
          </cell>
          <cell r="AF299">
            <v>180</v>
          </cell>
          <cell r="AG299">
            <v>180</v>
          </cell>
          <cell r="AH299">
            <v>0</v>
          </cell>
          <cell r="AI299">
            <v>0</v>
          </cell>
          <cell r="AK299">
            <v>1545</v>
          </cell>
        </row>
        <row r="300">
          <cell r="F300">
            <v>0</v>
          </cell>
          <cell r="P300">
            <v>0</v>
          </cell>
          <cell r="Q300">
            <v>0</v>
          </cell>
          <cell r="R300">
            <v>0</v>
          </cell>
          <cell r="S300">
            <v>296</v>
          </cell>
          <cell r="T300">
            <v>-835.56363636363631</v>
          </cell>
          <cell r="U300">
            <v>-846.70909090909095</v>
          </cell>
          <cell r="V300">
            <v>0</v>
          </cell>
          <cell r="W300">
            <v>0</v>
          </cell>
          <cell r="X300">
            <v>625</v>
          </cell>
          <cell r="Y300">
            <v>-588</v>
          </cell>
          <cell r="Z300">
            <v>-768</v>
          </cell>
          <cell r="AA300">
            <v>0</v>
          </cell>
          <cell r="AB300">
            <v>0</v>
          </cell>
          <cell r="AC300">
            <v>444</v>
          </cell>
          <cell r="AD300">
            <v>-181</v>
          </cell>
          <cell r="AE300">
            <v>-292.09090909090912</v>
          </cell>
          <cell r="AF300">
            <v>180</v>
          </cell>
          <cell r="AG300">
            <v>180</v>
          </cell>
          <cell r="AH300">
            <v>0</v>
          </cell>
          <cell r="AI300">
            <v>0</v>
          </cell>
          <cell r="AK300">
            <v>1545</v>
          </cell>
        </row>
        <row r="301">
          <cell r="AH301">
            <v>191</v>
          </cell>
          <cell r="AK301">
            <v>0</v>
          </cell>
        </row>
        <row r="302">
          <cell r="F302">
            <v>119511.41476190477</v>
          </cell>
          <cell r="P302">
            <v>523.29999999999995</v>
          </cell>
          <cell r="Q302">
            <v>0</v>
          </cell>
          <cell r="R302">
            <v>0</v>
          </cell>
          <cell r="S302">
            <v>2110</v>
          </cell>
          <cell r="T302">
            <v>-571.83999999999992</v>
          </cell>
          <cell r="U302">
            <v>-572.16000000000008</v>
          </cell>
          <cell r="V302">
            <v>0</v>
          </cell>
          <cell r="W302">
            <v>0</v>
          </cell>
          <cell r="X302">
            <v>1316.8484848484827</v>
          </cell>
          <cell r="Y302">
            <v>-485</v>
          </cell>
          <cell r="Z302">
            <v>-632.18181818181824</v>
          </cell>
          <cell r="AA302">
            <v>0</v>
          </cell>
          <cell r="AB302">
            <v>0</v>
          </cell>
          <cell r="AC302">
            <v>856</v>
          </cell>
          <cell r="AD302">
            <v>-116</v>
          </cell>
          <cell r="AE302">
            <v>-186</v>
          </cell>
          <cell r="AF302">
            <v>884.02242424242377</v>
          </cell>
          <cell r="AG302">
            <v>631.6896996474311</v>
          </cell>
          <cell r="AH302">
            <v>252.33272459499267</v>
          </cell>
          <cell r="AI302">
            <v>-952</v>
          </cell>
          <cell r="AK302">
            <v>125318.91900432901</v>
          </cell>
        </row>
        <row r="303">
          <cell r="F303">
            <v>113403.97284</v>
          </cell>
          <cell r="G303">
            <v>0</v>
          </cell>
          <cell r="H303">
            <v>0</v>
          </cell>
          <cell r="P303">
            <v>1001.3768000000002</v>
          </cell>
          <cell r="Q303">
            <v>0</v>
          </cell>
          <cell r="R303">
            <v>0</v>
          </cell>
          <cell r="S303">
            <v>576.61999999999898</v>
          </cell>
          <cell r="T303">
            <v>-835.56363636363631</v>
          </cell>
          <cell r="U303">
            <v>-846.70909090909095</v>
          </cell>
          <cell r="V303">
            <v>0</v>
          </cell>
          <cell r="W303">
            <v>0</v>
          </cell>
          <cell r="X303">
            <v>92.4025454545515</v>
          </cell>
          <cell r="Y303">
            <v>-588</v>
          </cell>
          <cell r="Z303">
            <v>-768</v>
          </cell>
          <cell r="AA303">
            <v>0</v>
          </cell>
          <cell r="AB303">
            <v>0</v>
          </cell>
          <cell r="AC303">
            <v>296.8240000000028</v>
          </cell>
          <cell r="AF303">
            <v>1748.4804072727284</v>
          </cell>
          <cell r="AG303">
            <v>1458.5756855612378</v>
          </cell>
          <cell r="AH303">
            <v>289.90472171149054</v>
          </cell>
          <cell r="AK303">
            <v>0</v>
          </cell>
        </row>
        <row r="304">
          <cell r="F304">
            <v>0</v>
          </cell>
          <cell r="P304">
            <v>0</v>
          </cell>
          <cell r="AK304">
            <v>0</v>
          </cell>
        </row>
        <row r="305">
          <cell r="F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K305">
            <v>0</v>
          </cell>
        </row>
        <row r="306">
          <cell r="F306">
            <v>5733.333333333333</v>
          </cell>
          <cell r="P306">
            <v>0</v>
          </cell>
          <cell r="S306">
            <v>0</v>
          </cell>
          <cell r="X306">
            <v>0</v>
          </cell>
          <cell r="AC306">
            <v>0</v>
          </cell>
          <cell r="AF306">
            <v>0</v>
          </cell>
          <cell r="AG306">
            <v>0</v>
          </cell>
          <cell r="AH306">
            <v>0</v>
          </cell>
          <cell r="AI306">
            <v>0</v>
          </cell>
          <cell r="AK306">
            <v>5733.333333333333</v>
          </cell>
        </row>
        <row r="307">
          <cell r="S307">
            <v>0</v>
          </cell>
          <cell r="AK307">
            <v>0</v>
          </cell>
        </row>
        <row r="308">
          <cell r="F308">
            <v>0</v>
          </cell>
          <cell r="P308">
            <v>1001.3768000000002</v>
          </cell>
          <cell r="Q308">
            <v>0</v>
          </cell>
          <cell r="R308">
            <v>0</v>
          </cell>
          <cell r="S308">
            <v>576.61999999999898</v>
          </cell>
          <cell r="T308">
            <v>-835.56363636363631</v>
          </cell>
          <cell r="U308">
            <v>-846.70909090909095</v>
          </cell>
          <cell r="V308">
            <v>0</v>
          </cell>
          <cell r="W308">
            <v>0</v>
          </cell>
          <cell r="X308">
            <v>92.4025454545515</v>
          </cell>
          <cell r="Y308">
            <v>-588</v>
          </cell>
          <cell r="Z308">
            <v>-768</v>
          </cell>
          <cell r="AA308">
            <v>0</v>
          </cell>
          <cell r="AB308">
            <v>0</v>
          </cell>
          <cell r="AC308">
            <v>296.8240000000028</v>
          </cell>
          <cell r="AD308">
            <v>-181</v>
          </cell>
          <cell r="AE308">
            <v>-292.09090909090912</v>
          </cell>
          <cell r="AF308">
            <v>1748.4804072727284</v>
          </cell>
          <cell r="AG308">
            <v>1458.5756855612378</v>
          </cell>
          <cell r="AH308">
            <v>289.90472171149054</v>
          </cell>
          <cell r="AI308">
            <v>-1904.3636363636365</v>
          </cell>
          <cell r="AK308">
            <v>0</v>
          </cell>
        </row>
        <row r="309">
          <cell r="AK309">
            <v>0</v>
          </cell>
        </row>
        <row r="310">
          <cell r="P310">
            <v>0</v>
          </cell>
          <cell r="AK310">
            <v>0</v>
          </cell>
        </row>
        <row r="311">
          <cell r="S311">
            <v>0</v>
          </cell>
          <cell r="AK311">
            <v>0</v>
          </cell>
        </row>
        <row r="312">
          <cell r="F312">
            <v>4483.4666666666662</v>
          </cell>
          <cell r="S312">
            <v>0</v>
          </cell>
          <cell r="AK312">
            <v>4483.4666666666662</v>
          </cell>
        </row>
        <row r="313">
          <cell r="F313">
            <v>119511.41476190477</v>
          </cell>
          <cell r="P313">
            <v>523.29999999999995</v>
          </cell>
          <cell r="Q313">
            <v>0</v>
          </cell>
          <cell r="R313">
            <v>0</v>
          </cell>
          <cell r="S313">
            <v>2110</v>
          </cell>
          <cell r="T313">
            <v>-571.83999999999992</v>
          </cell>
          <cell r="U313">
            <v>-572.16000000000008</v>
          </cell>
          <cell r="V313">
            <v>0</v>
          </cell>
          <cell r="W313">
            <v>0</v>
          </cell>
          <cell r="X313">
            <v>1316.8484848484827</v>
          </cell>
          <cell r="Y313">
            <v>-485</v>
          </cell>
          <cell r="Z313">
            <v>-632.18181818181824</v>
          </cell>
          <cell r="AA313">
            <v>0</v>
          </cell>
          <cell r="AB313">
            <v>0</v>
          </cell>
          <cell r="AC313">
            <v>856</v>
          </cell>
          <cell r="AD313">
            <v>-116</v>
          </cell>
          <cell r="AE313">
            <v>-186</v>
          </cell>
          <cell r="AF313">
            <v>884.02242424242377</v>
          </cell>
          <cell r="AG313">
            <v>631.6896996474311</v>
          </cell>
          <cell r="AH313">
            <v>252.33272459499267</v>
          </cell>
          <cell r="AI313">
            <v>-952</v>
          </cell>
          <cell r="AK313">
            <v>125318.91900432901</v>
          </cell>
        </row>
        <row r="314">
          <cell r="F314">
            <v>0</v>
          </cell>
          <cell r="AK314">
            <v>0</v>
          </cell>
        </row>
        <row r="315">
          <cell r="AK315">
            <v>0</v>
          </cell>
        </row>
        <row r="317">
          <cell r="AK317">
            <v>0</v>
          </cell>
        </row>
        <row r="318">
          <cell r="S318">
            <v>0</v>
          </cell>
        </row>
        <row r="319">
          <cell r="F319">
            <v>113403.97284</v>
          </cell>
          <cell r="P319">
            <v>1001.3768000000002</v>
          </cell>
          <cell r="Q319">
            <v>0</v>
          </cell>
          <cell r="R319">
            <v>0</v>
          </cell>
          <cell r="S319">
            <v>576.61999999999898</v>
          </cell>
          <cell r="T319">
            <v>-835.56363636363631</v>
          </cell>
          <cell r="U319">
            <v>-846.70909090909095</v>
          </cell>
          <cell r="V319">
            <v>0</v>
          </cell>
          <cell r="W319">
            <v>0</v>
          </cell>
          <cell r="X319">
            <v>92.4025454545515</v>
          </cell>
          <cell r="Y319">
            <v>-588</v>
          </cell>
          <cell r="Z319">
            <v>-768</v>
          </cell>
          <cell r="AA319">
            <v>0</v>
          </cell>
          <cell r="AB319">
            <v>0</v>
          </cell>
          <cell r="AC319">
            <v>296.8240000000028</v>
          </cell>
          <cell r="AD319">
            <v>-181</v>
          </cell>
          <cell r="AE319">
            <v>-292.09090909090912</v>
          </cell>
          <cell r="AF319">
            <v>1748.4804072727284</v>
          </cell>
          <cell r="AG319">
            <v>1458.5756855612378</v>
          </cell>
          <cell r="AH319">
            <v>289.90472171149054</v>
          </cell>
          <cell r="AI319">
            <v>-1904.3636363636365</v>
          </cell>
          <cell r="AK319">
            <v>117394.68559272728</v>
          </cell>
        </row>
        <row r="322">
          <cell r="AJ322">
            <v>2455</v>
          </cell>
          <cell r="AK322">
            <v>7482</v>
          </cell>
          <cell r="AM322">
            <v>6461</v>
          </cell>
        </row>
        <row r="323">
          <cell r="F323">
            <v>161.45454545454544</v>
          </cell>
          <cell r="P323">
            <v>263.45454545454544</v>
          </cell>
          <cell r="S323">
            <v>563.72727272727275</v>
          </cell>
          <cell r="X323">
            <v>227.63636363636363</v>
          </cell>
          <cell r="AC323">
            <v>178.90909090909091</v>
          </cell>
          <cell r="AF323">
            <v>537.90909090909088</v>
          </cell>
          <cell r="AG323">
            <v>479.90909090909088</v>
          </cell>
          <cell r="AH323">
            <v>58</v>
          </cell>
          <cell r="AI323">
            <v>259.63636363636363</v>
          </cell>
          <cell r="AK323">
            <v>2040</v>
          </cell>
          <cell r="AM323">
            <v>1761.7272727272725</v>
          </cell>
        </row>
        <row r="324">
          <cell r="AJ324">
            <v>36</v>
          </cell>
          <cell r="AK324">
            <v>11812.941428571428</v>
          </cell>
          <cell r="AM324">
            <v>11812.941428571428</v>
          </cell>
        </row>
        <row r="325">
          <cell r="AK325">
            <v>825</v>
          </cell>
          <cell r="AM325">
            <v>825</v>
          </cell>
        </row>
        <row r="326">
          <cell r="AJ326">
            <v>36</v>
          </cell>
          <cell r="AK326">
            <v>270.66666666666669</v>
          </cell>
          <cell r="AM326">
            <v>265.36666666666662</v>
          </cell>
        </row>
        <row r="327">
          <cell r="AK327">
            <v>4663.9414285714283</v>
          </cell>
          <cell r="AM327">
            <v>4663.9414285714283</v>
          </cell>
        </row>
        <row r="328">
          <cell r="AJ328">
            <v>2455</v>
          </cell>
          <cell r="AK328">
            <v>3500</v>
          </cell>
          <cell r="AM328">
            <v>3500</v>
          </cell>
        </row>
        <row r="329">
          <cell r="AK329">
            <v>0</v>
          </cell>
        </row>
        <row r="330">
          <cell r="AK330">
            <v>2824</v>
          </cell>
          <cell r="AM330">
            <v>2824</v>
          </cell>
        </row>
        <row r="331">
          <cell r="AK331">
            <v>6321.6666666666661</v>
          </cell>
        </row>
        <row r="332">
          <cell r="AK332">
            <v>0</v>
          </cell>
          <cell r="AM332">
            <v>0</v>
          </cell>
        </row>
        <row r="333">
          <cell r="AK333">
            <v>1580</v>
          </cell>
          <cell r="AM333">
            <v>1849</v>
          </cell>
        </row>
        <row r="334">
          <cell r="AK334">
            <v>1345.090909090909</v>
          </cell>
          <cell r="AM334">
            <v>986.18181818181824</v>
          </cell>
        </row>
        <row r="335">
          <cell r="AK335">
            <v>1545</v>
          </cell>
          <cell r="AM335">
            <v>1365</v>
          </cell>
        </row>
        <row r="336">
          <cell r="AK336">
            <v>1545</v>
          </cell>
          <cell r="AM336">
            <v>1365</v>
          </cell>
        </row>
        <row r="337">
          <cell r="AK337">
            <v>0</v>
          </cell>
          <cell r="AM337">
            <v>0</v>
          </cell>
        </row>
        <row r="338">
          <cell r="AK338">
            <v>2739.1133333333337</v>
          </cell>
          <cell r="AM338">
            <v>2234.8933333333334</v>
          </cell>
        </row>
        <row r="339">
          <cell r="AK339">
            <v>1096.4866666666667</v>
          </cell>
          <cell r="AM339">
            <v>889.5333333333333</v>
          </cell>
        </row>
        <row r="340">
          <cell r="AK340">
            <v>582.62666666666655</v>
          </cell>
          <cell r="AM340">
            <v>565.3599999999999</v>
          </cell>
        </row>
        <row r="341">
          <cell r="AK341">
            <v>720</v>
          </cell>
        </row>
        <row r="342">
          <cell r="AK342">
            <v>340</v>
          </cell>
        </row>
        <row r="343">
          <cell r="AK343">
            <v>0</v>
          </cell>
          <cell r="AM343">
            <v>0</v>
          </cell>
        </row>
        <row r="344">
          <cell r="AK344">
            <v>242</v>
          </cell>
          <cell r="AM344">
            <v>242</v>
          </cell>
        </row>
        <row r="345">
          <cell r="AK345">
            <v>4107</v>
          </cell>
          <cell r="AM345">
            <v>3217</v>
          </cell>
        </row>
        <row r="346">
          <cell r="P346">
            <v>225</v>
          </cell>
          <cell r="S346">
            <v>296</v>
          </cell>
          <cell r="X346">
            <v>56</v>
          </cell>
          <cell r="AC346">
            <v>33</v>
          </cell>
          <cell r="AF346">
            <v>88.909090909090907</v>
          </cell>
          <cell r="AG346">
            <v>88.909090909090907</v>
          </cell>
          <cell r="AH346">
            <v>0</v>
          </cell>
          <cell r="AK346">
            <v>698.90909090909088</v>
          </cell>
        </row>
        <row r="347">
          <cell r="AK347">
            <v>0</v>
          </cell>
        </row>
        <row r="348">
          <cell r="F348">
            <v>0</v>
          </cell>
          <cell r="P348">
            <v>0</v>
          </cell>
          <cell r="S348">
            <v>0</v>
          </cell>
          <cell r="X348">
            <v>0</v>
          </cell>
          <cell r="AC348">
            <v>0</v>
          </cell>
          <cell r="AF348">
            <v>0</v>
          </cell>
          <cell r="AG348">
            <v>0</v>
          </cell>
          <cell r="AH348">
            <v>0</v>
          </cell>
          <cell r="AI348">
            <v>0</v>
          </cell>
          <cell r="AK348">
            <v>269</v>
          </cell>
          <cell r="AM348">
            <v>269</v>
          </cell>
        </row>
        <row r="349">
          <cell r="AK349">
            <v>61.666666666666664</v>
          </cell>
          <cell r="AM349">
            <v>61.666666666666664</v>
          </cell>
        </row>
        <row r="350">
          <cell r="AK350">
            <v>500</v>
          </cell>
          <cell r="AM350">
            <v>1312.6666666666667</v>
          </cell>
        </row>
        <row r="351">
          <cell r="AK351">
            <v>382.33333333333326</v>
          </cell>
          <cell r="AM351">
            <v>427.66666666666657</v>
          </cell>
        </row>
        <row r="352">
          <cell r="AJ352">
            <v>-2491</v>
          </cell>
          <cell r="AK352">
            <v>1667.5533333333333</v>
          </cell>
          <cell r="AM352" t="e">
            <v>#REF!</v>
          </cell>
        </row>
        <row r="353">
          <cell r="AK353">
            <v>148.88666666666677</v>
          </cell>
        </row>
        <row r="354">
          <cell r="AK354">
            <v>727.33333333333337</v>
          </cell>
        </row>
        <row r="355">
          <cell r="AK355">
            <v>791.33333333333337</v>
          </cell>
        </row>
        <row r="356">
          <cell r="F356">
            <v>19.333333333333329</v>
          </cell>
          <cell r="P356">
            <v>236</v>
          </cell>
          <cell r="S356">
            <v>507</v>
          </cell>
          <cell r="T356">
            <v>228.32</v>
          </cell>
          <cell r="U356">
            <v>1198.68</v>
          </cell>
          <cell r="X356">
            <v>598</v>
          </cell>
          <cell r="Y356">
            <v>307</v>
          </cell>
          <cell r="Z356">
            <v>401</v>
          </cell>
          <cell r="AC356">
            <v>654</v>
          </cell>
          <cell r="AD356">
            <v>249</v>
          </cell>
          <cell r="AE356">
            <v>454</v>
          </cell>
          <cell r="AF356">
            <v>336.33333333333337</v>
          </cell>
          <cell r="AG356">
            <v>280.33333333333337</v>
          </cell>
          <cell r="AH356">
            <v>56</v>
          </cell>
          <cell r="AI356">
            <v>0</v>
          </cell>
          <cell r="AK356">
            <v>2348.6666666666665</v>
          </cell>
          <cell r="AM356">
            <v>2012.3333333333333</v>
          </cell>
        </row>
        <row r="365">
          <cell r="F365">
            <v>-20223</v>
          </cell>
        </row>
        <row r="377">
          <cell r="F377" t="str">
            <v>лютий</v>
          </cell>
          <cell r="P377" t="str">
            <v>лютий</v>
          </cell>
          <cell r="X377" t="str">
            <v>лютий</v>
          </cell>
          <cell r="AC377" t="str">
            <v>лютий</v>
          </cell>
        </row>
        <row r="378">
          <cell r="F378" t="str">
            <v>АППАРАТ</v>
          </cell>
          <cell r="P378" t="str">
            <v>ККМ</v>
          </cell>
          <cell r="X378" t="str">
            <v>ТЕЦ5</v>
          </cell>
          <cell r="AC378" t="str">
            <v>ТЕЦ6</v>
          </cell>
          <cell r="AK378" t="str">
            <v>АК "КЕ"</v>
          </cell>
          <cell r="AL378" t="str">
            <v>Е/Е</v>
          </cell>
        </row>
        <row r="379">
          <cell r="F379" t="str">
            <v>ПЛАН</v>
          </cell>
          <cell r="P379" t="str">
            <v>ПЛАН</v>
          </cell>
          <cell r="X379" t="str">
            <v>ПЛАН</v>
          </cell>
          <cell r="AC379" t="str">
            <v>ПЛАН</v>
          </cell>
          <cell r="AK379" t="str">
            <v>ПЛАН</v>
          </cell>
          <cell r="AL379" t="str">
            <v>ПЛАН</v>
          </cell>
        </row>
        <row r="380">
          <cell r="F380">
            <v>164.3</v>
          </cell>
          <cell r="G380">
            <v>48</v>
          </cell>
          <cell r="H380">
            <v>48</v>
          </cell>
          <cell r="P380">
            <v>14.333333333333332</v>
          </cell>
          <cell r="S380">
            <v>14.333333333333332</v>
          </cell>
          <cell r="X380">
            <v>182</v>
          </cell>
          <cell r="Y380">
            <v>79</v>
          </cell>
          <cell r="Z380">
            <v>79</v>
          </cell>
          <cell r="AC380">
            <v>323.66666666666674</v>
          </cell>
          <cell r="AD380">
            <v>124</v>
          </cell>
          <cell r="AE380">
            <v>123</v>
          </cell>
          <cell r="AK380">
            <v>735.30000000000018</v>
          </cell>
          <cell r="AL380">
            <v>292.93333333333334</v>
          </cell>
          <cell r="AM380">
            <v>279.33333333333331</v>
          </cell>
        </row>
        <row r="381">
          <cell r="F381">
            <v>29</v>
          </cell>
          <cell r="G381">
            <v>8</v>
          </cell>
          <cell r="P381">
            <v>0</v>
          </cell>
          <cell r="X381">
            <v>0</v>
          </cell>
          <cell r="Y381">
            <v>0</v>
          </cell>
          <cell r="AC381">
            <v>3.6666666666666665</v>
          </cell>
          <cell r="AD381">
            <v>1</v>
          </cell>
          <cell r="AK381">
            <v>46</v>
          </cell>
          <cell r="AL381">
            <v>12</v>
          </cell>
        </row>
        <row r="382">
          <cell r="F382">
            <v>0</v>
          </cell>
          <cell r="G382">
            <v>0</v>
          </cell>
          <cell r="P382">
            <v>0.66666666666666663</v>
          </cell>
          <cell r="X382">
            <v>146.66666666666666</v>
          </cell>
          <cell r="Y382">
            <v>64</v>
          </cell>
          <cell r="AC382">
            <v>280.66666666666669</v>
          </cell>
          <cell r="AD382">
            <v>107</v>
          </cell>
          <cell r="AK382">
            <v>428</v>
          </cell>
          <cell r="AL382">
            <v>171.66666666666669</v>
          </cell>
        </row>
        <row r="383">
          <cell r="F383">
            <v>0</v>
          </cell>
          <cell r="G383">
            <v>0</v>
          </cell>
          <cell r="P383">
            <v>2</v>
          </cell>
          <cell r="X383">
            <v>0</v>
          </cell>
          <cell r="Y383">
            <v>0</v>
          </cell>
          <cell r="AC383">
            <v>25</v>
          </cell>
          <cell r="AD383">
            <v>10</v>
          </cell>
          <cell r="AK383">
            <v>33.666666666666671</v>
          </cell>
          <cell r="AL383">
            <v>15</v>
          </cell>
        </row>
        <row r="384">
          <cell r="F384">
            <v>0</v>
          </cell>
          <cell r="G384">
            <v>0</v>
          </cell>
          <cell r="P384">
            <v>0</v>
          </cell>
          <cell r="X384">
            <v>25.333333333333332</v>
          </cell>
          <cell r="Y384">
            <v>11</v>
          </cell>
          <cell r="AC384">
            <v>0.66666666666666663</v>
          </cell>
          <cell r="AD384">
            <v>0</v>
          </cell>
          <cell r="AK384">
            <v>26</v>
          </cell>
          <cell r="AL384">
            <v>11</v>
          </cell>
        </row>
        <row r="385">
          <cell r="F385">
            <v>120.63333333333333</v>
          </cell>
          <cell r="G385">
            <v>35</v>
          </cell>
          <cell r="P385">
            <v>0</v>
          </cell>
          <cell r="X385">
            <v>0</v>
          </cell>
          <cell r="Y385">
            <v>0</v>
          </cell>
          <cell r="AC385">
            <v>0</v>
          </cell>
          <cell r="AD385">
            <v>0</v>
          </cell>
          <cell r="AK385">
            <v>120.63333333333333</v>
          </cell>
          <cell r="AL385">
            <v>37</v>
          </cell>
        </row>
        <row r="386">
          <cell r="F386">
            <v>8.6666666666666661</v>
          </cell>
          <cell r="G386">
            <v>3</v>
          </cell>
          <cell r="P386">
            <v>0</v>
          </cell>
          <cell r="X386">
            <v>0</v>
          </cell>
          <cell r="Y386">
            <v>0</v>
          </cell>
          <cell r="AC386">
            <v>0</v>
          </cell>
          <cell r="AD386">
            <v>0</v>
          </cell>
          <cell r="AK386">
            <v>8.6666666666666661</v>
          </cell>
          <cell r="AL386">
            <v>0</v>
          </cell>
        </row>
        <row r="387">
          <cell r="F387">
            <v>0</v>
          </cell>
          <cell r="G387">
            <v>0</v>
          </cell>
          <cell r="P387">
            <v>5.333333333333333</v>
          </cell>
          <cell r="X387">
            <v>0</v>
          </cell>
          <cell r="Y387">
            <v>0</v>
          </cell>
          <cell r="AC387">
            <v>0</v>
          </cell>
          <cell r="AD387">
            <v>0</v>
          </cell>
          <cell r="AK387">
            <v>22</v>
          </cell>
          <cell r="AL387">
            <v>15.333333333333332</v>
          </cell>
        </row>
        <row r="388">
          <cell r="F388">
            <v>5.333333333333333</v>
          </cell>
          <cell r="G388">
            <v>2</v>
          </cell>
          <cell r="P388">
            <v>0</v>
          </cell>
          <cell r="X388">
            <v>0</v>
          </cell>
          <cell r="Y388">
            <v>0</v>
          </cell>
          <cell r="AC388">
            <v>0</v>
          </cell>
          <cell r="AD388">
            <v>0</v>
          </cell>
          <cell r="AK388">
            <v>5.333333333333333</v>
          </cell>
          <cell r="AL388">
            <v>2</v>
          </cell>
        </row>
        <row r="389">
          <cell r="F389">
            <v>0.33333333333333331</v>
          </cell>
          <cell r="G389">
            <v>0</v>
          </cell>
          <cell r="P389">
            <v>4.333333333333333</v>
          </cell>
          <cell r="X389">
            <v>0</v>
          </cell>
          <cell r="Y389">
            <v>0</v>
          </cell>
          <cell r="AC389">
            <v>0</v>
          </cell>
          <cell r="AD389">
            <v>0</v>
          </cell>
          <cell r="AK389">
            <v>4.6666666666666661</v>
          </cell>
          <cell r="AL389">
            <v>4.333333333333333</v>
          </cell>
        </row>
        <row r="390">
          <cell r="F390">
            <v>0.33333333333333331</v>
          </cell>
          <cell r="G390">
            <v>0</v>
          </cell>
          <cell r="P390">
            <v>2</v>
          </cell>
          <cell r="X390">
            <v>10</v>
          </cell>
          <cell r="Y390">
            <v>4</v>
          </cell>
          <cell r="AC390">
            <v>13.666666666666666</v>
          </cell>
          <cell r="AD390">
            <v>5</v>
          </cell>
          <cell r="AK390">
            <v>26</v>
          </cell>
          <cell r="AL390">
            <v>11</v>
          </cell>
        </row>
        <row r="391">
          <cell r="F391">
            <v>0</v>
          </cell>
          <cell r="G391">
            <v>0</v>
          </cell>
          <cell r="P391">
            <v>0</v>
          </cell>
          <cell r="X391">
            <v>0</v>
          </cell>
          <cell r="Y391">
            <v>0</v>
          </cell>
          <cell r="AC391">
            <v>0</v>
          </cell>
          <cell r="AD391">
            <v>0</v>
          </cell>
          <cell r="AK391">
            <v>0</v>
          </cell>
        </row>
        <row r="392">
          <cell r="F392">
            <v>1.1666666666666667</v>
          </cell>
          <cell r="G392">
            <v>0</v>
          </cell>
          <cell r="P392">
            <v>20.5</v>
          </cell>
          <cell r="X392">
            <v>522.33333333333337</v>
          </cell>
          <cell r="Y392">
            <v>227</v>
          </cell>
          <cell r="AC392">
            <v>43</v>
          </cell>
          <cell r="AD392">
            <v>16</v>
          </cell>
          <cell r="AK392">
            <v>587.33333333333337</v>
          </cell>
          <cell r="AL392">
            <v>263.5</v>
          </cell>
          <cell r="AM392">
            <v>263.83333333333331</v>
          </cell>
        </row>
        <row r="393">
          <cell r="F393">
            <v>0</v>
          </cell>
          <cell r="G393">
            <v>0</v>
          </cell>
          <cell r="P393">
            <v>0</v>
          </cell>
          <cell r="X393">
            <v>0</v>
          </cell>
          <cell r="Y393">
            <v>0</v>
          </cell>
          <cell r="AC393">
            <v>0</v>
          </cell>
          <cell r="AD393">
            <v>0</v>
          </cell>
          <cell r="AK393">
            <v>0</v>
          </cell>
          <cell r="AL393">
            <v>0</v>
          </cell>
        </row>
        <row r="394">
          <cell r="F394">
            <v>0</v>
          </cell>
          <cell r="G394">
            <v>0</v>
          </cell>
          <cell r="P394">
            <v>0</v>
          </cell>
          <cell r="X394">
            <v>480.66666666666669</v>
          </cell>
          <cell r="Y394">
            <v>209</v>
          </cell>
          <cell r="AC394">
            <v>11</v>
          </cell>
          <cell r="AD394">
            <v>4</v>
          </cell>
          <cell r="AK394">
            <v>491.66666666666669</v>
          </cell>
          <cell r="AL394">
            <v>213</v>
          </cell>
        </row>
        <row r="395">
          <cell r="F395">
            <v>0</v>
          </cell>
          <cell r="G395">
            <v>0</v>
          </cell>
          <cell r="P395">
            <v>0</v>
          </cell>
          <cell r="X395">
            <v>0</v>
          </cell>
          <cell r="Y395">
            <v>0</v>
          </cell>
          <cell r="AC395">
            <v>0</v>
          </cell>
          <cell r="AD395">
            <v>0</v>
          </cell>
          <cell r="AK395">
            <v>0</v>
          </cell>
          <cell r="AL395">
            <v>0</v>
          </cell>
        </row>
        <row r="396">
          <cell r="F396">
            <v>1.1666666666666667</v>
          </cell>
          <cell r="G396">
            <v>0</v>
          </cell>
          <cell r="P396">
            <v>15.833333333333334</v>
          </cell>
          <cell r="X396">
            <v>41.666666666666664</v>
          </cell>
          <cell r="Y396">
            <v>18</v>
          </cell>
          <cell r="AC396">
            <v>32</v>
          </cell>
          <cell r="AD396">
            <v>12</v>
          </cell>
          <cell r="AK396">
            <v>91</v>
          </cell>
          <cell r="AL396">
            <v>50.833333333333336</v>
          </cell>
        </row>
        <row r="397">
          <cell r="F397">
            <v>0</v>
          </cell>
          <cell r="G397">
            <v>0</v>
          </cell>
          <cell r="P397">
            <v>4.666666666666667</v>
          </cell>
          <cell r="X397">
            <v>0</v>
          </cell>
          <cell r="Y397">
            <v>0</v>
          </cell>
          <cell r="AC397">
            <v>0</v>
          </cell>
          <cell r="AD397">
            <v>0</v>
          </cell>
          <cell r="AK397">
            <v>4.666666666666667</v>
          </cell>
          <cell r="AL397">
            <v>0</v>
          </cell>
        </row>
        <row r="398">
          <cell r="F398">
            <v>0</v>
          </cell>
          <cell r="G398">
            <v>0</v>
          </cell>
          <cell r="P398">
            <v>0</v>
          </cell>
          <cell r="X398">
            <v>0</v>
          </cell>
          <cell r="Y398">
            <v>0</v>
          </cell>
          <cell r="AC398">
            <v>0</v>
          </cell>
          <cell r="AD398">
            <v>0</v>
          </cell>
          <cell r="AK398">
            <v>0</v>
          </cell>
        </row>
        <row r="399">
          <cell r="F399">
            <v>10</v>
          </cell>
          <cell r="G399">
            <v>3</v>
          </cell>
          <cell r="P399">
            <v>39</v>
          </cell>
          <cell r="X399">
            <v>0</v>
          </cell>
          <cell r="Y399">
            <v>0</v>
          </cell>
          <cell r="AC399">
            <v>0</v>
          </cell>
          <cell r="AD399">
            <v>0</v>
          </cell>
          <cell r="AK399">
            <v>49</v>
          </cell>
          <cell r="AL399">
            <v>42</v>
          </cell>
          <cell r="AM399">
            <v>42</v>
          </cell>
        </row>
        <row r="400">
          <cell r="F400">
            <v>2.6666666666666665</v>
          </cell>
          <cell r="G400">
            <v>1</v>
          </cell>
          <cell r="P400">
            <v>3.3333333333333335</v>
          </cell>
          <cell r="X400">
            <v>0</v>
          </cell>
          <cell r="Y400">
            <v>0</v>
          </cell>
          <cell r="AC400">
            <v>0</v>
          </cell>
          <cell r="AD400">
            <v>0</v>
          </cell>
          <cell r="AK400">
            <v>6</v>
          </cell>
          <cell r="AL400">
            <v>4.3333333333333339</v>
          </cell>
        </row>
        <row r="401">
          <cell r="F401">
            <v>7.333333333333333</v>
          </cell>
          <cell r="G401">
            <v>2</v>
          </cell>
          <cell r="P401">
            <v>35.666666666666664</v>
          </cell>
          <cell r="X401">
            <v>0</v>
          </cell>
          <cell r="Y401">
            <v>0</v>
          </cell>
          <cell r="AC401">
            <v>0</v>
          </cell>
          <cell r="AD401">
            <v>0</v>
          </cell>
          <cell r="AK401">
            <v>43</v>
          </cell>
          <cell r="AL401">
            <v>37.666666666666664</v>
          </cell>
        </row>
        <row r="402">
          <cell r="F402">
            <v>0</v>
          </cell>
          <cell r="G402">
            <v>0</v>
          </cell>
          <cell r="P402">
            <v>0</v>
          </cell>
          <cell r="X402">
            <v>0</v>
          </cell>
          <cell r="Y402">
            <v>0</v>
          </cell>
          <cell r="AC402">
            <v>0</v>
          </cell>
          <cell r="AD402">
            <v>0</v>
          </cell>
          <cell r="AK402">
            <v>0</v>
          </cell>
        </row>
        <row r="403">
          <cell r="F403">
            <v>206.33333333333329</v>
          </cell>
          <cell r="G403">
            <v>60</v>
          </cell>
          <cell r="H403">
            <v>59</v>
          </cell>
          <cell r="P403">
            <v>50.166666666666671</v>
          </cell>
          <cell r="S403">
            <v>50.166666666666671</v>
          </cell>
          <cell r="X403">
            <v>37.833333333333343</v>
          </cell>
          <cell r="Y403">
            <v>16</v>
          </cell>
          <cell r="AC403">
            <v>26.000000000000004</v>
          </cell>
          <cell r="AD403">
            <v>10</v>
          </cell>
          <cell r="AK403">
            <v>1965.0000000000002</v>
          </cell>
          <cell r="AL403">
            <v>395.16666666666663</v>
          </cell>
          <cell r="AM403">
            <v>395.16666666666663</v>
          </cell>
        </row>
        <row r="404">
          <cell r="F404">
            <v>0</v>
          </cell>
          <cell r="G404">
            <v>0</v>
          </cell>
          <cell r="P404">
            <v>0</v>
          </cell>
          <cell r="X404">
            <v>0</v>
          </cell>
          <cell r="Y404">
            <v>0</v>
          </cell>
          <cell r="AC404">
            <v>0</v>
          </cell>
          <cell r="AD404">
            <v>0</v>
          </cell>
          <cell r="AK404">
            <v>1350</v>
          </cell>
          <cell r="AL404">
            <v>0</v>
          </cell>
        </row>
        <row r="405">
          <cell r="F405">
            <v>0</v>
          </cell>
          <cell r="G405">
            <v>0</v>
          </cell>
          <cell r="P405">
            <v>0</v>
          </cell>
          <cell r="X405">
            <v>0</v>
          </cell>
          <cell r="Y405">
            <v>0</v>
          </cell>
          <cell r="AC405">
            <v>0</v>
          </cell>
          <cell r="AD405">
            <v>0</v>
          </cell>
          <cell r="AK405">
            <v>95</v>
          </cell>
          <cell r="AL405">
            <v>95</v>
          </cell>
        </row>
        <row r="406">
          <cell r="F406">
            <v>0</v>
          </cell>
          <cell r="G406">
            <v>0</v>
          </cell>
          <cell r="P406">
            <v>0</v>
          </cell>
          <cell r="X406">
            <v>0</v>
          </cell>
          <cell r="Y406">
            <v>0</v>
          </cell>
          <cell r="AC406">
            <v>0</v>
          </cell>
          <cell r="AD406">
            <v>0</v>
          </cell>
          <cell r="AK406">
            <v>0</v>
          </cell>
          <cell r="AL406">
            <v>0</v>
          </cell>
        </row>
        <row r="407">
          <cell r="F407">
            <v>0</v>
          </cell>
          <cell r="G407">
            <v>0</v>
          </cell>
          <cell r="P407">
            <v>12.333333333333334</v>
          </cell>
          <cell r="X407">
            <v>0</v>
          </cell>
          <cell r="Y407">
            <v>0</v>
          </cell>
          <cell r="AC407">
            <v>0</v>
          </cell>
          <cell r="AD407">
            <v>0</v>
          </cell>
          <cell r="AK407">
            <v>12.333333333333334</v>
          </cell>
          <cell r="AL407">
            <v>12.333333333333334</v>
          </cell>
        </row>
        <row r="408">
          <cell r="F408">
            <v>0</v>
          </cell>
          <cell r="G408">
            <v>0</v>
          </cell>
          <cell r="P408">
            <v>0</v>
          </cell>
          <cell r="X408">
            <v>0</v>
          </cell>
          <cell r="Y408">
            <v>0</v>
          </cell>
          <cell r="AC408">
            <v>0</v>
          </cell>
          <cell r="AD408">
            <v>0</v>
          </cell>
          <cell r="AK408">
            <v>0</v>
          </cell>
          <cell r="AL408">
            <v>0</v>
          </cell>
        </row>
        <row r="409">
          <cell r="F409">
            <v>1.6666666666666667</v>
          </cell>
          <cell r="G409">
            <v>0</v>
          </cell>
          <cell r="P409">
            <v>5</v>
          </cell>
          <cell r="X409">
            <v>3</v>
          </cell>
          <cell r="Y409">
            <v>1</v>
          </cell>
          <cell r="AC409">
            <v>3</v>
          </cell>
          <cell r="AD409">
            <v>1</v>
          </cell>
          <cell r="AK409">
            <v>57.666666666666664</v>
          </cell>
          <cell r="AL409">
            <v>47</v>
          </cell>
        </row>
        <row r="410">
          <cell r="F410">
            <v>0</v>
          </cell>
          <cell r="G410">
            <v>0</v>
          </cell>
          <cell r="P410">
            <v>0</v>
          </cell>
          <cell r="X410">
            <v>0</v>
          </cell>
          <cell r="Y410">
            <v>0</v>
          </cell>
          <cell r="AC410">
            <v>0</v>
          </cell>
          <cell r="AD410">
            <v>0</v>
          </cell>
          <cell r="AK410">
            <v>4</v>
          </cell>
          <cell r="AL410">
            <v>0</v>
          </cell>
        </row>
        <row r="411">
          <cell r="F411">
            <v>0</v>
          </cell>
          <cell r="G411">
            <v>0</v>
          </cell>
          <cell r="P411">
            <v>0</v>
          </cell>
          <cell r="X411">
            <v>0</v>
          </cell>
          <cell r="Y411">
            <v>0</v>
          </cell>
          <cell r="AC411">
            <v>0</v>
          </cell>
          <cell r="AD411">
            <v>0</v>
          </cell>
          <cell r="AK411">
            <v>0</v>
          </cell>
          <cell r="AL411">
            <v>0</v>
          </cell>
        </row>
        <row r="412">
          <cell r="F412">
            <v>0</v>
          </cell>
          <cell r="G412">
            <v>0</v>
          </cell>
          <cell r="P412">
            <v>18.5</v>
          </cell>
          <cell r="X412">
            <v>4.5</v>
          </cell>
          <cell r="Y412">
            <v>2</v>
          </cell>
          <cell r="AC412">
            <v>1.3333333333333333</v>
          </cell>
          <cell r="AD412">
            <v>1</v>
          </cell>
          <cell r="AK412">
            <v>28.5</v>
          </cell>
          <cell r="AL412">
            <v>25.5</v>
          </cell>
        </row>
        <row r="413">
          <cell r="F413">
            <v>0</v>
          </cell>
          <cell r="G413">
            <v>0</v>
          </cell>
          <cell r="P413">
            <v>1.3333333333333333</v>
          </cell>
          <cell r="X413">
            <v>0</v>
          </cell>
          <cell r="Y413">
            <v>0</v>
          </cell>
          <cell r="AC413">
            <v>1.6666666666666667</v>
          </cell>
          <cell r="AD413">
            <v>1</v>
          </cell>
          <cell r="AK413">
            <v>69</v>
          </cell>
          <cell r="AL413">
            <v>52.333333333333336</v>
          </cell>
        </row>
        <row r="414">
          <cell r="F414">
            <v>177</v>
          </cell>
          <cell r="G414">
            <v>51</v>
          </cell>
          <cell r="P414">
            <v>0</v>
          </cell>
          <cell r="X414">
            <v>0</v>
          </cell>
          <cell r="Y414">
            <v>0</v>
          </cell>
          <cell r="AC414">
            <v>0</v>
          </cell>
          <cell r="AD414">
            <v>0</v>
          </cell>
          <cell r="AK414">
            <v>177</v>
          </cell>
          <cell r="AL414">
            <v>51</v>
          </cell>
        </row>
        <row r="415">
          <cell r="F415">
            <v>0</v>
          </cell>
          <cell r="G415">
            <v>0</v>
          </cell>
          <cell r="P415">
            <v>0</v>
          </cell>
          <cell r="X415">
            <v>10</v>
          </cell>
          <cell r="Y415">
            <v>4</v>
          </cell>
          <cell r="AC415">
            <v>7.666666666666667</v>
          </cell>
          <cell r="AD415">
            <v>3</v>
          </cell>
          <cell r="AK415">
            <v>17.666666666666668</v>
          </cell>
          <cell r="AL415">
            <v>7</v>
          </cell>
        </row>
        <row r="416">
          <cell r="F416">
            <v>0.66666666666666663</v>
          </cell>
          <cell r="G416">
            <v>0</v>
          </cell>
          <cell r="P416">
            <v>2</v>
          </cell>
          <cell r="X416">
            <v>1.3333333333333333</v>
          </cell>
          <cell r="Y416">
            <v>1</v>
          </cell>
          <cell r="AC416">
            <v>1</v>
          </cell>
          <cell r="AD416">
            <v>0</v>
          </cell>
          <cell r="AK416">
            <v>6</v>
          </cell>
          <cell r="AL416">
            <v>3</v>
          </cell>
        </row>
        <row r="417">
          <cell r="F417">
            <v>2.6666666666666665</v>
          </cell>
          <cell r="G417">
            <v>1</v>
          </cell>
          <cell r="P417">
            <v>0.33333333333333331</v>
          </cell>
          <cell r="X417">
            <v>1</v>
          </cell>
          <cell r="Y417">
            <v>0</v>
          </cell>
          <cell r="AC417">
            <v>0.66666666666666663</v>
          </cell>
          <cell r="AD417">
            <v>0</v>
          </cell>
          <cell r="AK417">
            <v>9.3333333333333339</v>
          </cell>
          <cell r="AL417">
            <v>3.3333333333333335</v>
          </cell>
        </row>
        <row r="418">
          <cell r="F418">
            <v>0</v>
          </cell>
          <cell r="G418">
            <v>0</v>
          </cell>
          <cell r="P418">
            <v>2.3333333333333335</v>
          </cell>
          <cell r="X418">
            <v>6</v>
          </cell>
          <cell r="Y418">
            <v>3</v>
          </cell>
          <cell r="AC418">
            <v>5</v>
          </cell>
          <cell r="AD418">
            <v>2</v>
          </cell>
          <cell r="AK418">
            <v>13.333333333333334</v>
          </cell>
          <cell r="AL418">
            <v>7.3333333333333339</v>
          </cell>
        </row>
        <row r="419">
          <cell r="F419">
            <v>0</v>
          </cell>
          <cell r="G419">
            <v>0</v>
          </cell>
          <cell r="P419">
            <v>0</v>
          </cell>
          <cell r="X419">
            <v>0</v>
          </cell>
          <cell r="Y419">
            <v>0</v>
          </cell>
          <cell r="AC419">
            <v>0</v>
          </cell>
          <cell r="AD419">
            <v>0</v>
          </cell>
          <cell r="AK419">
            <v>0</v>
          </cell>
          <cell r="AL419">
            <v>0</v>
          </cell>
        </row>
        <row r="420">
          <cell r="F420">
            <v>0</v>
          </cell>
          <cell r="G420">
            <v>0</v>
          </cell>
          <cell r="P420">
            <v>0</v>
          </cell>
          <cell r="X420">
            <v>0</v>
          </cell>
          <cell r="Y420">
            <v>0</v>
          </cell>
          <cell r="AC420">
            <v>0</v>
          </cell>
          <cell r="AD420">
            <v>0</v>
          </cell>
          <cell r="AK420">
            <v>0</v>
          </cell>
          <cell r="AL420">
            <v>0</v>
          </cell>
        </row>
        <row r="421">
          <cell r="F421">
            <v>9.6666666666666661</v>
          </cell>
          <cell r="G421">
            <v>3</v>
          </cell>
          <cell r="P421">
            <v>1</v>
          </cell>
          <cell r="X421">
            <v>0</v>
          </cell>
          <cell r="Y421">
            <v>0</v>
          </cell>
          <cell r="AC421">
            <v>0</v>
          </cell>
          <cell r="AD421">
            <v>0</v>
          </cell>
          <cell r="AK421">
            <v>12</v>
          </cell>
          <cell r="AL421">
            <v>5</v>
          </cell>
        </row>
        <row r="422">
          <cell r="F422">
            <v>0</v>
          </cell>
          <cell r="G422">
            <v>0</v>
          </cell>
          <cell r="P422">
            <v>0</v>
          </cell>
          <cell r="X422">
            <v>0</v>
          </cell>
          <cell r="Y422">
            <v>0</v>
          </cell>
          <cell r="AC422">
            <v>0</v>
          </cell>
          <cell r="AD422">
            <v>0</v>
          </cell>
          <cell r="AK422">
            <v>0</v>
          </cell>
          <cell r="AL422">
            <v>0</v>
          </cell>
        </row>
        <row r="423">
          <cell r="F423">
            <v>2.3333333333333335</v>
          </cell>
          <cell r="G423">
            <v>1</v>
          </cell>
          <cell r="P423">
            <v>0.66666666666666663</v>
          </cell>
          <cell r="X423">
            <v>0.66666666666666663</v>
          </cell>
          <cell r="Y423">
            <v>0</v>
          </cell>
          <cell r="AC423">
            <v>0.66666666666666663</v>
          </cell>
          <cell r="AD423">
            <v>0</v>
          </cell>
          <cell r="AK423">
            <v>4.333333333333333</v>
          </cell>
          <cell r="AL423">
            <v>1.6666666666666665</v>
          </cell>
        </row>
        <row r="424">
          <cell r="F424">
            <v>1.6666666666666667</v>
          </cell>
          <cell r="G424">
            <v>0</v>
          </cell>
          <cell r="P424">
            <v>0.66666666666666663</v>
          </cell>
          <cell r="X424">
            <v>0.66666666666666663</v>
          </cell>
          <cell r="Y424">
            <v>0</v>
          </cell>
          <cell r="AC424">
            <v>0.66666666666666663</v>
          </cell>
          <cell r="AD424">
            <v>0</v>
          </cell>
          <cell r="AK424">
            <v>3.6666666666666665</v>
          </cell>
          <cell r="AL424">
            <v>0.66666666666666663</v>
          </cell>
        </row>
        <row r="425">
          <cell r="F425">
            <v>6.666666666666667</v>
          </cell>
          <cell r="G425">
            <v>2</v>
          </cell>
          <cell r="P425">
            <v>4.666666666666667</v>
          </cell>
          <cell r="X425">
            <v>3</v>
          </cell>
          <cell r="Y425">
            <v>1</v>
          </cell>
          <cell r="AC425">
            <v>2</v>
          </cell>
          <cell r="AD425">
            <v>1</v>
          </cell>
          <cell r="AK425">
            <v>33</v>
          </cell>
          <cell r="AL425">
            <v>18.666666666666668</v>
          </cell>
        </row>
        <row r="426">
          <cell r="F426">
            <v>0</v>
          </cell>
          <cell r="G426">
            <v>0</v>
          </cell>
          <cell r="P426">
            <v>0</v>
          </cell>
          <cell r="X426">
            <v>0</v>
          </cell>
          <cell r="Y426">
            <v>0</v>
          </cell>
          <cell r="AC426">
            <v>0</v>
          </cell>
          <cell r="AD426">
            <v>0</v>
          </cell>
          <cell r="AK426">
            <v>0</v>
          </cell>
          <cell r="AL426">
            <v>0</v>
          </cell>
        </row>
        <row r="427">
          <cell r="F427">
            <v>0</v>
          </cell>
          <cell r="G427">
            <v>0</v>
          </cell>
          <cell r="P427">
            <v>0</v>
          </cell>
          <cell r="X427">
            <v>0</v>
          </cell>
          <cell r="Y427">
            <v>0</v>
          </cell>
          <cell r="AC427">
            <v>0</v>
          </cell>
          <cell r="AD427">
            <v>0</v>
          </cell>
          <cell r="AK427">
            <v>0</v>
          </cell>
          <cell r="AL427">
            <v>53</v>
          </cell>
        </row>
        <row r="428">
          <cell r="F428">
            <v>1</v>
          </cell>
          <cell r="G428">
            <v>0</v>
          </cell>
          <cell r="P428">
            <v>0</v>
          </cell>
          <cell r="X428">
            <v>0</v>
          </cell>
          <cell r="Y428">
            <v>0</v>
          </cell>
          <cell r="AC428">
            <v>0</v>
          </cell>
          <cell r="AD428">
            <v>0</v>
          </cell>
          <cell r="AK428">
            <v>1</v>
          </cell>
          <cell r="AL428">
            <v>1</v>
          </cell>
        </row>
        <row r="429">
          <cell r="F429">
            <v>0</v>
          </cell>
          <cell r="G429">
            <v>0</v>
          </cell>
          <cell r="P429">
            <v>0</v>
          </cell>
          <cell r="X429">
            <v>0</v>
          </cell>
          <cell r="Y429">
            <v>0</v>
          </cell>
          <cell r="AC429">
            <v>0</v>
          </cell>
          <cell r="AD429">
            <v>0</v>
          </cell>
          <cell r="AK429">
            <v>0</v>
          </cell>
          <cell r="AL429">
            <v>0</v>
          </cell>
        </row>
        <row r="430">
          <cell r="F430">
            <v>0</v>
          </cell>
          <cell r="G430">
            <v>0</v>
          </cell>
          <cell r="P430">
            <v>0</v>
          </cell>
          <cell r="X430">
            <v>0</v>
          </cell>
          <cell r="Y430">
            <v>0</v>
          </cell>
          <cell r="AC430">
            <v>0</v>
          </cell>
          <cell r="AD430">
            <v>0</v>
          </cell>
          <cell r="AK430">
            <v>0</v>
          </cell>
          <cell r="AL430">
            <v>0</v>
          </cell>
        </row>
        <row r="431">
          <cell r="F431">
            <v>2.6666666666666665</v>
          </cell>
          <cell r="G431">
            <v>1</v>
          </cell>
          <cell r="P431">
            <v>1</v>
          </cell>
          <cell r="X431">
            <v>4</v>
          </cell>
          <cell r="Y431">
            <v>2</v>
          </cell>
          <cell r="AC431">
            <v>2</v>
          </cell>
          <cell r="AD431">
            <v>1</v>
          </cell>
          <cell r="AK431">
            <v>15.666666666666666</v>
          </cell>
          <cell r="AL431">
            <v>8</v>
          </cell>
        </row>
        <row r="432">
          <cell r="F432">
            <v>0</v>
          </cell>
          <cell r="G432">
            <v>0</v>
          </cell>
          <cell r="P432">
            <v>0</v>
          </cell>
          <cell r="X432">
            <v>0</v>
          </cell>
          <cell r="Y432">
            <v>0</v>
          </cell>
          <cell r="AC432">
            <v>0</v>
          </cell>
          <cell r="AD432">
            <v>0</v>
          </cell>
          <cell r="AK432">
            <v>0</v>
          </cell>
          <cell r="AL432">
            <v>0</v>
          </cell>
        </row>
        <row r="433">
          <cell r="F433">
            <v>0</v>
          </cell>
          <cell r="G433">
            <v>0</v>
          </cell>
          <cell r="P433">
            <v>0</v>
          </cell>
          <cell r="X433">
            <v>3.3333333333333335</v>
          </cell>
          <cell r="Y433">
            <v>1</v>
          </cell>
          <cell r="AC433">
            <v>0</v>
          </cell>
          <cell r="AD433">
            <v>0</v>
          </cell>
          <cell r="AK433">
            <v>3.3333333333333335</v>
          </cell>
          <cell r="AL433">
            <v>1</v>
          </cell>
        </row>
        <row r="434">
          <cell r="F434">
            <v>0.33333333333333331</v>
          </cell>
          <cell r="G434">
            <v>0</v>
          </cell>
          <cell r="P434">
            <v>0.33333333333333331</v>
          </cell>
          <cell r="X434">
            <v>0.33333333333333331</v>
          </cell>
          <cell r="Y434">
            <v>0</v>
          </cell>
          <cell r="AC434">
            <v>0.33333333333333331</v>
          </cell>
          <cell r="AD434">
            <v>0</v>
          </cell>
          <cell r="AK434">
            <v>1.9999999999999998</v>
          </cell>
          <cell r="AL434">
            <v>0.33333333333333331</v>
          </cell>
        </row>
        <row r="435">
          <cell r="F435">
            <v>0</v>
          </cell>
          <cell r="G435">
            <v>0</v>
          </cell>
          <cell r="P435">
            <v>0</v>
          </cell>
          <cell r="X435">
            <v>0</v>
          </cell>
          <cell r="Y435">
            <v>0</v>
          </cell>
          <cell r="AC435">
            <v>0</v>
          </cell>
          <cell r="AD435">
            <v>0</v>
          </cell>
          <cell r="AK435">
            <v>0</v>
          </cell>
          <cell r="AL435">
            <v>0</v>
          </cell>
        </row>
        <row r="436">
          <cell r="F436">
            <v>0</v>
          </cell>
          <cell r="G436">
            <v>0</v>
          </cell>
          <cell r="P436">
            <v>0</v>
          </cell>
          <cell r="X436">
            <v>0</v>
          </cell>
          <cell r="Y436">
            <v>0</v>
          </cell>
          <cell r="AC436">
            <v>0</v>
          </cell>
          <cell r="AD436">
            <v>0</v>
          </cell>
          <cell r="AK436">
            <v>0</v>
          </cell>
          <cell r="AL436">
            <v>0</v>
          </cell>
        </row>
        <row r="437">
          <cell r="F437">
            <v>0</v>
          </cell>
          <cell r="G437">
            <v>0</v>
          </cell>
          <cell r="P437">
            <v>0</v>
          </cell>
          <cell r="X437">
            <v>0</v>
          </cell>
          <cell r="Y437">
            <v>0</v>
          </cell>
          <cell r="AC437">
            <v>0</v>
          </cell>
          <cell r="AD437">
            <v>0</v>
          </cell>
          <cell r="AK437">
            <v>0</v>
          </cell>
          <cell r="AL437">
            <v>0</v>
          </cell>
        </row>
        <row r="438">
          <cell r="F438">
            <v>0</v>
          </cell>
          <cell r="G438">
            <v>0</v>
          </cell>
          <cell r="P438">
            <v>0</v>
          </cell>
          <cell r="X438">
            <v>0</v>
          </cell>
          <cell r="Y438">
            <v>0</v>
          </cell>
          <cell r="AC438">
            <v>0</v>
          </cell>
          <cell r="AD438">
            <v>0</v>
          </cell>
          <cell r="AK438">
            <v>0</v>
          </cell>
          <cell r="AL438">
            <v>0</v>
          </cell>
        </row>
        <row r="439">
          <cell r="F439">
            <v>0</v>
          </cell>
          <cell r="G439">
            <v>0</v>
          </cell>
          <cell r="P439">
            <v>0</v>
          </cell>
          <cell r="X439">
            <v>0</v>
          </cell>
          <cell r="Y439">
            <v>0</v>
          </cell>
          <cell r="AC439">
            <v>0</v>
          </cell>
          <cell r="AD439">
            <v>0</v>
          </cell>
          <cell r="AK439">
            <v>0</v>
          </cell>
          <cell r="AL439">
            <v>0</v>
          </cell>
        </row>
        <row r="440">
          <cell r="F440">
            <v>0</v>
          </cell>
          <cell r="G440">
            <v>0</v>
          </cell>
          <cell r="P440">
            <v>0</v>
          </cell>
          <cell r="X440">
            <v>0</v>
          </cell>
          <cell r="Y440">
            <v>0</v>
          </cell>
          <cell r="AC440">
            <v>0</v>
          </cell>
          <cell r="AD440">
            <v>0</v>
          </cell>
          <cell r="AK440">
            <v>0</v>
          </cell>
          <cell r="AL440">
            <v>0</v>
          </cell>
        </row>
        <row r="441">
          <cell r="G441">
            <v>0</v>
          </cell>
          <cell r="P441">
            <v>0</v>
          </cell>
          <cell r="X441">
            <v>0</v>
          </cell>
          <cell r="Y441">
            <v>0</v>
          </cell>
          <cell r="AC441">
            <v>0</v>
          </cell>
          <cell r="AD441">
            <v>0</v>
          </cell>
          <cell r="AK441">
            <v>0</v>
          </cell>
          <cell r="AL441">
            <v>2</v>
          </cell>
        </row>
        <row r="442">
          <cell r="P442">
            <v>0</v>
          </cell>
          <cell r="X442">
            <v>0</v>
          </cell>
          <cell r="Y442">
            <v>0</v>
          </cell>
          <cell r="AC442">
            <v>0</v>
          </cell>
          <cell r="AD442">
            <v>0</v>
          </cell>
          <cell r="AK442">
            <v>0</v>
          </cell>
          <cell r="AL442">
            <v>0</v>
          </cell>
        </row>
      </sheetData>
      <sheetData sheetId="5" refreshError="1">
        <row r="21">
          <cell r="AI21" t="str">
            <v xml:space="preserve">         Затверджую</v>
          </cell>
        </row>
        <row r="22">
          <cell r="AI22" t="str">
            <v xml:space="preserve"> Голова правління -</v>
          </cell>
        </row>
        <row r="23">
          <cell r="AI23" t="str">
            <v xml:space="preserve"> Голова правління </v>
          </cell>
        </row>
        <row r="25">
          <cell r="AI25" t="str">
            <v xml:space="preserve">                        І.В.Плачков</v>
          </cell>
        </row>
        <row r="26">
          <cell r="AI26" t="str">
            <v xml:space="preserve">   "_____" ________2000 р.</v>
          </cell>
        </row>
        <row r="31">
          <cell r="Q31" t="str">
            <v>КТМ</v>
          </cell>
          <cell r="V31" t="str">
            <v xml:space="preserve">ТЕЦ-5 </v>
          </cell>
          <cell r="AA31" t="str">
            <v xml:space="preserve">ТЕЦ-6 </v>
          </cell>
        </row>
        <row r="32">
          <cell r="Q32" t="str">
            <v>КТМ</v>
          </cell>
          <cell r="V32" t="str">
            <v xml:space="preserve">ТЕЦ-5 </v>
          </cell>
          <cell r="AA32" t="str">
            <v xml:space="preserve">ТЕЦ-6 </v>
          </cell>
        </row>
        <row r="33">
          <cell r="F33" t="str">
            <v>ВИКОН.ДИР.</v>
          </cell>
          <cell r="G33" t="str">
            <v>Е/Е</v>
          </cell>
          <cell r="H33" t="str">
            <v xml:space="preserve"> Т/Е</v>
          </cell>
          <cell r="P33" t="str">
            <v xml:space="preserve">КМ </v>
          </cell>
          <cell r="S33" t="str">
            <v xml:space="preserve">ТМ </v>
          </cell>
          <cell r="T33" t="str">
            <v>ВИРОБН</v>
          </cell>
          <cell r="U33" t="str">
            <v>ПЕРЕД</v>
          </cell>
          <cell r="X33" t="str">
            <v>ТЕЦ-5 ВСЬОГО</v>
          </cell>
          <cell r="Y33" t="str">
            <v>Е/Е</v>
          </cell>
          <cell r="Z33" t="str">
            <v xml:space="preserve"> Т/Е</v>
          </cell>
          <cell r="AC33" t="str">
            <v>ТЕЦ-6 ВСЬОГО</v>
          </cell>
          <cell r="AD33" t="str">
            <v>Е/Е</v>
          </cell>
          <cell r="AE33" t="str">
            <v xml:space="preserve"> Т/Е</v>
          </cell>
          <cell r="AF33" t="str">
            <v>ТРМ ВСЬОГО</v>
          </cell>
          <cell r="AG33" t="str">
            <v>ТРМ  АК КЕ</v>
          </cell>
          <cell r="AH33" t="str">
            <v>ТРМ СТОР</v>
          </cell>
          <cell r="AI33" t="str">
            <v xml:space="preserve">ДОП.ВИР. </v>
          </cell>
          <cell r="AJ33" t="str">
            <v>ДОП.ВИР. СТ.ОРГ.</v>
          </cell>
          <cell r="AK33" t="str">
            <v>АК КЕ ВСЬОГО</v>
          </cell>
          <cell r="AL33" t="str">
            <v xml:space="preserve"> Е/Е</v>
          </cell>
          <cell r="AM33" t="str">
            <v xml:space="preserve"> Т/Е</v>
          </cell>
        </row>
        <row r="34">
          <cell r="F34" t="str">
            <v>ВИКОН.ДИР.</v>
          </cell>
          <cell r="G34" t="str">
            <v>Е/Е</v>
          </cell>
          <cell r="H34" t="str">
            <v xml:space="preserve"> Т/Е</v>
          </cell>
          <cell r="P34" t="str">
            <v xml:space="preserve">КМ </v>
          </cell>
          <cell r="S34" t="str">
            <v xml:space="preserve">ТМ </v>
          </cell>
          <cell r="T34" t="str">
            <v>ВИРОБН</v>
          </cell>
          <cell r="U34" t="str">
            <v>ПЕРЕД</v>
          </cell>
          <cell r="X34" t="str">
            <v>ТЕЦ-5 ВСЬОГО</v>
          </cell>
          <cell r="Y34" t="str">
            <v>Е/Е</v>
          </cell>
          <cell r="Z34" t="str">
            <v xml:space="preserve"> Т/Е</v>
          </cell>
          <cell r="AC34" t="str">
            <v>ТЕЦ-6 ВСЬОГО</v>
          </cell>
          <cell r="AD34" t="str">
            <v>Е/Е</v>
          </cell>
          <cell r="AE34" t="str">
            <v xml:space="preserve"> Т/Е</v>
          </cell>
          <cell r="AF34" t="str">
            <v>ТРМ ВСЬОГО</v>
          </cell>
          <cell r="AG34" t="str">
            <v>ТРМ  АК КЕ</v>
          </cell>
          <cell r="AH34" t="str">
            <v>ТРМ СТОР</v>
          </cell>
          <cell r="AI34" t="str">
            <v xml:space="preserve">ДОП.ВИР. </v>
          </cell>
          <cell r="AJ34" t="str">
            <v>ДОП.ВИР. СТ.ОРГ.</v>
          </cell>
          <cell r="AK34" t="str">
            <v>АК КЕ ВСЬОГО</v>
          </cell>
          <cell r="AL34">
            <v>605</v>
          </cell>
          <cell r="AM34" t="str">
            <v xml:space="preserve"> Т/Е</v>
          </cell>
        </row>
        <row r="35">
          <cell r="AL35">
            <v>536.20000000000005</v>
          </cell>
        </row>
        <row r="36">
          <cell r="AL36">
            <v>0</v>
          </cell>
        </row>
        <row r="37">
          <cell r="AL37">
            <v>0</v>
          </cell>
        </row>
        <row r="38">
          <cell r="AL38">
            <v>0</v>
          </cell>
        </row>
        <row r="39">
          <cell r="AL39">
            <v>0</v>
          </cell>
        </row>
        <row r="40">
          <cell r="AL40">
            <v>478.2</v>
          </cell>
        </row>
        <row r="41">
          <cell r="P41">
            <v>0</v>
          </cell>
          <cell r="AL41">
            <v>478.2</v>
          </cell>
        </row>
        <row r="42">
          <cell r="P42">
            <v>0</v>
          </cell>
          <cell r="AL42">
            <v>395.6</v>
          </cell>
          <cell r="AM42">
            <v>1840</v>
          </cell>
        </row>
        <row r="43">
          <cell r="AM43">
            <v>0</v>
          </cell>
        </row>
        <row r="44">
          <cell r="AM44">
            <v>0</v>
          </cell>
        </row>
        <row r="45">
          <cell r="AM45">
            <v>1660</v>
          </cell>
        </row>
        <row r="46">
          <cell r="F46">
            <v>3350.1188787878787</v>
          </cell>
          <cell r="P46">
            <v>2181.2434545454544</v>
          </cell>
          <cell r="S46">
            <v>6535.468727272726</v>
          </cell>
          <cell r="T46">
            <v>4851.0902763636368</v>
          </cell>
          <cell r="U46">
            <v>1648.5504509090908</v>
          </cell>
          <cell r="X46">
            <v>1789.018727272733</v>
          </cell>
          <cell r="AC46">
            <v>1029.1789090909119</v>
          </cell>
          <cell r="AF46">
            <v>4502.9056363636373</v>
          </cell>
          <cell r="AG46">
            <v>3771.8816363636361</v>
          </cell>
          <cell r="AH46">
            <v>731.02400000000011</v>
          </cell>
        </row>
        <row r="47">
          <cell r="F47">
            <v>0.45600000000000002</v>
          </cell>
          <cell r="P47">
            <v>0.45600000000000002</v>
          </cell>
          <cell r="S47">
            <v>0.45600000000000002</v>
          </cell>
          <cell r="X47">
            <v>0.45600000000000002</v>
          </cell>
          <cell r="AC47">
            <v>0.45600000000000002</v>
          </cell>
          <cell r="AF47">
            <v>0.45600000000000002</v>
          </cell>
          <cell r="AG47">
            <v>0.45600000000000002</v>
          </cell>
          <cell r="AH47">
            <v>0.8</v>
          </cell>
          <cell r="AI47">
            <v>0.45600000000000002</v>
          </cell>
        </row>
        <row r="49">
          <cell r="F49">
            <v>222.376</v>
          </cell>
          <cell r="G49">
            <v>102</v>
          </cell>
          <cell r="H49">
            <v>120.376</v>
          </cell>
          <cell r="P49">
            <v>571.96800000000007</v>
          </cell>
          <cell r="S49">
            <v>558.61599999999999</v>
          </cell>
          <cell r="T49">
            <v>279.30799999999999</v>
          </cell>
          <cell r="U49">
            <v>279.30799999999999</v>
          </cell>
          <cell r="X49">
            <v>56.088000000000001</v>
          </cell>
          <cell r="Y49">
            <v>24</v>
          </cell>
          <cell r="Z49">
            <v>32.088000000000001</v>
          </cell>
          <cell r="AC49">
            <v>81.343999999999994</v>
          </cell>
          <cell r="AD49">
            <v>31</v>
          </cell>
          <cell r="AE49">
            <v>50.343999999999994</v>
          </cell>
          <cell r="AF49">
            <v>303.20800000000003</v>
          </cell>
          <cell r="AG49">
            <v>220.68</v>
          </cell>
          <cell r="AH49">
            <v>82.52800000000002</v>
          </cell>
          <cell r="AK49">
            <v>1754.3920000000003</v>
          </cell>
          <cell r="AL49">
            <v>756.5680000000001</v>
          </cell>
          <cell r="AM49">
            <v>997.82400000000018</v>
          </cell>
        </row>
        <row r="50">
          <cell r="F50">
            <v>67.833333333333329</v>
          </cell>
          <cell r="G50">
            <v>31</v>
          </cell>
          <cell r="H50">
            <v>36.833333333333329</v>
          </cell>
          <cell r="P50">
            <v>153.5352</v>
          </cell>
          <cell r="S50">
            <v>447.35199999999998</v>
          </cell>
          <cell r="X50">
            <v>14.592000000000001</v>
          </cell>
          <cell r="Y50">
            <v>6</v>
          </cell>
          <cell r="Z50">
            <v>8.5920000000000005</v>
          </cell>
          <cell r="AC50">
            <v>14.592000000000001</v>
          </cell>
          <cell r="AD50">
            <v>6</v>
          </cell>
          <cell r="AE50">
            <v>8.5920000000000005</v>
          </cell>
          <cell r="AF50">
            <v>74.370720000000006</v>
          </cell>
          <cell r="AG50">
            <v>64.682500142666413</v>
          </cell>
          <cell r="AH50">
            <v>9.6882198573335927</v>
          </cell>
          <cell r="AK50">
            <v>805.9070334759997</v>
          </cell>
          <cell r="AL50">
            <v>204.5352</v>
          </cell>
          <cell r="AM50">
            <v>601.37183347599967</v>
          </cell>
        </row>
        <row r="51">
          <cell r="F51">
            <v>0</v>
          </cell>
          <cell r="G51">
            <v>0</v>
          </cell>
          <cell r="H51">
            <v>0</v>
          </cell>
          <cell r="P51">
            <v>1</v>
          </cell>
          <cell r="X51">
            <v>20.975999999999999</v>
          </cell>
          <cell r="Y51">
            <v>9</v>
          </cell>
          <cell r="Z51">
            <v>11.975999999999999</v>
          </cell>
          <cell r="AC51">
            <v>-0.47200000000000841</v>
          </cell>
          <cell r="AD51">
            <v>0</v>
          </cell>
          <cell r="AE51">
            <v>-0.47200000000000841</v>
          </cell>
          <cell r="AH51">
            <v>0</v>
          </cell>
          <cell r="AK51">
            <v>21.503999999999991</v>
          </cell>
          <cell r="AL51">
            <v>10</v>
          </cell>
          <cell r="AM51">
            <v>11.503999999999991</v>
          </cell>
        </row>
        <row r="52">
          <cell r="F52">
            <v>140.31616</v>
          </cell>
          <cell r="G52">
            <v>64</v>
          </cell>
          <cell r="H52">
            <v>76.316159999999996</v>
          </cell>
          <cell r="P52">
            <v>4</v>
          </cell>
          <cell r="S52">
            <v>80</v>
          </cell>
          <cell r="X52">
            <v>15.96</v>
          </cell>
          <cell r="Y52">
            <v>7</v>
          </cell>
          <cell r="Z52">
            <v>8.9600000000000009</v>
          </cell>
          <cell r="AC52">
            <v>13.224</v>
          </cell>
          <cell r="AD52">
            <v>5</v>
          </cell>
          <cell r="AE52">
            <v>8.2240000000000002</v>
          </cell>
          <cell r="AF52">
            <v>7.8735999999999997</v>
          </cell>
          <cell r="AG52">
            <v>5.7305415688240409</v>
          </cell>
          <cell r="AH52">
            <v>2.1430584311759588</v>
          </cell>
          <cell r="AK52">
            <v>259.23070156882403</v>
          </cell>
          <cell r="AL52">
            <v>80</v>
          </cell>
          <cell r="AM52">
            <v>179.23070156882403</v>
          </cell>
        </row>
        <row r="53">
          <cell r="F53">
            <v>1</v>
          </cell>
          <cell r="G53">
            <v>0</v>
          </cell>
          <cell r="H53">
            <v>1</v>
          </cell>
          <cell r="P53">
            <v>13.224</v>
          </cell>
          <cell r="S53">
            <v>463.76800000000003</v>
          </cell>
          <cell r="T53">
            <v>361.73904000000005</v>
          </cell>
          <cell r="U53">
            <v>102.02895999999998</v>
          </cell>
          <cell r="X53">
            <v>835.14400000000001</v>
          </cell>
          <cell r="Y53">
            <v>362</v>
          </cell>
          <cell r="Z53">
            <v>473.14400000000001</v>
          </cell>
          <cell r="AC53">
            <v>92.623999999999995</v>
          </cell>
          <cell r="AD53">
            <v>35</v>
          </cell>
          <cell r="AE53">
            <v>57.623999999999995</v>
          </cell>
          <cell r="AF53">
            <v>120.024</v>
          </cell>
          <cell r="AG53">
            <v>96.92</v>
          </cell>
          <cell r="AH53">
            <v>23.103999999999999</v>
          </cell>
          <cell r="AK53">
            <v>1503.68</v>
          </cell>
          <cell r="AL53">
            <v>411.22399999999999</v>
          </cell>
          <cell r="AM53">
            <v>1092.4560000000001</v>
          </cell>
        </row>
        <row r="54">
          <cell r="F54">
            <v>0</v>
          </cell>
          <cell r="G54">
            <v>0</v>
          </cell>
          <cell r="H54">
            <v>0</v>
          </cell>
          <cell r="S54">
            <v>22</v>
          </cell>
          <cell r="T54">
            <v>22</v>
          </cell>
          <cell r="U54">
            <v>0</v>
          </cell>
          <cell r="X54">
            <v>790</v>
          </cell>
          <cell r="Y54">
            <v>343</v>
          </cell>
          <cell r="Z54">
            <v>447</v>
          </cell>
          <cell r="AC54">
            <v>13</v>
          </cell>
          <cell r="AD54">
            <v>5</v>
          </cell>
          <cell r="AE54">
            <v>8</v>
          </cell>
          <cell r="AH54">
            <v>0</v>
          </cell>
          <cell r="AK54">
            <v>825</v>
          </cell>
          <cell r="AL54">
            <v>348</v>
          </cell>
          <cell r="AM54">
            <v>477</v>
          </cell>
        </row>
        <row r="55">
          <cell r="F55">
            <v>0</v>
          </cell>
          <cell r="G55">
            <v>0</v>
          </cell>
          <cell r="H55">
            <v>0</v>
          </cell>
          <cell r="P55">
            <v>0</v>
          </cell>
          <cell r="S55">
            <v>19250</v>
          </cell>
          <cell r="T55">
            <v>19250</v>
          </cell>
          <cell r="U55">
            <v>0</v>
          </cell>
          <cell r="X55">
            <v>44597</v>
          </cell>
          <cell r="Y55">
            <v>30041.25</v>
          </cell>
          <cell r="Z55">
            <v>14555.75</v>
          </cell>
          <cell r="AC55">
            <v>36151</v>
          </cell>
          <cell r="AD55">
            <v>22308.272727272721</v>
          </cell>
          <cell r="AE55">
            <v>13842.727272727279</v>
          </cell>
          <cell r="AH55">
            <v>0</v>
          </cell>
          <cell r="AK55">
            <v>99998</v>
          </cell>
          <cell r="AL55">
            <v>52349.522727272721</v>
          </cell>
          <cell r="AM55">
            <v>47648.477272727279</v>
          </cell>
        </row>
        <row r="56">
          <cell r="F56">
            <v>0</v>
          </cell>
          <cell r="G56">
            <v>0</v>
          </cell>
          <cell r="H56">
            <v>0</v>
          </cell>
          <cell r="P56">
            <v>0</v>
          </cell>
          <cell r="S56">
            <v>19250</v>
          </cell>
          <cell r="T56">
            <v>19250</v>
          </cell>
          <cell r="U56">
            <v>0</v>
          </cell>
          <cell r="X56">
            <v>44597</v>
          </cell>
          <cell r="Y56">
            <v>30041.25</v>
          </cell>
          <cell r="Z56">
            <v>14555.75</v>
          </cell>
          <cell r="AC56">
            <v>36151</v>
          </cell>
          <cell r="AD56">
            <v>22308.272727272721</v>
          </cell>
          <cell r="AE56">
            <v>13842.727272727279</v>
          </cell>
          <cell r="AF56">
            <v>0</v>
          </cell>
          <cell r="AG56">
            <v>0</v>
          </cell>
          <cell r="AH56">
            <v>0</v>
          </cell>
          <cell r="AI56">
            <v>0</v>
          </cell>
          <cell r="AK56">
            <v>99998</v>
          </cell>
          <cell r="AL56">
            <v>52349.522727272721</v>
          </cell>
          <cell r="AM56">
            <v>47648.477272727279</v>
          </cell>
        </row>
        <row r="57">
          <cell r="F57">
            <v>0</v>
          </cell>
          <cell r="G57">
            <v>0</v>
          </cell>
          <cell r="H57">
            <v>0</v>
          </cell>
          <cell r="T57">
            <v>0</v>
          </cell>
          <cell r="U57">
            <v>0</v>
          </cell>
          <cell r="AF57">
            <v>0</v>
          </cell>
          <cell r="AH57">
            <v>0</v>
          </cell>
          <cell r="AK57">
            <v>0</v>
          </cell>
          <cell r="AL57">
            <v>0</v>
          </cell>
          <cell r="AM57">
            <v>0</v>
          </cell>
        </row>
        <row r="58">
          <cell r="F58">
            <v>7</v>
          </cell>
          <cell r="G58">
            <v>3</v>
          </cell>
          <cell r="H58">
            <v>4</v>
          </cell>
          <cell r="P58">
            <v>25.536000000000001</v>
          </cell>
          <cell r="S58">
            <v>3238.2240000000002</v>
          </cell>
          <cell r="T58">
            <v>3238.2240000000002</v>
          </cell>
          <cell r="U58">
            <v>0</v>
          </cell>
          <cell r="X58">
            <v>0</v>
          </cell>
          <cell r="Y58">
            <v>0</v>
          </cell>
          <cell r="Z58">
            <v>0</v>
          </cell>
          <cell r="AC58">
            <v>0</v>
          </cell>
          <cell r="AD58">
            <v>0</v>
          </cell>
          <cell r="AE58">
            <v>0</v>
          </cell>
          <cell r="AF58">
            <v>625.84</v>
          </cell>
          <cell r="AG58">
            <v>301.55200000000002</v>
          </cell>
          <cell r="AH58">
            <v>324.28800000000001</v>
          </cell>
          <cell r="AK58">
            <v>3572.3120000000004</v>
          </cell>
          <cell r="AL58">
            <v>28.536000000000001</v>
          </cell>
          <cell r="AM58">
            <v>3543.7760000000003</v>
          </cell>
        </row>
        <row r="59">
          <cell r="F59">
            <v>369.45454545454538</v>
          </cell>
          <cell r="G59">
            <v>170</v>
          </cell>
          <cell r="H59">
            <v>199.45454545454538</v>
          </cell>
          <cell r="P59">
            <v>615.5454545454545</v>
          </cell>
          <cell r="S59">
            <v>1207.2727272727273</v>
          </cell>
          <cell r="T59">
            <v>591.56363636363631</v>
          </cell>
          <cell r="U59">
            <v>615.70909090909095</v>
          </cell>
          <cell r="X59">
            <v>411</v>
          </cell>
          <cell r="Y59">
            <v>178</v>
          </cell>
          <cell r="Z59">
            <v>233</v>
          </cell>
          <cell r="AC59">
            <v>335.09090909090912</v>
          </cell>
          <cell r="AD59">
            <v>128</v>
          </cell>
          <cell r="AE59">
            <v>207.09090909090912</v>
          </cell>
          <cell r="AF59">
            <v>1350</v>
          </cell>
          <cell r="AG59">
            <v>1134</v>
          </cell>
          <cell r="AH59">
            <v>216</v>
          </cell>
          <cell r="AI59">
            <v>692.36363636363637</v>
          </cell>
          <cell r="AK59">
            <v>5049.8181818181811</v>
          </cell>
          <cell r="AL59">
            <v>1479.1960183767228</v>
          </cell>
          <cell r="AM59">
            <v>3570.6221634414583</v>
          </cell>
        </row>
        <row r="60">
          <cell r="F60">
            <v>20</v>
          </cell>
          <cell r="G60">
            <v>9</v>
          </cell>
          <cell r="H60">
            <v>11</v>
          </cell>
          <cell r="P60">
            <v>34</v>
          </cell>
          <cell r="S60">
            <v>66</v>
          </cell>
          <cell r="T60">
            <v>33</v>
          </cell>
          <cell r="U60">
            <v>34</v>
          </cell>
          <cell r="X60">
            <v>23</v>
          </cell>
          <cell r="Y60">
            <v>10</v>
          </cell>
          <cell r="Z60">
            <v>13</v>
          </cell>
          <cell r="AC60">
            <v>18</v>
          </cell>
          <cell r="AD60">
            <v>7</v>
          </cell>
          <cell r="AE60">
            <v>11</v>
          </cell>
          <cell r="AF60">
            <v>74</v>
          </cell>
          <cell r="AG60">
            <v>62</v>
          </cell>
          <cell r="AH60">
            <v>12</v>
          </cell>
          <cell r="AI60">
            <v>38</v>
          </cell>
          <cell r="AK60">
            <v>276</v>
          </cell>
          <cell r="AL60">
            <v>81</v>
          </cell>
          <cell r="AM60">
            <v>195</v>
          </cell>
        </row>
        <row r="61">
          <cell r="F61">
            <v>118</v>
          </cell>
          <cell r="G61">
            <v>54</v>
          </cell>
          <cell r="H61">
            <v>64</v>
          </cell>
          <cell r="P61">
            <v>197</v>
          </cell>
          <cell r="S61">
            <v>386</v>
          </cell>
          <cell r="T61">
            <v>189</v>
          </cell>
          <cell r="U61">
            <v>197</v>
          </cell>
          <cell r="X61">
            <v>132</v>
          </cell>
          <cell r="Y61">
            <v>57</v>
          </cell>
          <cell r="Z61">
            <v>75</v>
          </cell>
          <cell r="AC61">
            <v>107</v>
          </cell>
          <cell r="AD61">
            <v>41</v>
          </cell>
          <cell r="AE61">
            <v>66</v>
          </cell>
          <cell r="AF61">
            <v>432</v>
          </cell>
          <cell r="AG61">
            <v>363</v>
          </cell>
          <cell r="AH61">
            <v>69</v>
          </cell>
          <cell r="AI61">
            <v>222</v>
          </cell>
          <cell r="AK61">
            <v>1616</v>
          </cell>
          <cell r="AL61">
            <v>473</v>
          </cell>
          <cell r="AM61">
            <v>1143</v>
          </cell>
        </row>
        <row r="62">
          <cell r="F62">
            <v>0</v>
          </cell>
          <cell r="G62">
            <v>0</v>
          </cell>
          <cell r="P62">
            <v>0</v>
          </cell>
          <cell r="X62">
            <v>0</v>
          </cell>
          <cell r="AH62">
            <v>0</v>
          </cell>
          <cell r="AK62">
            <v>0</v>
          </cell>
        </row>
        <row r="63">
          <cell r="F63">
            <v>87.333333333333329</v>
          </cell>
          <cell r="G63">
            <v>40</v>
          </cell>
          <cell r="H63">
            <v>47.333333333333329</v>
          </cell>
          <cell r="P63">
            <v>610</v>
          </cell>
          <cell r="S63">
            <v>1427</v>
          </cell>
          <cell r="T63">
            <v>228.32</v>
          </cell>
          <cell r="U63">
            <v>1198.68</v>
          </cell>
          <cell r="X63">
            <v>708</v>
          </cell>
          <cell r="Y63">
            <v>307</v>
          </cell>
          <cell r="Z63">
            <v>401</v>
          </cell>
          <cell r="AC63">
            <v>734</v>
          </cell>
          <cell r="AD63">
            <v>280</v>
          </cell>
          <cell r="AE63">
            <v>454</v>
          </cell>
          <cell r="AF63">
            <v>586.33333333333337</v>
          </cell>
          <cell r="AG63">
            <v>530.33333333333337</v>
          </cell>
          <cell r="AH63">
            <v>56</v>
          </cell>
          <cell r="AK63">
            <v>4108.666666666667</v>
          </cell>
          <cell r="AL63">
            <v>1248</v>
          </cell>
          <cell r="AM63">
            <v>2860.666666666667</v>
          </cell>
        </row>
        <row r="64">
          <cell r="G64">
            <v>0</v>
          </cell>
          <cell r="T64">
            <v>23</v>
          </cell>
          <cell r="U64">
            <v>120</v>
          </cell>
          <cell r="AH64">
            <v>0</v>
          </cell>
          <cell r="AI64">
            <v>0</v>
          </cell>
          <cell r="AJ64">
            <v>0</v>
          </cell>
          <cell r="AK64">
            <v>0</v>
          </cell>
        </row>
        <row r="65">
          <cell r="F65">
            <v>68</v>
          </cell>
          <cell r="G65">
            <v>31</v>
          </cell>
          <cell r="H65">
            <v>37</v>
          </cell>
          <cell r="P65">
            <v>554.95000000000005</v>
          </cell>
          <cell r="S65">
            <v>-65.706000000000017</v>
          </cell>
          <cell r="X65">
            <v>-121.73</v>
          </cell>
          <cell r="AC65">
            <v>-32.44</v>
          </cell>
          <cell r="AD65">
            <v>-12</v>
          </cell>
          <cell r="AF65">
            <v>491.25</v>
          </cell>
          <cell r="AG65">
            <v>491.25</v>
          </cell>
          <cell r="AH65">
            <v>0</v>
          </cell>
          <cell r="AK65">
            <v>897.66499999999996</v>
          </cell>
          <cell r="AL65">
            <v>586.95000000000005</v>
          </cell>
          <cell r="AM65">
            <v>310.71499999999992</v>
          </cell>
        </row>
        <row r="66">
          <cell r="F66">
            <v>0</v>
          </cell>
          <cell r="G66">
            <v>0</v>
          </cell>
          <cell r="P66">
            <v>0</v>
          </cell>
          <cell r="S66">
            <v>0</v>
          </cell>
          <cell r="X66">
            <v>0</v>
          </cell>
          <cell r="AC66">
            <v>0</v>
          </cell>
          <cell r="AD66">
            <v>0</v>
          </cell>
          <cell r="AF66">
            <v>0</v>
          </cell>
          <cell r="AG66">
            <v>0</v>
          </cell>
          <cell r="AH66">
            <v>0</v>
          </cell>
          <cell r="AK66">
            <v>0</v>
          </cell>
          <cell r="AL66">
            <v>0</v>
          </cell>
          <cell r="AM66">
            <v>0</v>
          </cell>
        </row>
        <row r="67">
          <cell r="F67">
            <v>19.333333333333329</v>
          </cell>
          <cell r="G67">
            <v>9</v>
          </cell>
          <cell r="H67">
            <v>10.333333333333329</v>
          </cell>
          <cell r="P67">
            <v>55.049999999999955</v>
          </cell>
          <cell r="S67">
            <v>1492.7060000000001</v>
          </cell>
          <cell r="T67">
            <v>205.32</v>
          </cell>
          <cell r="U67">
            <v>1078.68</v>
          </cell>
          <cell r="X67">
            <v>829.73</v>
          </cell>
          <cell r="Y67">
            <v>307</v>
          </cell>
          <cell r="Z67">
            <v>401</v>
          </cell>
          <cell r="AC67">
            <v>766.44</v>
          </cell>
          <cell r="AD67">
            <v>292</v>
          </cell>
          <cell r="AE67">
            <v>454</v>
          </cell>
          <cell r="AF67">
            <v>95.083333333333371</v>
          </cell>
          <cell r="AG67">
            <v>39.083333333333371</v>
          </cell>
          <cell r="AH67">
            <v>56</v>
          </cell>
          <cell r="AI67">
            <v>0</v>
          </cell>
          <cell r="AJ67">
            <v>0</v>
          </cell>
          <cell r="AK67">
            <v>3210.001666666667</v>
          </cell>
          <cell r="AL67">
            <v>661.05</v>
          </cell>
          <cell r="AM67">
            <v>2549.9516666666668</v>
          </cell>
        </row>
        <row r="68">
          <cell r="F68">
            <v>33.641999999999996</v>
          </cell>
          <cell r="G68">
            <v>15</v>
          </cell>
          <cell r="H68">
            <v>18.641999999999996</v>
          </cell>
          <cell r="P68">
            <v>200.1</v>
          </cell>
          <cell r="S68">
            <v>500.6</v>
          </cell>
          <cell r="T68">
            <v>125.15</v>
          </cell>
          <cell r="U68">
            <v>375.45000000000005</v>
          </cell>
          <cell r="X68">
            <v>370.27272727272725</v>
          </cell>
          <cell r="Y68">
            <v>161</v>
          </cell>
          <cell r="Z68">
            <v>209.27272727272725</v>
          </cell>
          <cell r="AC68">
            <v>296.89999999999998</v>
          </cell>
          <cell r="AD68">
            <v>113</v>
          </cell>
          <cell r="AE68">
            <v>183.89999999999998</v>
          </cell>
          <cell r="AF68">
            <v>1020.7636363636364</v>
          </cell>
          <cell r="AG68">
            <v>1020.7636363636364</v>
          </cell>
          <cell r="AH68">
            <v>0</v>
          </cell>
          <cell r="AK68">
            <v>2423.2783636363638</v>
          </cell>
          <cell r="AL68">
            <v>490.1</v>
          </cell>
          <cell r="AM68">
            <v>1933.1783636363639</v>
          </cell>
        </row>
        <row r="69">
          <cell r="F69">
            <v>0</v>
          </cell>
          <cell r="G69">
            <v>0</v>
          </cell>
          <cell r="H69">
            <v>0</v>
          </cell>
          <cell r="P69">
            <v>53</v>
          </cell>
          <cell r="S69">
            <v>296</v>
          </cell>
          <cell r="X69">
            <v>197.81818181818181</v>
          </cell>
          <cell r="Y69">
            <v>86</v>
          </cell>
          <cell r="Z69">
            <v>111.81818181818181</v>
          </cell>
          <cell r="AC69">
            <v>144</v>
          </cell>
          <cell r="AD69">
            <v>55</v>
          </cell>
          <cell r="AE69">
            <v>89</v>
          </cell>
          <cell r="AF69">
            <v>85.090909090909093</v>
          </cell>
          <cell r="AG69">
            <v>85.090909090909093</v>
          </cell>
          <cell r="AH69">
            <v>0</v>
          </cell>
          <cell r="AK69">
            <v>775.90909090909088</v>
          </cell>
          <cell r="AL69">
            <v>194</v>
          </cell>
          <cell r="AM69">
            <v>581.90909090909088</v>
          </cell>
        </row>
        <row r="70">
          <cell r="F70">
            <v>0</v>
          </cell>
          <cell r="G70">
            <v>0</v>
          </cell>
          <cell r="H70">
            <v>0</v>
          </cell>
          <cell r="P70">
            <v>3</v>
          </cell>
          <cell r="S70">
            <v>16</v>
          </cell>
          <cell r="X70">
            <v>11</v>
          </cell>
          <cell r="Y70">
            <v>5</v>
          </cell>
          <cell r="Z70">
            <v>6</v>
          </cell>
          <cell r="AC70">
            <v>8</v>
          </cell>
          <cell r="AD70">
            <v>3</v>
          </cell>
          <cell r="AE70">
            <v>5</v>
          </cell>
          <cell r="AF70">
            <v>5</v>
          </cell>
          <cell r="AG70">
            <v>5</v>
          </cell>
          <cell r="AH70">
            <v>0</v>
          </cell>
          <cell r="AK70">
            <v>43</v>
          </cell>
          <cell r="AL70">
            <v>11</v>
          </cell>
          <cell r="AM70">
            <v>32</v>
          </cell>
        </row>
        <row r="71">
          <cell r="F71">
            <v>0</v>
          </cell>
          <cell r="G71">
            <v>0</v>
          </cell>
          <cell r="H71">
            <v>0</v>
          </cell>
          <cell r="P71">
            <v>17</v>
          </cell>
          <cell r="S71">
            <v>95</v>
          </cell>
          <cell r="X71">
            <v>63</v>
          </cell>
          <cell r="Y71">
            <v>27</v>
          </cell>
          <cell r="Z71">
            <v>36</v>
          </cell>
          <cell r="AC71">
            <v>45</v>
          </cell>
          <cell r="AD71">
            <v>17</v>
          </cell>
          <cell r="AE71">
            <v>28</v>
          </cell>
          <cell r="AF71">
            <v>27</v>
          </cell>
          <cell r="AG71">
            <v>27</v>
          </cell>
          <cell r="AH71">
            <v>0</v>
          </cell>
          <cell r="AK71">
            <v>247</v>
          </cell>
          <cell r="AL71">
            <v>61</v>
          </cell>
          <cell r="AM71">
            <v>186</v>
          </cell>
        </row>
        <row r="72">
          <cell r="F72">
            <v>0</v>
          </cell>
          <cell r="G72">
            <v>0</v>
          </cell>
          <cell r="X72">
            <v>0</v>
          </cell>
          <cell r="AC72">
            <v>0</v>
          </cell>
          <cell r="AF72">
            <v>0</v>
          </cell>
          <cell r="AG72">
            <v>0</v>
          </cell>
          <cell r="AH72">
            <v>0</v>
          </cell>
          <cell r="AK72">
            <v>0</v>
          </cell>
          <cell r="AL72">
            <v>0</v>
          </cell>
          <cell r="AM72">
            <v>0</v>
          </cell>
        </row>
        <row r="73">
          <cell r="F73">
            <v>33.641999999999996</v>
          </cell>
          <cell r="G73">
            <v>15</v>
          </cell>
          <cell r="P73">
            <v>200.1</v>
          </cell>
          <cell r="S73">
            <v>500.6</v>
          </cell>
          <cell r="X73">
            <v>370.27272727272725</v>
          </cell>
          <cell r="Y73">
            <v>161</v>
          </cell>
          <cell r="Z73">
            <v>209.27272727272725</v>
          </cell>
          <cell r="AC73">
            <v>296.89999999999998</v>
          </cell>
          <cell r="AD73">
            <v>113</v>
          </cell>
          <cell r="AE73">
            <v>183.89999999999998</v>
          </cell>
          <cell r="AF73">
            <v>1020.7636363636364</v>
          </cell>
          <cell r="AG73">
            <v>1020.7636363636364</v>
          </cell>
          <cell r="AH73">
            <v>0</v>
          </cell>
          <cell r="AK73">
            <v>2423.2783636363638</v>
          </cell>
          <cell r="AL73">
            <v>499.1</v>
          </cell>
          <cell r="AM73">
            <v>1924.1783636363639</v>
          </cell>
        </row>
        <row r="74">
          <cell r="F74">
            <v>0</v>
          </cell>
          <cell r="G74">
            <v>0</v>
          </cell>
          <cell r="P74">
            <v>0</v>
          </cell>
          <cell r="S74">
            <v>0</v>
          </cell>
          <cell r="X74">
            <v>0</v>
          </cell>
          <cell r="Z74">
            <v>0</v>
          </cell>
          <cell r="AC74">
            <v>0</v>
          </cell>
          <cell r="AD74">
            <v>0</v>
          </cell>
          <cell r="AE74">
            <v>0</v>
          </cell>
          <cell r="AH74">
            <v>0</v>
          </cell>
          <cell r="AK74">
            <v>0</v>
          </cell>
          <cell r="AL74">
            <v>0</v>
          </cell>
          <cell r="AM74">
            <v>0</v>
          </cell>
        </row>
        <row r="75">
          <cell r="F75">
            <v>1093.1626666666668</v>
          </cell>
          <cell r="G75">
            <v>502</v>
          </cell>
          <cell r="H75">
            <v>591.16266666666672</v>
          </cell>
          <cell r="P75">
            <v>28.52</v>
          </cell>
          <cell r="S75">
            <v>78.16</v>
          </cell>
          <cell r="T75">
            <v>33.105600000000003</v>
          </cell>
          <cell r="U75">
            <v>45.054399999999994</v>
          </cell>
          <cell r="X75">
            <v>47.008000000000003</v>
          </cell>
          <cell r="Y75">
            <v>20</v>
          </cell>
          <cell r="Z75">
            <v>27.008000000000003</v>
          </cell>
          <cell r="AC75">
            <v>74.311999999999998</v>
          </cell>
          <cell r="AD75">
            <v>29</v>
          </cell>
          <cell r="AE75">
            <v>45.311999999999998</v>
          </cell>
          <cell r="AF75">
            <v>74.183999999999997</v>
          </cell>
          <cell r="AG75">
            <v>70.080000000000013</v>
          </cell>
          <cell r="AH75">
            <v>4.103999999999985</v>
          </cell>
          <cell r="AI75">
            <v>370</v>
          </cell>
          <cell r="AK75">
            <v>2154.9066666666668</v>
          </cell>
          <cell r="AL75">
            <v>804.52</v>
          </cell>
          <cell r="AM75">
            <v>1350.3866666666668</v>
          </cell>
        </row>
        <row r="76">
          <cell r="F76">
            <v>61.6666666666667</v>
          </cell>
          <cell r="G76">
            <v>28</v>
          </cell>
          <cell r="H76">
            <v>33.6666666666667</v>
          </cell>
          <cell r="P76">
            <v>0</v>
          </cell>
          <cell r="T76">
            <v>0</v>
          </cell>
          <cell r="U76">
            <v>0</v>
          </cell>
          <cell r="Y76">
            <v>0</v>
          </cell>
          <cell r="Z76">
            <v>0</v>
          </cell>
          <cell r="AE76">
            <v>0</v>
          </cell>
          <cell r="AH76">
            <v>0</v>
          </cell>
          <cell r="AK76">
            <v>61.6666666666667</v>
          </cell>
          <cell r="AL76">
            <v>28</v>
          </cell>
          <cell r="AM76">
            <v>33.6666666666667</v>
          </cell>
        </row>
        <row r="77">
          <cell r="F77">
            <v>1031.4960000000001</v>
          </cell>
          <cell r="G77">
            <v>474</v>
          </cell>
          <cell r="H77">
            <v>557.49599999999998</v>
          </cell>
          <cell r="P77">
            <v>28.52</v>
          </cell>
          <cell r="S77">
            <v>78.16</v>
          </cell>
          <cell r="T77">
            <v>33.105600000000003</v>
          </cell>
          <cell r="U77">
            <v>17.054400000000001</v>
          </cell>
          <cell r="X77">
            <v>47.008000000000003</v>
          </cell>
          <cell r="Y77">
            <v>20</v>
          </cell>
          <cell r="Z77">
            <v>27.008000000000003</v>
          </cell>
          <cell r="AC77">
            <v>74.311999999999998</v>
          </cell>
          <cell r="AD77">
            <v>29</v>
          </cell>
          <cell r="AE77">
            <v>45.311999999999998</v>
          </cell>
          <cell r="AF77">
            <v>74.183999999999997</v>
          </cell>
          <cell r="AG77">
            <v>70.080000000000013</v>
          </cell>
          <cell r="AH77">
            <v>4.1039999999999992</v>
          </cell>
          <cell r="AI77">
            <v>370</v>
          </cell>
          <cell r="AK77">
            <v>2093.2399999999998</v>
          </cell>
          <cell r="AL77">
            <v>776.52</v>
          </cell>
          <cell r="AM77">
            <v>1316.7199999999998</v>
          </cell>
        </row>
        <row r="78">
          <cell r="F78">
            <v>174.49600000000001</v>
          </cell>
          <cell r="G78">
            <v>80</v>
          </cell>
          <cell r="H78">
            <v>94.496000000000009</v>
          </cell>
          <cell r="P78">
            <v>20.52</v>
          </cell>
          <cell r="S78">
            <v>50.160000000000004</v>
          </cell>
          <cell r="T78">
            <v>33.105600000000003</v>
          </cell>
          <cell r="U78">
            <v>17.054400000000001</v>
          </cell>
          <cell r="X78">
            <v>31.008000000000003</v>
          </cell>
          <cell r="Y78">
            <v>13</v>
          </cell>
          <cell r="Z78">
            <v>18.008000000000003</v>
          </cell>
          <cell r="AC78">
            <v>12.312000000000001</v>
          </cell>
          <cell r="AD78">
            <v>5</v>
          </cell>
          <cell r="AE78">
            <v>7.3120000000000012</v>
          </cell>
          <cell r="AF78">
            <v>48.184000000000005</v>
          </cell>
          <cell r="AG78">
            <v>44.080000000000005</v>
          </cell>
          <cell r="AH78">
            <v>4.1039999999999992</v>
          </cell>
          <cell r="AK78">
            <v>599.57600000000002</v>
          </cell>
          <cell r="AL78">
            <v>257.52</v>
          </cell>
          <cell r="AM78">
            <v>342.05600000000004</v>
          </cell>
        </row>
        <row r="79">
          <cell r="F79">
            <v>0</v>
          </cell>
          <cell r="H79">
            <v>0</v>
          </cell>
          <cell r="P79">
            <v>0</v>
          </cell>
          <cell r="S79">
            <v>0</v>
          </cell>
          <cell r="Y79">
            <v>0</v>
          </cell>
          <cell r="Z79">
            <v>0</v>
          </cell>
          <cell r="AK79">
            <v>122.664</v>
          </cell>
          <cell r="AL79">
            <v>83</v>
          </cell>
          <cell r="AM79">
            <v>39.664000000000001</v>
          </cell>
        </row>
        <row r="80">
          <cell r="F80">
            <v>307</v>
          </cell>
          <cell r="G80">
            <v>141</v>
          </cell>
          <cell r="H80">
            <v>166</v>
          </cell>
          <cell r="P80">
            <v>3</v>
          </cell>
          <cell r="S80">
            <v>14</v>
          </cell>
          <cell r="X80">
            <v>-9</v>
          </cell>
          <cell r="Y80">
            <v>-4</v>
          </cell>
          <cell r="Z80">
            <v>-5</v>
          </cell>
          <cell r="AC80">
            <v>25</v>
          </cell>
          <cell r="AD80">
            <v>10</v>
          </cell>
          <cell r="AE80">
            <v>15</v>
          </cell>
          <cell r="AF80">
            <v>15</v>
          </cell>
          <cell r="AG80">
            <v>15</v>
          </cell>
          <cell r="AH80">
            <v>0</v>
          </cell>
          <cell r="AI80">
            <v>89</v>
          </cell>
          <cell r="AK80">
            <v>445</v>
          </cell>
          <cell r="AL80">
            <v>151</v>
          </cell>
          <cell r="AM80">
            <v>294</v>
          </cell>
        </row>
        <row r="81">
          <cell r="F81">
            <v>550</v>
          </cell>
          <cell r="G81">
            <v>253</v>
          </cell>
          <cell r="H81">
            <v>297</v>
          </cell>
          <cell r="P81">
            <v>5</v>
          </cell>
          <cell r="S81">
            <v>14</v>
          </cell>
          <cell r="X81">
            <v>25</v>
          </cell>
          <cell r="Y81">
            <v>11</v>
          </cell>
          <cell r="Z81">
            <v>14</v>
          </cell>
          <cell r="AC81">
            <v>37</v>
          </cell>
          <cell r="AD81">
            <v>14</v>
          </cell>
          <cell r="AE81">
            <v>23</v>
          </cell>
          <cell r="AF81">
            <v>11</v>
          </cell>
          <cell r="AG81">
            <v>11</v>
          </cell>
          <cell r="AH81">
            <v>0</v>
          </cell>
          <cell r="AI81">
            <v>281</v>
          </cell>
          <cell r="AK81">
            <v>926</v>
          </cell>
          <cell r="AL81">
            <v>285</v>
          </cell>
          <cell r="AM81">
            <v>641</v>
          </cell>
        </row>
        <row r="82">
          <cell r="F82">
            <v>0</v>
          </cell>
          <cell r="H82">
            <v>0</v>
          </cell>
          <cell r="Y82">
            <v>0</v>
          </cell>
          <cell r="Z82">
            <v>0</v>
          </cell>
          <cell r="AK82">
            <v>0</v>
          </cell>
          <cell r="AL82">
            <v>0</v>
          </cell>
          <cell r="AM82">
            <v>0</v>
          </cell>
        </row>
        <row r="83">
          <cell r="F83">
            <v>1</v>
          </cell>
          <cell r="G83">
            <v>0</v>
          </cell>
          <cell r="H83">
            <v>1</v>
          </cell>
          <cell r="P83">
            <v>3.1</v>
          </cell>
          <cell r="S83">
            <v>7.5</v>
          </cell>
          <cell r="X83">
            <v>3.1</v>
          </cell>
          <cell r="Y83">
            <v>1</v>
          </cell>
          <cell r="Z83">
            <v>2.1</v>
          </cell>
          <cell r="AC83">
            <v>1.7</v>
          </cell>
          <cell r="AF83">
            <v>4.8</v>
          </cell>
          <cell r="AH83">
            <v>0</v>
          </cell>
          <cell r="AK83">
            <v>1</v>
          </cell>
          <cell r="AL83">
            <v>0</v>
          </cell>
          <cell r="AM83">
            <v>1</v>
          </cell>
        </row>
        <row r="84">
          <cell r="F84">
            <v>1951.9685454545456</v>
          </cell>
          <cell r="G84">
            <v>895</v>
          </cell>
          <cell r="H84">
            <v>1056.9685454545454</v>
          </cell>
          <cell r="P84">
            <v>2295.8934545454545</v>
          </cell>
          <cell r="Q84">
            <v>0</v>
          </cell>
          <cell r="R84">
            <v>0</v>
          </cell>
          <cell r="S84">
            <v>27175.640727272727</v>
          </cell>
          <cell r="T84">
            <v>24329.410276363637</v>
          </cell>
          <cell r="U84">
            <v>2847.2304509090909</v>
          </cell>
          <cell r="X84">
            <v>47179.512727272733</v>
          </cell>
          <cell r="Y84">
            <v>31160.25</v>
          </cell>
          <cell r="Z84">
            <v>16019.262727272728</v>
          </cell>
          <cell r="AA84">
            <v>0</v>
          </cell>
          <cell r="AB84">
            <v>0</v>
          </cell>
          <cell r="AC84">
            <v>37890.270909090912</v>
          </cell>
          <cell r="AD84">
            <v>22972.272727272721</v>
          </cell>
          <cell r="AE84">
            <v>14917.99818181819</v>
          </cell>
          <cell r="AF84">
            <v>4586.3529696969699</v>
          </cell>
          <cell r="AG84">
            <v>3799.3289696969696</v>
          </cell>
          <cell r="AH84">
            <v>787.02400000000011</v>
          </cell>
          <cell r="AI84">
            <v>1322.3636363636365</v>
          </cell>
          <cell r="AK84">
            <v>122457.05387878788</v>
          </cell>
          <cell r="AL84">
            <v>58121.66674564944</v>
          </cell>
          <cell r="AM84">
            <v>64335.387133138429</v>
          </cell>
        </row>
        <row r="85">
          <cell r="F85">
            <v>369.45454545454538</v>
          </cell>
          <cell r="G85">
            <v>170</v>
          </cell>
          <cell r="H85">
            <v>199.45454545454538</v>
          </cell>
          <cell r="P85">
            <v>668.5454545454545</v>
          </cell>
          <cell r="Q85">
            <v>0</v>
          </cell>
          <cell r="R85">
            <v>0</v>
          </cell>
          <cell r="S85">
            <v>1503.2727272727273</v>
          </cell>
          <cell r="T85">
            <v>591.56363636363631</v>
          </cell>
          <cell r="U85">
            <v>615.70909090909095</v>
          </cell>
          <cell r="V85">
            <v>0</v>
          </cell>
          <cell r="W85">
            <v>0</v>
          </cell>
          <cell r="X85">
            <v>608.81818181818176</v>
          </cell>
          <cell r="Y85">
            <v>264</v>
          </cell>
          <cell r="Z85">
            <v>344.81818181818181</v>
          </cell>
          <cell r="AA85">
            <v>0</v>
          </cell>
          <cell r="AB85">
            <v>0</v>
          </cell>
          <cell r="AC85">
            <v>479.09090909090912</v>
          </cell>
          <cell r="AD85">
            <v>183</v>
          </cell>
          <cell r="AE85">
            <v>296.09090909090912</v>
          </cell>
          <cell r="AF85">
            <v>1435.090909090909</v>
          </cell>
          <cell r="AG85">
            <v>1219.090909090909</v>
          </cell>
          <cell r="AH85">
            <v>216</v>
          </cell>
          <cell r="AI85">
            <v>692.36363636363637</v>
          </cell>
          <cell r="AK85">
            <v>5825.7272727272721</v>
          </cell>
          <cell r="AL85">
            <v>1673.1960183767228</v>
          </cell>
          <cell r="AM85">
            <v>4152.5312543505488</v>
          </cell>
        </row>
        <row r="86">
          <cell r="AL86">
            <v>58046.067797563905</v>
          </cell>
        </row>
        <row r="87">
          <cell r="F87">
            <v>0</v>
          </cell>
          <cell r="G87">
            <v>0</v>
          </cell>
          <cell r="AK87">
            <v>0</v>
          </cell>
          <cell r="AL87">
            <v>0</v>
          </cell>
          <cell r="AM87">
            <v>0</v>
          </cell>
        </row>
        <row r="88">
          <cell r="F88">
            <v>1951.9685454545456</v>
          </cell>
          <cell r="G88">
            <v>895</v>
          </cell>
          <cell r="H88">
            <v>1056.9685454545454</v>
          </cell>
          <cell r="P88">
            <v>2295.8934545454545</v>
          </cell>
          <cell r="Q88">
            <v>0</v>
          </cell>
          <cell r="R88">
            <v>0</v>
          </cell>
          <cell r="S88">
            <v>27175.640727272727</v>
          </cell>
          <cell r="T88">
            <v>24329.410276363637</v>
          </cell>
          <cell r="U88">
            <v>2847.2304509090909</v>
          </cell>
          <cell r="V88">
            <v>0</v>
          </cell>
          <cell r="W88">
            <v>0</v>
          </cell>
          <cell r="X88">
            <v>47179.512727272733</v>
          </cell>
          <cell r="Y88">
            <v>31160.25</v>
          </cell>
          <cell r="Z88">
            <v>16019.262727272728</v>
          </cell>
          <cell r="AA88">
            <v>0</v>
          </cell>
          <cell r="AB88">
            <v>0</v>
          </cell>
          <cell r="AC88">
            <v>37890.270909090912</v>
          </cell>
          <cell r="AD88">
            <v>22972.272727272721</v>
          </cell>
          <cell r="AE88">
            <v>14917.99818181819</v>
          </cell>
          <cell r="AF88">
            <v>4586.3529696969699</v>
          </cell>
          <cell r="AG88">
            <v>3799.3289696969696</v>
          </cell>
          <cell r="AH88">
            <v>787.02400000000011</v>
          </cell>
          <cell r="AI88">
            <v>1322.3636363636365</v>
          </cell>
          <cell r="AK88">
            <v>122457.05387878788</v>
          </cell>
          <cell r="AL88">
            <v>58121.66674564944</v>
          </cell>
          <cell r="AM88">
            <v>64335.387133138429</v>
          </cell>
        </row>
        <row r="89">
          <cell r="F89">
            <v>0</v>
          </cell>
          <cell r="G89">
            <v>0</v>
          </cell>
          <cell r="H89">
            <v>0</v>
          </cell>
          <cell r="AH89">
            <v>0</v>
          </cell>
          <cell r="AM89">
            <v>0</v>
          </cell>
        </row>
        <row r="90">
          <cell r="F90">
            <v>1149</v>
          </cell>
          <cell r="G90">
            <v>559</v>
          </cell>
          <cell r="H90">
            <v>590</v>
          </cell>
          <cell r="AH90">
            <v>0</v>
          </cell>
          <cell r="AK90">
            <v>1149</v>
          </cell>
          <cell r="AL90">
            <v>559</v>
          </cell>
          <cell r="AM90">
            <v>590</v>
          </cell>
        </row>
        <row r="91">
          <cell r="F91">
            <v>600</v>
          </cell>
          <cell r="G91">
            <v>174</v>
          </cell>
          <cell r="H91">
            <v>426</v>
          </cell>
          <cell r="S91">
            <v>0</v>
          </cell>
          <cell r="T91">
            <v>0</v>
          </cell>
          <cell r="U91">
            <v>0</v>
          </cell>
          <cell r="X91">
            <v>0</v>
          </cell>
          <cell r="Y91">
            <v>0</v>
          </cell>
          <cell r="Z91">
            <v>0</v>
          </cell>
          <cell r="AA91">
            <v>0</v>
          </cell>
          <cell r="AB91">
            <v>0</v>
          </cell>
          <cell r="AC91">
            <v>0</v>
          </cell>
          <cell r="AD91">
            <v>0</v>
          </cell>
          <cell r="AE91">
            <v>0</v>
          </cell>
          <cell r="AF91">
            <v>0</v>
          </cell>
          <cell r="AG91">
            <v>0</v>
          </cell>
          <cell r="AH91">
            <v>0</v>
          </cell>
          <cell r="AK91">
            <v>600</v>
          </cell>
          <cell r="AL91">
            <v>174</v>
          </cell>
          <cell r="AM91">
            <v>426</v>
          </cell>
        </row>
        <row r="92">
          <cell r="F92">
            <v>14.666666666666666</v>
          </cell>
          <cell r="G92">
            <v>4</v>
          </cell>
          <cell r="H92">
            <v>10.666666666666666</v>
          </cell>
          <cell r="P92">
            <v>-60</v>
          </cell>
          <cell r="S92">
            <v>8</v>
          </cell>
          <cell r="X92">
            <v>36</v>
          </cell>
          <cell r="Y92">
            <v>16</v>
          </cell>
          <cell r="Z92">
            <v>20</v>
          </cell>
          <cell r="AC92">
            <v>26</v>
          </cell>
          <cell r="AD92">
            <v>16</v>
          </cell>
          <cell r="AE92">
            <v>10</v>
          </cell>
          <cell r="AF92">
            <v>12</v>
          </cell>
          <cell r="AG92">
            <v>11</v>
          </cell>
          <cell r="AH92">
            <v>1</v>
          </cell>
          <cell r="AI92">
            <v>7</v>
          </cell>
          <cell r="AK92">
            <v>35.666666666666664</v>
          </cell>
          <cell r="AL92">
            <v>-24</v>
          </cell>
          <cell r="AM92">
            <v>59.666666666666664</v>
          </cell>
        </row>
        <row r="95">
          <cell r="F95">
            <v>3715.6352121212121</v>
          </cell>
          <cell r="G95">
            <v>1632</v>
          </cell>
          <cell r="H95">
            <v>2083.6352121212117</v>
          </cell>
          <cell r="P95">
            <v>2235.8934545454545</v>
          </cell>
          <cell r="Q95">
            <v>0</v>
          </cell>
          <cell r="R95">
            <v>0</v>
          </cell>
          <cell r="S95">
            <v>27183.640727272727</v>
          </cell>
          <cell r="T95">
            <v>24329.410276363637</v>
          </cell>
          <cell r="U95">
            <v>2847.2304509090909</v>
          </cell>
          <cell r="V95">
            <v>0</v>
          </cell>
          <cell r="W95">
            <v>0</v>
          </cell>
          <cell r="X95">
            <v>47215.512727272733</v>
          </cell>
          <cell r="Y95">
            <v>31176.25</v>
          </cell>
          <cell r="Z95">
            <v>16039.262727272728</v>
          </cell>
          <cell r="AA95">
            <v>0</v>
          </cell>
          <cell r="AB95">
            <v>0</v>
          </cell>
          <cell r="AC95">
            <v>37916.270909090912</v>
          </cell>
          <cell r="AD95">
            <v>22988.272727272721</v>
          </cell>
          <cell r="AE95">
            <v>14927.99818181819</v>
          </cell>
          <cell r="AF95">
            <v>4597.3529696969699</v>
          </cell>
          <cell r="AG95">
            <v>3810.3289696969696</v>
          </cell>
          <cell r="AH95">
            <v>788.02400000000011</v>
          </cell>
          <cell r="AI95">
            <v>1329.3636363636365</v>
          </cell>
          <cell r="AJ95">
            <v>0</v>
          </cell>
          <cell r="AK95">
            <v>124241.72054545455</v>
          </cell>
          <cell r="AL95">
            <v>58830.66674564944</v>
          </cell>
          <cell r="AM95">
            <v>65411.053799805093</v>
          </cell>
        </row>
        <row r="96">
          <cell r="F96">
            <v>3715.6352121212121</v>
          </cell>
          <cell r="G96">
            <v>1632</v>
          </cell>
          <cell r="H96">
            <v>2083.6352121212117</v>
          </cell>
          <cell r="P96">
            <v>2235.8934545454545</v>
          </cell>
          <cell r="Q96">
            <v>0</v>
          </cell>
          <cell r="R96">
            <v>0</v>
          </cell>
          <cell r="S96">
            <v>7933.6407272727265</v>
          </cell>
          <cell r="T96">
            <v>5079.4102763636365</v>
          </cell>
          <cell r="U96">
            <v>2847.2304509090909</v>
          </cell>
          <cell r="V96">
            <v>0</v>
          </cell>
          <cell r="W96">
            <v>0</v>
          </cell>
          <cell r="X96">
            <v>2618.5127272727332</v>
          </cell>
          <cell r="Y96">
            <v>1135</v>
          </cell>
          <cell r="Z96">
            <v>1483.5127272727277</v>
          </cell>
          <cell r="AA96">
            <v>0</v>
          </cell>
          <cell r="AB96">
            <v>0</v>
          </cell>
          <cell r="AC96">
            <v>1765.270909090912</v>
          </cell>
          <cell r="AD96">
            <v>680</v>
          </cell>
          <cell r="AE96">
            <v>1085.2709090909102</v>
          </cell>
          <cell r="AF96">
            <v>4597.3529696969699</v>
          </cell>
          <cell r="AG96">
            <v>3810.3289696969696</v>
          </cell>
          <cell r="AH96">
            <v>788.02400000000011</v>
          </cell>
          <cell r="AI96">
            <v>1329.3636363636365</v>
          </cell>
          <cell r="AJ96">
            <v>0</v>
          </cell>
          <cell r="AK96">
            <v>24243.720545454547</v>
          </cell>
          <cell r="AL96">
            <v>6481.144018376719</v>
          </cell>
          <cell r="AM96">
            <v>17762.576527077814</v>
          </cell>
        </row>
        <row r="97">
          <cell r="F97">
            <v>674.74900000000002</v>
          </cell>
          <cell r="G97">
            <v>3715.6352121212117</v>
          </cell>
          <cell r="P97">
            <v>554.95000000000005</v>
          </cell>
          <cell r="S97">
            <v>-65.706000000000017</v>
          </cell>
          <cell r="X97">
            <v>-121.73</v>
          </cell>
          <cell r="Y97">
            <v>25490.454545454544</v>
          </cell>
          <cell r="AA97">
            <v>47215.512727272726</v>
          </cell>
          <cell r="AC97">
            <v>-32.44</v>
          </cell>
          <cell r="AD97">
            <v>37916.270909090912</v>
          </cell>
          <cell r="AF97">
            <v>491.25</v>
          </cell>
          <cell r="AG97">
            <v>491.25</v>
          </cell>
          <cell r="AH97">
            <v>0</v>
          </cell>
          <cell r="AI97">
            <v>459.13299999999998</v>
          </cell>
          <cell r="AJ97">
            <v>0</v>
          </cell>
          <cell r="AK97">
            <v>1963.5469999999998</v>
          </cell>
          <cell r="AL97">
            <v>122917.35690909091</v>
          </cell>
        </row>
        <row r="98">
          <cell r="F98">
            <v>68</v>
          </cell>
          <cell r="P98">
            <v>554.95000000000005</v>
          </cell>
          <cell r="S98">
            <v>-65.706000000000017</v>
          </cell>
          <cell r="X98">
            <v>-121.73</v>
          </cell>
          <cell r="AC98">
            <v>-32.44</v>
          </cell>
          <cell r="AF98">
            <v>491.25</v>
          </cell>
          <cell r="AG98">
            <v>491.25</v>
          </cell>
          <cell r="AH98">
            <v>0</v>
          </cell>
          <cell r="AI98">
            <v>391.28499999999997</v>
          </cell>
          <cell r="AK98">
            <v>1288.95</v>
          </cell>
          <cell r="AL98">
            <v>124241.72054545453</v>
          </cell>
          <cell r="AM98">
            <v>58755.067797563897</v>
          </cell>
        </row>
        <row r="99">
          <cell r="F99">
            <v>0</v>
          </cell>
          <cell r="P99">
            <v>0</v>
          </cell>
          <cell r="X99">
            <v>0</v>
          </cell>
          <cell r="AK99">
            <v>0</v>
          </cell>
        </row>
        <row r="100">
          <cell r="F100">
            <v>606.74900000000002</v>
          </cell>
          <cell r="P100">
            <v>0</v>
          </cell>
          <cell r="S100">
            <v>0</v>
          </cell>
          <cell r="X100">
            <v>0</v>
          </cell>
          <cell r="AC100">
            <v>0</v>
          </cell>
          <cell r="AF100">
            <v>0</v>
          </cell>
          <cell r="AG100">
            <v>0</v>
          </cell>
          <cell r="AH100">
            <v>0</v>
          </cell>
          <cell r="AI100">
            <v>67.847999999999999</v>
          </cell>
          <cell r="AK100">
            <v>674.59699999999998</v>
          </cell>
        </row>
        <row r="101">
          <cell r="P101">
            <v>0</v>
          </cell>
          <cell r="S101">
            <v>0</v>
          </cell>
        </row>
        <row r="102">
          <cell r="S102">
            <v>0</v>
          </cell>
          <cell r="X102">
            <v>0</v>
          </cell>
        </row>
        <row r="104">
          <cell r="AK104">
            <v>0</v>
          </cell>
        </row>
        <row r="105">
          <cell r="AK105">
            <v>0</v>
          </cell>
        </row>
        <row r="106">
          <cell r="F106">
            <v>842.31700000000001</v>
          </cell>
          <cell r="G106">
            <v>244</v>
          </cell>
          <cell r="H106">
            <v>598.31700000000001</v>
          </cell>
          <cell r="P106">
            <v>0.19200000000000017</v>
          </cell>
          <cell r="S106">
            <v>-0.32000000000000028</v>
          </cell>
          <cell r="X106">
            <v>-0.3360000000000003</v>
          </cell>
          <cell r="AC106">
            <v>0.28000000000000114</v>
          </cell>
          <cell r="AF106">
            <v>0.35200000000000031</v>
          </cell>
          <cell r="AG106">
            <v>0.35200000000000031</v>
          </cell>
          <cell r="AH106">
            <v>0</v>
          </cell>
          <cell r="AI106">
            <v>156.40800000000002</v>
          </cell>
          <cell r="AK106">
            <v>998.95699999999988</v>
          </cell>
        </row>
        <row r="107">
          <cell r="F107">
            <v>606.74900000000002</v>
          </cell>
          <cell r="G107">
            <v>176</v>
          </cell>
          <cell r="H107">
            <v>430.74900000000002</v>
          </cell>
          <cell r="P107">
            <v>0</v>
          </cell>
          <cell r="S107">
            <v>0</v>
          </cell>
          <cell r="X107">
            <v>0</v>
          </cell>
          <cell r="AC107">
            <v>0</v>
          </cell>
          <cell r="AF107">
            <v>0</v>
          </cell>
          <cell r="AG107">
            <v>0</v>
          </cell>
          <cell r="AH107">
            <v>0</v>
          </cell>
          <cell r="AI107">
            <v>67.847999999999999</v>
          </cell>
          <cell r="AK107">
            <v>674.59699999999998</v>
          </cell>
        </row>
        <row r="108">
          <cell r="F108">
            <v>236</v>
          </cell>
          <cell r="G108">
            <v>68</v>
          </cell>
          <cell r="H108">
            <v>168</v>
          </cell>
          <cell r="P108">
            <v>0</v>
          </cell>
          <cell r="S108">
            <v>0</v>
          </cell>
          <cell r="X108">
            <v>0</v>
          </cell>
          <cell r="AC108">
            <v>0</v>
          </cell>
          <cell r="AF108">
            <v>0</v>
          </cell>
          <cell r="AG108">
            <v>0</v>
          </cell>
          <cell r="AH108">
            <v>0</v>
          </cell>
          <cell r="AI108">
            <v>0</v>
          </cell>
          <cell r="AK108">
            <v>236</v>
          </cell>
        </row>
        <row r="109">
          <cell r="F109">
            <v>-0.43200000000001637</v>
          </cell>
          <cell r="G109">
            <v>0</v>
          </cell>
          <cell r="H109">
            <v>-0.43200000000001637</v>
          </cell>
          <cell r="P109">
            <v>0.19200000000000017</v>
          </cell>
          <cell r="S109">
            <v>-0.32000000000000028</v>
          </cell>
          <cell r="X109">
            <v>-0.3360000000000003</v>
          </cell>
          <cell r="AC109">
            <v>0.28000000000000114</v>
          </cell>
          <cell r="AF109">
            <v>0.35200000000000031</v>
          </cell>
          <cell r="AG109">
            <v>0.35200000000000031</v>
          </cell>
          <cell r="AH109">
            <v>0</v>
          </cell>
          <cell r="AI109">
            <v>88.560000000000016</v>
          </cell>
          <cell r="AK109">
            <v>88.36</v>
          </cell>
          <cell r="AL109">
            <v>25.641990811638593</v>
          </cell>
          <cell r="AM109">
            <v>62.718009188361407</v>
          </cell>
        </row>
        <row r="110">
          <cell r="F110">
            <v>560.5</v>
          </cell>
          <cell r="G110">
            <v>163</v>
          </cell>
          <cell r="H110">
            <v>397.5</v>
          </cell>
          <cell r="P110">
            <v>0.20800000000000018</v>
          </cell>
          <cell r="S110">
            <v>30.603999999999999</v>
          </cell>
          <cell r="X110">
            <v>-0.42800000000000082</v>
          </cell>
          <cell r="AC110">
            <v>30.067999999999998</v>
          </cell>
          <cell r="AF110">
            <v>0.28399999999999892</v>
          </cell>
          <cell r="AG110">
            <v>0.28399999999999892</v>
          </cell>
          <cell r="AH110">
            <v>0</v>
          </cell>
          <cell r="AI110">
            <v>336.596</v>
          </cell>
          <cell r="AK110">
            <v>957.43600000000004</v>
          </cell>
        </row>
        <row r="111">
          <cell r="F111">
            <v>561</v>
          </cell>
          <cell r="G111">
            <v>163</v>
          </cell>
          <cell r="H111">
            <v>398</v>
          </cell>
          <cell r="P111">
            <v>0</v>
          </cell>
          <cell r="S111">
            <v>30.84</v>
          </cell>
          <cell r="AC111">
            <v>0</v>
          </cell>
          <cell r="AF111">
            <v>0</v>
          </cell>
          <cell r="AG111">
            <v>0</v>
          </cell>
          <cell r="AH111">
            <v>0</v>
          </cell>
          <cell r="AI111">
            <v>56</v>
          </cell>
          <cell r="AK111">
            <v>647.84</v>
          </cell>
        </row>
        <row r="112">
          <cell r="F112">
            <v>-0.5</v>
          </cell>
          <cell r="G112">
            <v>0</v>
          </cell>
          <cell r="H112">
            <v>-0.5</v>
          </cell>
          <cell r="P112">
            <v>0.20800000000000018</v>
          </cell>
          <cell r="S112">
            <v>-0.23600000000000065</v>
          </cell>
          <cell r="X112">
            <v>-0.42800000000000082</v>
          </cell>
          <cell r="AC112">
            <v>30.067999999999998</v>
          </cell>
          <cell r="AF112">
            <v>0.28399999999999892</v>
          </cell>
          <cell r="AG112">
            <v>0.28399999999999892</v>
          </cell>
          <cell r="AH112">
            <v>0</v>
          </cell>
          <cell r="AI112">
            <v>280.596</v>
          </cell>
          <cell r="AK112">
            <v>309.596</v>
          </cell>
          <cell r="AL112">
            <v>89.844474732006134</v>
          </cell>
          <cell r="AM112">
            <v>219.75152526799388</v>
          </cell>
        </row>
        <row r="113">
          <cell r="F113">
            <v>0</v>
          </cell>
          <cell r="G113">
            <v>0</v>
          </cell>
          <cell r="H113">
            <v>0</v>
          </cell>
          <cell r="P113">
            <v>0</v>
          </cell>
          <cell r="S113">
            <v>64.25</v>
          </cell>
          <cell r="AC113">
            <v>0</v>
          </cell>
          <cell r="AF113">
            <v>0</v>
          </cell>
          <cell r="AG113">
            <v>0</v>
          </cell>
          <cell r="AH113">
            <v>0</v>
          </cell>
          <cell r="AK113">
            <v>64.25</v>
          </cell>
          <cell r="AM113">
            <v>0</v>
          </cell>
        </row>
        <row r="114">
          <cell r="F114">
            <v>0</v>
          </cell>
          <cell r="G114">
            <v>0</v>
          </cell>
          <cell r="H114">
            <v>0</v>
          </cell>
          <cell r="P114">
            <v>0</v>
          </cell>
          <cell r="S114">
            <v>64.25</v>
          </cell>
          <cell r="AH114">
            <v>0</v>
          </cell>
          <cell r="AK114">
            <v>64.25</v>
          </cell>
        </row>
        <row r="115">
          <cell r="F115">
            <v>0</v>
          </cell>
          <cell r="G115">
            <v>0</v>
          </cell>
          <cell r="H115">
            <v>0</v>
          </cell>
          <cell r="P115">
            <v>0</v>
          </cell>
          <cell r="S115">
            <v>0</v>
          </cell>
          <cell r="X115">
            <v>0</v>
          </cell>
          <cell r="AC115">
            <v>0</v>
          </cell>
          <cell r="AF115">
            <v>0</v>
          </cell>
          <cell r="AG115">
            <v>0</v>
          </cell>
          <cell r="AH115">
            <v>0</v>
          </cell>
          <cell r="AK115">
            <v>0</v>
          </cell>
          <cell r="AL115">
            <v>0</v>
          </cell>
          <cell r="AM115">
            <v>0</v>
          </cell>
        </row>
        <row r="116">
          <cell r="G116">
            <v>0</v>
          </cell>
          <cell r="H116">
            <v>0</v>
          </cell>
          <cell r="P116">
            <v>0</v>
          </cell>
          <cell r="S116">
            <v>0</v>
          </cell>
          <cell r="X116">
            <v>0</v>
          </cell>
          <cell r="AC116">
            <v>0</v>
          </cell>
          <cell r="AF116">
            <v>0</v>
          </cell>
          <cell r="AG116">
            <v>0</v>
          </cell>
          <cell r="AH116">
            <v>0</v>
          </cell>
          <cell r="AK116">
            <v>0</v>
          </cell>
        </row>
        <row r="117">
          <cell r="F117">
            <v>0</v>
          </cell>
          <cell r="G117">
            <v>0</v>
          </cell>
          <cell r="H117">
            <v>0</v>
          </cell>
          <cell r="P117">
            <v>0</v>
          </cell>
          <cell r="S117">
            <v>0</v>
          </cell>
          <cell r="X117">
            <v>0</v>
          </cell>
          <cell r="AC117">
            <v>0</v>
          </cell>
          <cell r="AF117">
            <v>0</v>
          </cell>
          <cell r="AG117">
            <v>0</v>
          </cell>
          <cell r="AH117">
            <v>0</v>
          </cell>
          <cell r="AI117">
            <v>952</v>
          </cell>
          <cell r="AK117">
            <v>952</v>
          </cell>
          <cell r="AL117">
            <v>276.26952526799386</v>
          </cell>
          <cell r="AM117">
            <v>675.73047473200609</v>
          </cell>
        </row>
        <row r="118">
          <cell r="F118">
            <v>0</v>
          </cell>
          <cell r="P118">
            <v>0</v>
          </cell>
          <cell r="X118">
            <v>0</v>
          </cell>
          <cell r="AC118">
            <v>0</v>
          </cell>
          <cell r="AF118">
            <v>0</v>
          </cell>
          <cell r="AG118">
            <v>0</v>
          </cell>
          <cell r="AH118">
            <v>0</v>
          </cell>
          <cell r="AI118">
            <v>6.7</v>
          </cell>
          <cell r="AK118">
            <v>6.7</v>
          </cell>
        </row>
        <row r="119">
          <cell r="F119">
            <v>516.33333333333337</v>
          </cell>
          <cell r="AK119">
            <v>516.33333333333337</v>
          </cell>
        </row>
        <row r="120">
          <cell r="F120">
            <v>0</v>
          </cell>
          <cell r="S120">
            <v>0</v>
          </cell>
          <cell r="X120">
            <v>0</v>
          </cell>
          <cell r="AF120">
            <v>0</v>
          </cell>
          <cell r="AK120">
            <v>0</v>
          </cell>
        </row>
        <row r="121">
          <cell r="F121">
            <v>4483.4666666666662</v>
          </cell>
          <cell r="AK121">
            <v>4483.4666666666662</v>
          </cell>
        </row>
        <row r="122">
          <cell r="F122">
            <v>0</v>
          </cell>
          <cell r="AK122">
            <v>0</v>
          </cell>
        </row>
        <row r="123">
          <cell r="F123">
            <v>-13094</v>
          </cell>
          <cell r="AK123">
            <v>-13094</v>
          </cell>
          <cell r="AL123">
            <v>-17847.22298181818</v>
          </cell>
        </row>
        <row r="124">
          <cell r="F124">
            <v>0</v>
          </cell>
          <cell r="AK124">
            <v>-3990</v>
          </cell>
        </row>
        <row r="125">
          <cell r="F125">
            <v>6402.6170000000002</v>
          </cell>
          <cell r="G125">
            <v>407</v>
          </cell>
          <cell r="H125">
            <v>995.81700000000001</v>
          </cell>
          <cell r="P125">
            <v>0.40000000000000036</v>
          </cell>
          <cell r="Q125">
            <v>0</v>
          </cell>
          <cell r="R125">
            <v>0</v>
          </cell>
          <cell r="S125">
            <v>94.533999999999992</v>
          </cell>
          <cell r="T125">
            <v>0</v>
          </cell>
          <cell r="U125">
            <v>0</v>
          </cell>
          <cell r="V125">
            <v>0</v>
          </cell>
          <cell r="W125">
            <v>0</v>
          </cell>
          <cell r="X125">
            <v>0.23599999999999888</v>
          </cell>
          <cell r="Y125">
            <v>0</v>
          </cell>
          <cell r="Z125">
            <v>0</v>
          </cell>
          <cell r="AA125">
            <v>0</v>
          </cell>
          <cell r="AB125">
            <v>0</v>
          </cell>
          <cell r="AC125">
            <v>30.347999999999999</v>
          </cell>
          <cell r="AD125">
            <v>0</v>
          </cell>
          <cell r="AE125">
            <v>0</v>
          </cell>
          <cell r="AF125">
            <v>0.63599999999999923</v>
          </cell>
          <cell r="AG125">
            <v>0.63599999999999923</v>
          </cell>
          <cell r="AH125">
            <v>0</v>
          </cell>
          <cell r="AI125">
            <v>1451.704</v>
          </cell>
          <cell r="AJ125">
            <v>0</v>
          </cell>
          <cell r="AK125">
            <v>7979.143</v>
          </cell>
        </row>
        <row r="126">
          <cell r="F126">
            <v>6402.6170000000002</v>
          </cell>
          <cell r="G126">
            <v>407</v>
          </cell>
          <cell r="H126">
            <v>995.81700000000001</v>
          </cell>
          <cell r="P126">
            <v>0.40000000000000036</v>
          </cell>
          <cell r="S126">
            <v>94.533999999999992</v>
          </cell>
          <cell r="X126">
            <v>-0.76400000000000112</v>
          </cell>
          <cell r="Y126">
            <v>0</v>
          </cell>
          <cell r="Z126">
            <v>0</v>
          </cell>
          <cell r="AC126">
            <v>30.347999999999999</v>
          </cell>
          <cell r="AD126">
            <v>0</v>
          </cell>
          <cell r="AE126">
            <v>0</v>
          </cell>
          <cell r="AF126">
            <v>0.63599999999999923</v>
          </cell>
          <cell r="AG126">
            <v>0.63599999999999923</v>
          </cell>
          <cell r="AH126">
            <v>0</v>
          </cell>
          <cell r="AI126">
            <v>1451.7040000000002</v>
          </cell>
          <cell r="AJ126">
            <v>0</v>
          </cell>
          <cell r="AK126">
            <v>-5114.857</v>
          </cell>
        </row>
        <row r="127">
          <cell r="AK127">
            <v>-9868.0799818181822</v>
          </cell>
          <cell r="AL127">
            <v>7980.1429999999991</v>
          </cell>
        </row>
        <row r="128">
          <cell r="AK128">
            <v>0</v>
          </cell>
        </row>
        <row r="129">
          <cell r="AK129">
            <v>-8466.4705454545474</v>
          </cell>
          <cell r="AL129">
            <v>-2928.6667456494397</v>
          </cell>
          <cell r="AM129">
            <v>-6403.0537998050931</v>
          </cell>
        </row>
        <row r="131">
          <cell r="AK131">
            <v>-2588.3905636363647</v>
          </cell>
        </row>
        <row r="134">
          <cell r="AK134">
            <v>59008</v>
          </cell>
          <cell r="AM134">
            <v>59008</v>
          </cell>
        </row>
        <row r="135">
          <cell r="AK135">
            <v>-6403.0537998050931</v>
          </cell>
        </row>
        <row r="136">
          <cell r="AK136">
            <v>35.549999999999997</v>
          </cell>
        </row>
        <row r="137">
          <cell r="AK137">
            <v>39.4</v>
          </cell>
        </row>
        <row r="138">
          <cell r="AK138">
            <v>0</v>
          </cell>
        </row>
        <row r="140">
          <cell r="AK140">
            <v>11.69</v>
          </cell>
        </row>
        <row r="142">
          <cell r="AJ142">
            <v>0</v>
          </cell>
          <cell r="AK142">
            <v>12.3</v>
          </cell>
        </row>
        <row r="143">
          <cell r="AK143">
            <v>55902</v>
          </cell>
          <cell r="AL143">
            <v>55902</v>
          </cell>
        </row>
        <row r="145">
          <cell r="AJ145">
            <v>300</v>
          </cell>
        </row>
        <row r="146">
          <cell r="AK146">
            <v>11398.775714285715</v>
          </cell>
          <cell r="AL146">
            <v>16936.579514090809</v>
          </cell>
          <cell r="AM146">
            <v>-6403.0537998050931</v>
          </cell>
        </row>
        <row r="147">
          <cell r="S147">
            <v>0</v>
          </cell>
          <cell r="AH147">
            <v>7980.143</v>
          </cell>
          <cell r="AK147">
            <v>865.25</v>
          </cell>
          <cell r="AL147">
            <v>10533.525714285715</v>
          </cell>
        </row>
        <row r="149">
          <cell r="AJ149">
            <v>0</v>
          </cell>
          <cell r="AK149">
            <v>114910</v>
          </cell>
          <cell r="AL149">
            <v>55902</v>
          </cell>
          <cell r="AM149">
            <v>59008</v>
          </cell>
        </row>
        <row r="150">
          <cell r="AK150">
            <v>0</v>
          </cell>
        </row>
        <row r="151">
          <cell r="AK151">
            <v>114910</v>
          </cell>
          <cell r="AL151">
            <v>55902</v>
          </cell>
          <cell r="AM151">
            <v>59008</v>
          </cell>
        </row>
        <row r="152">
          <cell r="AK152">
            <v>134775.24625974026</v>
          </cell>
          <cell r="AL152">
            <v>75767.246259740248</v>
          </cell>
          <cell r="AM152">
            <v>59008</v>
          </cell>
        </row>
        <row r="153">
          <cell r="AK153">
            <v>-6.8</v>
          </cell>
          <cell r="AL153">
            <v>-5</v>
          </cell>
          <cell r="AM153">
            <v>-9.8000000000000007</v>
          </cell>
        </row>
        <row r="154">
          <cell r="AK154">
            <v>9.1746763198722832</v>
          </cell>
          <cell r="AL154">
            <v>28.788692107323904</v>
          </cell>
          <cell r="AM154">
            <v>-9.7889476286409742</v>
          </cell>
        </row>
        <row r="155">
          <cell r="AL155">
            <v>15.84425894181101</v>
          </cell>
          <cell r="AM155">
            <v>35.546987951807232</v>
          </cell>
        </row>
        <row r="157">
          <cell r="F157">
            <v>0</v>
          </cell>
          <cell r="P157">
            <v>0</v>
          </cell>
          <cell r="S157">
            <v>0</v>
          </cell>
          <cell r="X157">
            <v>0</v>
          </cell>
          <cell r="AC157">
            <v>0</v>
          </cell>
          <cell r="AI157">
            <v>0</v>
          </cell>
          <cell r="AJ157">
            <v>142</v>
          </cell>
          <cell r="AK157">
            <v>0</v>
          </cell>
        </row>
        <row r="158">
          <cell r="F158">
            <v>269.642</v>
          </cell>
          <cell r="P158">
            <v>200.1</v>
          </cell>
          <cell r="S158">
            <v>500.6</v>
          </cell>
          <cell r="X158">
            <v>370.27272727272725</v>
          </cell>
          <cell r="AC158">
            <v>296.89999999999998</v>
          </cell>
          <cell r="AF158">
            <v>1020.7636363636364</v>
          </cell>
          <cell r="AG158">
            <v>1020.7636363636364</v>
          </cell>
          <cell r="AH158">
            <v>0</v>
          </cell>
          <cell r="AI158">
            <v>132.79999999999998</v>
          </cell>
          <cell r="AK158">
            <v>2791.078363636364</v>
          </cell>
        </row>
        <row r="159">
          <cell r="F159">
            <v>269.642</v>
          </cell>
          <cell r="P159">
            <v>48</v>
          </cell>
          <cell r="S159">
            <v>64.5</v>
          </cell>
          <cell r="X159">
            <v>82.5</v>
          </cell>
          <cell r="AC159">
            <v>75</v>
          </cell>
          <cell r="AF159">
            <v>90</v>
          </cell>
          <cell r="AG159">
            <v>90</v>
          </cell>
          <cell r="AH159">
            <v>0</v>
          </cell>
          <cell r="AK159">
            <v>629.64200000000005</v>
          </cell>
        </row>
        <row r="160">
          <cell r="F160">
            <v>269.642</v>
          </cell>
          <cell r="P160">
            <v>12</v>
          </cell>
          <cell r="S160">
            <v>27.9</v>
          </cell>
          <cell r="X160">
            <v>14.7</v>
          </cell>
          <cell r="AC160">
            <v>19.5</v>
          </cell>
          <cell r="AF160">
            <v>9</v>
          </cell>
          <cell r="AG160">
            <v>9</v>
          </cell>
          <cell r="AH160">
            <v>0</v>
          </cell>
          <cell r="AI160">
            <v>125</v>
          </cell>
          <cell r="AK160">
            <v>477.74199999999996</v>
          </cell>
        </row>
        <row r="161">
          <cell r="AK161">
            <v>0</v>
          </cell>
        </row>
        <row r="162">
          <cell r="AK162">
            <v>0</v>
          </cell>
        </row>
        <row r="163">
          <cell r="F163">
            <v>14.170833333333334</v>
          </cell>
          <cell r="AK163">
            <v>14.170833333333334</v>
          </cell>
        </row>
        <row r="164">
          <cell r="P164">
            <v>73</v>
          </cell>
          <cell r="S164">
            <v>407</v>
          </cell>
          <cell r="X164">
            <v>271.81818181818181</v>
          </cell>
          <cell r="AC164">
            <v>197</v>
          </cell>
          <cell r="AF164">
            <v>117.09090909090909</v>
          </cell>
          <cell r="AG164">
            <v>117.09090909090909</v>
          </cell>
          <cell r="AK164">
            <v>1065.9090909090908</v>
          </cell>
        </row>
        <row r="165">
          <cell r="F165">
            <v>-189.358</v>
          </cell>
          <cell r="S165">
            <v>93.600000000000023</v>
          </cell>
          <cell r="X165">
            <v>98.454545454545439</v>
          </cell>
          <cell r="AC165">
            <v>99.899999999999977</v>
          </cell>
          <cell r="AK165">
            <v>102.59654545454543</v>
          </cell>
        </row>
        <row r="166">
          <cell r="S166">
            <v>500.6</v>
          </cell>
          <cell r="X166">
            <v>370.27272727272725</v>
          </cell>
          <cell r="AC166">
            <v>296.89999999999998</v>
          </cell>
        </row>
        <row r="167">
          <cell r="F167">
            <v>459</v>
          </cell>
          <cell r="P167">
            <v>0</v>
          </cell>
          <cell r="S167">
            <v>0</v>
          </cell>
          <cell r="X167">
            <v>0</v>
          </cell>
          <cell r="AC167">
            <v>0</v>
          </cell>
          <cell r="AK167">
            <v>459</v>
          </cell>
        </row>
        <row r="168">
          <cell r="S168">
            <v>0</v>
          </cell>
          <cell r="X168">
            <v>0</v>
          </cell>
          <cell r="AC168">
            <v>0</v>
          </cell>
          <cell r="AF168">
            <v>0</v>
          </cell>
          <cell r="AG168">
            <v>0</v>
          </cell>
          <cell r="AH168">
            <v>0</v>
          </cell>
          <cell r="AK168">
            <v>0</v>
          </cell>
        </row>
        <row r="169">
          <cell r="F169">
            <v>674.74900000000002</v>
          </cell>
          <cell r="G169">
            <v>3715.6352121212117</v>
          </cell>
          <cell r="H169">
            <v>0</v>
          </cell>
          <cell r="P169">
            <v>554.95000000000005</v>
          </cell>
          <cell r="Q169">
            <v>0</v>
          </cell>
          <cell r="R169">
            <v>0</v>
          </cell>
          <cell r="S169">
            <v>29.383999999999986</v>
          </cell>
          <cell r="T169">
            <v>0</v>
          </cell>
          <cell r="U169">
            <v>0</v>
          </cell>
          <cell r="V169">
            <v>0</v>
          </cell>
          <cell r="W169">
            <v>0</v>
          </cell>
          <cell r="X169">
            <v>-121.73</v>
          </cell>
          <cell r="Y169">
            <v>0</v>
          </cell>
          <cell r="Z169">
            <v>0</v>
          </cell>
          <cell r="AA169">
            <v>47215.512727272726</v>
          </cell>
          <cell r="AB169">
            <v>0</v>
          </cell>
          <cell r="AC169">
            <v>-32.44</v>
          </cell>
          <cell r="AD169">
            <v>37916.270909090912</v>
          </cell>
          <cell r="AE169">
            <v>0</v>
          </cell>
          <cell r="AF169">
            <v>491.25</v>
          </cell>
          <cell r="AG169">
            <v>491.25</v>
          </cell>
          <cell r="AH169">
            <v>0</v>
          </cell>
          <cell r="AI169">
            <v>515.13300000000004</v>
          </cell>
          <cell r="AJ169">
            <v>0</v>
          </cell>
          <cell r="AK169">
            <v>2114.6369999999997</v>
          </cell>
        </row>
        <row r="170">
          <cell r="F170">
            <v>674.74900000000002</v>
          </cell>
          <cell r="G170">
            <v>3715.6352121212117</v>
          </cell>
          <cell r="H170">
            <v>0</v>
          </cell>
          <cell r="P170">
            <v>554.95000000000005</v>
          </cell>
          <cell r="Q170">
            <v>0</v>
          </cell>
          <cell r="R170">
            <v>0</v>
          </cell>
          <cell r="S170">
            <v>-34.866000000000014</v>
          </cell>
          <cell r="T170">
            <v>0</v>
          </cell>
          <cell r="U170">
            <v>0</v>
          </cell>
          <cell r="V170">
            <v>0</v>
          </cell>
          <cell r="W170">
            <v>0</v>
          </cell>
          <cell r="X170">
            <v>-121.73</v>
          </cell>
          <cell r="Y170">
            <v>0</v>
          </cell>
          <cell r="Z170">
            <v>0</v>
          </cell>
          <cell r="AA170">
            <v>47215.512727272726</v>
          </cell>
          <cell r="AB170">
            <v>0</v>
          </cell>
          <cell r="AC170">
            <v>-32.44</v>
          </cell>
          <cell r="AD170">
            <v>37916.270909090912</v>
          </cell>
          <cell r="AE170">
            <v>0</v>
          </cell>
          <cell r="AF170">
            <v>491.25</v>
          </cell>
          <cell r="AG170">
            <v>491.25</v>
          </cell>
          <cell r="AH170">
            <v>0</v>
          </cell>
          <cell r="AI170">
            <v>515.13300000000004</v>
          </cell>
          <cell r="AJ170">
            <v>0</v>
          </cell>
          <cell r="AK170">
            <v>2050.3869999999997</v>
          </cell>
        </row>
        <row r="171">
          <cell r="F171">
            <v>0</v>
          </cell>
          <cell r="G171">
            <v>0</v>
          </cell>
          <cell r="H171">
            <v>0</v>
          </cell>
          <cell r="P171">
            <v>0</v>
          </cell>
          <cell r="R171">
            <v>0</v>
          </cell>
          <cell r="S171">
            <v>64.25</v>
          </cell>
          <cell r="T171">
            <v>0</v>
          </cell>
          <cell r="U171">
            <v>0</v>
          </cell>
          <cell r="V171">
            <v>0</v>
          </cell>
          <cell r="W171">
            <v>0</v>
          </cell>
          <cell r="X171">
            <v>0</v>
          </cell>
          <cell r="Y171">
            <v>0</v>
          </cell>
          <cell r="Z171">
            <v>0</v>
          </cell>
          <cell r="AA171">
            <v>0</v>
          </cell>
          <cell r="AB171">
            <v>0</v>
          </cell>
          <cell r="AC171">
            <v>0</v>
          </cell>
          <cell r="AE171">
            <v>0</v>
          </cell>
          <cell r="AF171">
            <v>0</v>
          </cell>
          <cell r="AG171">
            <v>0</v>
          </cell>
          <cell r="AH171">
            <v>0</v>
          </cell>
          <cell r="AI171">
            <v>0</v>
          </cell>
          <cell r="AJ171">
            <v>0</v>
          </cell>
          <cell r="AK171">
            <v>64.25</v>
          </cell>
        </row>
        <row r="172">
          <cell r="F172">
            <v>0</v>
          </cell>
          <cell r="P172">
            <v>0</v>
          </cell>
          <cell r="S172">
            <v>0</v>
          </cell>
          <cell r="AC172">
            <v>0</v>
          </cell>
          <cell r="AF172">
            <v>0</v>
          </cell>
          <cell r="AG172">
            <v>0</v>
          </cell>
          <cell r="AK172">
            <v>0</v>
          </cell>
        </row>
        <row r="173">
          <cell r="AK173">
            <v>0</v>
          </cell>
        </row>
        <row r="174">
          <cell r="F174">
            <v>4483.4666666666662</v>
          </cell>
          <cell r="AC174">
            <v>200</v>
          </cell>
          <cell r="AK174">
            <v>4683.4666666666662</v>
          </cell>
        </row>
        <row r="175">
          <cell r="F175">
            <v>507.45454545454538</v>
          </cell>
          <cell r="P175">
            <v>919.5454545454545</v>
          </cell>
          <cell r="Q175">
            <v>0</v>
          </cell>
          <cell r="R175">
            <v>0</v>
          </cell>
          <cell r="S175">
            <v>2066.272727272727</v>
          </cell>
          <cell r="T175">
            <v>813.56363636363631</v>
          </cell>
          <cell r="U175">
            <v>846.70909090909095</v>
          </cell>
          <cell r="V175">
            <v>0</v>
          </cell>
          <cell r="W175">
            <v>0</v>
          </cell>
          <cell r="X175">
            <v>837.81818181818176</v>
          </cell>
          <cell r="AA175">
            <v>0</v>
          </cell>
          <cell r="AB175">
            <v>0</v>
          </cell>
          <cell r="AC175">
            <v>657.09090909090912</v>
          </cell>
          <cell r="AF175">
            <v>1973.090909090909</v>
          </cell>
          <cell r="AG175">
            <v>1676.090909090909</v>
          </cell>
          <cell r="AH175">
            <v>297</v>
          </cell>
          <cell r="AJ175">
            <v>0</v>
          </cell>
          <cell r="AK175">
            <v>7055.363636363636</v>
          </cell>
        </row>
        <row r="176">
          <cell r="F176">
            <v>0</v>
          </cell>
          <cell r="G176">
            <v>0</v>
          </cell>
          <cell r="H176">
            <v>0</v>
          </cell>
          <cell r="P176">
            <v>73</v>
          </cell>
          <cell r="Q176">
            <v>0</v>
          </cell>
          <cell r="R176">
            <v>0</v>
          </cell>
          <cell r="S176">
            <v>407</v>
          </cell>
          <cell r="T176">
            <v>0</v>
          </cell>
          <cell r="U176">
            <v>0</v>
          </cell>
          <cell r="V176">
            <v>0</v>
          </cell>
          <cell r="W176">
            <v>0</v>
          </cell>
          <cell r="X176">
            <v>271.81818181818181</v>
          </cell>
          <cell r="Y176">
            <v>118</v>
          </cell>
          <cell r="Z176">
            <v>153.81818181818181</v>
          </cell>
          <cell r="AA176">
            <v>0</v>
          </cell>
          <cell r="AB176">
            <v>0</v>
          </cell>
          <cell r="AC176">
            <v>197</v>
          </cell>
          <cell r="AD176">
            <v>75</v>
          </cell>
          <cell r="AE176">
            <v>122</v>
          </cell>
          <cell r="AF176">
            <v>117.09090909090909</v>
          </cell>
          <cell r="AG176">
            <v>117.09090909090909</v>
          </cell>
          <cell r="AH176">
            <v>0</v>
          </cell>
        </row>
        <row r="177">
          <cell r="F177">
            <v>14.666666666666666</v>
          </cell>
          <cell r="P177">
            <v>-60</v>
          </cell>
          <cell r="Q177">
            <v>0</v>
          </cell>
          <cell r="R177">
            <v>0</v>
          </cell>
          <cell r="S177">
            <v>30</v>
          </cell>
          <cell r="T177">
            <v>22</v>
          </cell>
          <cell r="U177">
            <v>0</v>
          </cell>
          <cell r="V177">
            <v>0</v>
          </cell>
          <cell r="W177">
            <v>0</v>
          </cell>
          <cell r="X177">
            <v>826</v>
          </cell>
          <cell r="AA177">
            <v>0</v>
          </cell>
          <cell r="AB177">
            <v>0</v>
          </cell>
          <cell r="AC177">
            <v>39</v>
          </cell>
          <cell r="AF177">
            <v>12</v>
          </cell>
          <cell r="AG177">
            <v>11</v>
          </cell>
          <cell r="AH177">
            <v>1</v>
          </cell>
          <cell r="AI177">
            <v>13.7</v>
          </cell>
          <cell r="AJ177">
            <v>0</v>
          </cell>
          <cell r="AK177">
            <v>874.36666666666667</v>
          </cell>
        </row>
        <row r="178">
          <cell r="F178">
            <v>1884.1066666666668</v>
          </cell>
          <cell r="P178">
            <v>639.43999999999983</v>
          </cell>
          <cell r="S178">
            <v>4316.4479999999985</v>
          </cell>
          <cell r="X178">
            <v>148.90400000000596</v>
          </cell>
          <cell r="AC178">
            <v>235.56000000000279</v>
          </cell>
          <cell r="AF178">
            <v>1122.6080000000011</v>
          </cell>
          <cell r="AG178">
            <v>689.58399999999995</v>
          </cell>
          <cell r="AH178">
            <v>433.02400000000011</v>
          </cell>
        </row>
        <row r="180">
          <cell r="F180">
            <v>1542.6999999999987</v>
          </cell>
          <cell r="P180">
            <v>610.20000000000027</v>
          </cell>
          <cell r="S180">
            <v>3741.1999999999962</v>
          </cell>
          <cell r="X180">
            <v>402.39999999999844</v>
          </cell>
          <cell r="AC180">
            <v>306.40000000000003</v>
          </cell>
          <cell r="AF180">
            <v>1535</v>
          </cell>
          <cell r="AG180">
            <v>1031.8800000000001</v>
          </cell>
          <cell r="AH180">
            <v>503.12</v>
          </cell>
        </row>
        <row r="183">
          <cell r="F183" t="str">
            <v>АПАРАТ ВСЬОГО</v>
          </cell>
          <cell r="G183" t="str">
            <v>АПАРАТ ЕЛЕКТРО</v>
          </cell>
          <cell r="H183" t="str">
            <v>АПАРАТ ТЕПЛО</v>
          </cell>
          <cell r="P183" t="str">
            <v>ККМ</v>
          </cell>
          <cell r="S183" t="str">
            <v>КТМ</v>
          </cell>
          <cell r="X183" t="str">
            <v>ТЕЦ-5 ВСЬОГО</v>
          </cell>
          <cell r="Y183" t="str">
            <v>Е/Е</v>
          </cell>
          <cell r="Z183" t="str">
            <v xml:space="preserve"> Т/Е</v>
          </cell>
          <cell r="AC183" t="str">
            <v>ТЕЦ-6 ВСЬОГО</v>
          </cell>
          <cell r="AD183" t="str">
            <v>Е/Е</v>
          </cell>
          <cell r="AE183" t="str">
            <v xml:space="preserve"> Т/Е</v>
          </cell>
          <cell r="AF183" t="str">
            <v>Е/Е</v>
          </cell>
          <cell r="AG183" t="str">
            <v xml:space="preserve"> Т/Е</v>
          </cell>
          <cell r="AI183" t="str">
            <v xml:space="preserve">ДОП.ВИР. </v>
          </cell>
          <cell r="AJ183" t="str">
            <v>ДОП.ВИР. СТ.ОРГ.</v>
          </cell>
          <cell r="AK183" t="str">
            <v>АК КЕ ВСЬОГО</v>
          </cell>
          <cell r="AL183" t="str">
            <v>Е/Е</v>
          </cell>
          <cell r="AM183" t="str">
            <v xml:space="preserve"> Т/Е</v>
          </cell>
        </row>
        <row r="184">
          <cell r="F184" t="str">
            <v>АПАРАТ ВСЬОГО</v>
          </cell>
          <cell r="G184" t="str">
            <v>АПАРАТ ЕЛЕКТРО</v>
          </cell>
          <cell r="H184" t="str">
            <v>АПАРАТ ТЕПЛО</v>
          </cell>
          <cell r="P184" t="str">
            <v>ККМ</v>
          </cell>
          <cell r="S184" t="str">
            <v>КТМ</v>
          </cell>
          <cell r="X184" t="str">
            <v>ТЕЦ-5 ВСЬОГО</v>
          </cell>
          <cell r="Y184" t="str">
            <v>Е/Е</v>
          </cell>
          <cell r="Z184" t="str">
            <v xml:space="preserve"> Т/Е</v>
          </cell>
          <cell r="AC184" t="str">
            <v>ТЕЦ-6 ВСЬОГО</v>
          </cell>
          <cell r="AD184" t="str">
            <v>Е/Е</v>
          </cell>
          <cell r="AE184" t="str">
            <v xml:space="preserve"> Т/Е</v>
          </cell>
          <cell r="AF184" t="str">
            <v>Е/Е</v>
          </cell>
          <cell r="AG184" t="str">
            <v xml:space="preserve"> Т/Е</v>
          </cell>
          <cell r="AI184" t="str">
            <v xml:space="preserve">ДОП.ВИР. </v>
          </cell>
          <cell r="AJ184" t="str">
            <v>ДОП.ВИР. СТ.ОРГ.</v>
          </cell>
          <cell r="AK184" t="str">
            <v>АК КЕ ВСЬОГО</v>
          </cell>
          <cell r="AL184" t="str">
            <v>Е/Е</v>
          </cell>
          <cell r="AM184" t="str">
            <v xml:space="preserve"> Т/Е</v>
          </cell>
        </row>
        <row r="186">
          <cell r="S186">
            <v>100</v>
          </cell>
          <cell r="X186">
            <v>79.7</v>
          </cell>
          <cell r="AC186">
            <v>63.3</v>
          </cell>
          <cell r="AK186">
            <v>243</v>
          </cell>
        </row>
        <row r="187">
          <cell r="S187">
            <v>114.9</v>
          </cell>
          <cell r="X187">
            <v>91.6</v>
          </cell>
          <cell r="AC187">
            <v>72.8</v>
          </cell>
          <cell r="AK187">
            <v>279.29999999999995</v>
          </cell>
        </row>
        <row r="188">
          <cell r="P188">
            <v>0</v>
          </cell>
          <cell r="S188">
            <v>0</v>
          </cell>
          <cell r="X188">
            <v>0</v>
          </cell>
          <cell r="AC188">
            <v>0</v>
          </cell>
          <cell r="AK188">
            <v>298.60000000000002</v>
          </cell>
        </row>
        <row r="189">
          <cell r="P189">
            <v>0</v>
          </cell>
          <cell r="S189">
            <v>192.5</v>
          </cell>
          <cell r="X189">
            <v>192.5</v>
          </cell>
          <cell r="AC189">
            <v>192.5</v>
          </cell>
          <cell r="AK189">
            <v>192.5</v>
          </cell>
        </row>
        <row r="190">
          <cell r="P190">
            <v>0</v>
          </cell>
          <cell r="S190">
            <v>19250</v>
          </cell>
          <cell r="X190">
            <v>15343</v>
          </cell>
          <cell r="AC190">
            <v>12185</v>
          </cell>
          <cell r="AK190">
            <v>46778</v>
          </cell>
        </row>
        <row r="191">
          <cell r="S191">
            <v>18925</v>
          </cell>
          <cell r="X191">
            <v>17350</v>
          </cell>
          <cell r="AC191">
            <v>14237</v>
          </cell>
          <cell r="AK191">
            <v>46778</v>
          </cell>
        </row>
        <row r="192">
          <cell r="X192">
            <v>0</v>
          </cell>
          <cell r="AC192">
            <v>0</v>
          </cell>
          <cell r="AK192">
            <v>0</v>
          </cell>
        </row>
        <row r="193">
          <cell r="X193">
            <v>0</v>
          </cell>
          <cell r="AC193">
            <v>0</v>
          </cell>
          <cell r="AK193">
            <v>0</v>
          </cell>
        </row>
        <row r="194">
          <cell r="X194">
            <v>82.5</v>
          </cell>
          <cell r="AC194">
            <v>82.5</v>
          </cell>
          <cell r="AK194">
            <v>0</v>
          </cell>
        </row>
        <row r="195">
          <cell r="X195">
            <v>0</v>
          </cell>
          <cell r="AC195">
            <v>0</v>
          </cell>
          <cell r="AK195">
            <v>0</v>
          </cell>
        </row>
        <row r="196">
          <cell r="S196">
            <v>0</v>
          </cell>
          <cell r="X196">
            <v>0</v>
          </cell>
          <cell r="AC196">
            <v>0</v>
          </cell>
          <cell r="AK196">
            <v>0</v>
          </cell>
        </row>
        <row r="197">
          <cell r="S197">
            <v>0</v>
          </cell>
          <cell r="X197">
            <v>0</v>
          </cell>
          <cell r="AC197">
            <v>0</v>
          </cell>
          <cell r="AK197">
            <v>0</v>
          </cell>
        </row>
        <row r="198">
          <cell r="X198">
            <v>44.8</v>
          </cell>
          <cell r="AC198">
            <v>36.700000000000003</v>
          </cell>
          <cell r="AK198">
            <v>81.5</v>
          </cell>
        </row>
        <row r="199">
          <cell r="X199">
            <v>61.9</v>
          </cell>
          <cell r="AC199">
            <v>50.6</v>
          </cell>
          <cell r="AK199">
            <v>112.5</v>
          </cell>
        </row>
        <row r="200">
          <cell r="F200">
            <v>75</v>
          </cell>
          <cell r="P200">
            <v>75</v>
          </cell>
          <cell r="X200">
            <v>18.5</v>
          </cell>
          <cell r="AC200">
            <v>22.2</v>
          </cell>
          <cell r="AJ200">
            <v>0</v>
          </cell>
          <cell r="AK200">
            <v>40.700000000000003</v>
          </cell>
        </row>
        <row r="201">
          <cell r="F201">
            <v>75</v>
          </cell>
          <cell r="P201">
            <v>75</v>
          </cell>
          <cell r="S201">
            <v>653</v>
          </cell>
          <cell r="X201">
            <v>653</v>
          </cell>
          <cell r="AC201">
            <v>653</v>
          </cell>
          <cell r="AJ201">
            <v>0</v>
          </cell>
          <cell r="AK201">
            <v>653</v>
          </cell>
        </row>
        <row r="202">
          <cell r="S202">
            <v>0</v>
          </cell>
          <cell r="X202">
            <v>29254</v>
          </cell>
          <cell r="AC202">
            <v>23966</v>
          </cell>
          <cell r="AK202">
            <v>53220</v>
          </cell>
        </row>
        <row r="203">
          <cell r="S203">
            <v>0</v>
          </cell>
          <cell r="X203">
            <v>5159</v>
          </cell>
          <cell r="AC203">
            <v>6200</v>
          </cell>
          <cell r="AK203">
            <v>53220</v>
          </cell>
        </row>
        <row r="204">
          <cell r="S204">
            <v>114.9</v>
          </cell>
          <cell r="X204">
            <v>153.5</v>
          </cell>
          <cell r="Y204">
            <v>66.599999999999994</v>
          </cell>
          <cell r="Z204">
            <v>86.9</v>
          </cell>
          <cell r="AC204">
            <v>123.4</v>
          </cell>
          <cell r="AD204">
            <v>47.1</v>
          </cell>
          <cell r="AE204">
            <v>76.300000000000011</v>
          </cell>
          <cell r="AK204">
            <v>391.79999999999995</v>
          </cell>
          <cell r="AL204">
            <v>113.69999999999999</v>
          </cell>
          <cell r="AM204">
            <v>278.10000000000002</v>
          </cell>
        </row>
        <row r="205">
          <cell r="S205">
            <v>19250</v>
          </cell>
          <cell r="X205">
            <v>44597</v>
          </cell>
          <cell r="Y205">
            <v>30041.25</v>
          </cell>
          <cell r="Z205">
            <v>14555.750000000002</v>
          </cell>
          <cell r="AA205">
            <v>14555.750000000004</v>
          </cell>
          <cell r="AC205">
            <v>36151</v>
          </cell>
          <cell r="AD205">
            <v>22308.272727272721</v>
          </cell>
          <cell r="AE205">
            <v>13842.727272727279</v>
          </cell>
          <cell r="AK205">
            <v>99998</v>
          </cell>
          <cell r="AL205">
            <v>52349.522727272721</v>
          </cell>
          <cell r="AM205">
            <v>47648.477272727279</v>
          </cell>
        </row>
        <row r="206">
          <cell r="S206">
            <v>167.54</v>
          </cell>
          <cell r="X206">
            <v>290.52999999999997</v>
          </cell>
          <cell r="Y206">
            <v>451.07</v>
          </cell>
          <cell r="Z206">
            <v>167.5</v>
          </cell>
          <cell r="AA206">
            <v>14133.90243902439</v>
          </cell>
          <cell r="AC206">
            <v>292.95999999999998</v>
          </cell>
          <cell r="AD206">
            <v>473.64</v>
          </cell>
          <cell r="AE206">
            <v>181.42</v>
          </cell>
          <cell r="AI206">
            <v>0</v>
          </cell>
          <cell r="AJ206">
            <v>0</v>
          </cell>
          <cell r="AK206">
            <v>255.23</v>
          </cell>
          <cell r="AL206">
            <v>460.42</v>
          </cell>
          <cell r="AM206">
            <v>171.34</v>
          </cell>
        </row>
        <row r="207">
          <cell r="S207">
            <v>169.12</v>
          </cell>
          <cell r="X207">
            <v>186.02</v>
          </cell>
          <cell r="Y207">
            <v>223.34</v>
          </cell>
          <cell r="Z207">
            <v>169.27</v>
          </cell>
          <cell r="AC207">
            <v>192.08</v>
          </cell>
          <cell r="AD207">
            <v>239.38</v>
          </cell>
          <cell r="AE207">
            <v>169.09</v>
          </cell>
          <cell r="AI207">
            <v>0</v>
          </cell>
          <cell r="AJ207">
            <v>0</v>
          </cell>
          <cell r="AK207">
            <v>182.35</v>
          </cell>
          <cell r="AL207">
            <v>231.06</v>
          </cell>
          <cell r="AM207">
            <v>0</v>
          </cell>
        </row>
        <row r="208">
          <cell r="X208">
            <v>44597</v>
          </cell>
          <cell r="AC208">
            <v>36151</v>
          </cell>
          <cell r="AK208">
            <v>99998</v>
          </cell>
          <cell r="AL208">
            <v>52349.522727272721</v>
          </cell>
          <cell r="AM208">
            <v>47648.477272727279</v>
          </cell>
        </row>
        <row r="209">
          <cell r="X209">
            <v>22509</v>
          </cell>
          <cell r="AC209">
            <v>20437</v>
          </cell>
          <cell r="AK209">
            <v>61870</v>
          </cell>
          <cell r="AL209">
            <v>16705.574995654941</v>
          </cell>
          <cell r="AM209">
            <v>45164.425004345059</v>
          </cell>
        </row>
        <row r="210">
          <cell r="AK210">
            <v>99998</v>
          </cell>
        </row>
        <row r="211">
          <cell r="AK211">
            <v>61871</v>
          </cell>
        </row>
        <row r="214">
          <cell r="G214" t="str">
            <v xml:space="preserve"> В.О.НОВОСАД</v>
          </cell>
        </row>
        <row r="217">
          <cell r="G217" t="str">
            <v>Б.В.ЯЩЕНКО</v>
          </cell>
        </row>
        <row r="218">
          <cell r="G218" t="str">
            <v>М.В.ТЕРПИЛО</v>
          </cell>
        </row>
        <row r="219">
          <cell r="G219" t="str">
            <v xml:space="preserve">В.І.МИРГОРОДСЬКИЙ                                  </v>
          </cell>
        </row>
        <row r="220">
          <cell r="G220" t="str">
            <v xml:space="preserve">М.І.ШЕВЧЕНКО                                 </v>
          </cell>
        </row>
        <row r="221">
          <cell r="G221" t="str">
            <v>В.Ю.МОНТЬЕВ</v>
          </cell>
        </row>
        <row r="222">
          <cell r="G222" t="str">
            <v xml:space="preserve">О.М.НИКОЛЕНКО      </v>
          </cell>
        </row>
        <row r="223">
          <cell r="G223" t="str">
            <v xml:space="preserve">О.М.НИКОЛЕНКО      </v>
          </cell>
        </row>
        <row r="241">
          <cell r="AG241" t="str">
            <v xml:space="preserve">         Затверджую</v>
          </cell>
        </row>
        <row r="242">
          <cell r="AG242" t="str">
            <v xml:space="preserve"> Голова правління -</v>
          </cell>
        </row>
        <row r="243">
          <cell r="AG243" t="str">
            <v xml:space="preserve"> генеральний директор</v>
          </cell>
        </row>
        <row r="244">
          <cell r="AG244" t="str">
            <v xml:space="preserve">                        І.В.Плачков</v>
          </cell>
        </row>
        <row r="245">
          <cell r="AG245" t="str">
            <v xml:space="preserve">   "_____" ________2000 р.</v>
          </cell>
        </row>
        <row r="249">
          <cell r="F249" t="str">
            <v>РОЗРАХУНОК ФІНАНСОВИХ ПОТОКІВ НА   лютий  2000 року</v>
          </cell>
        </row>
        <row r="250">
          <cell r="F250" t="str">
            <v>ПО ФІЛІАЛАХ АК КИЇВЕНЕРГО</v>
          </cell>
        </row>
        <row r="255">
          <cell r="AI255" t="str">
            <v>ТИС.ГРН.</v>
          </cell>
          <cell r="AK255" t="str">
            <v>тис.грн.</v>
          </cell>
        </row>
        <row r="256">
          <cell r="F256" t="str">
            <v>ВИКОН.ДИР.</v>
          </cell>
          <cell r="G256" t="str">
            <v>АПАРАТ ЕЛЕКТРО</v>
          </cell>
          <cell r="H256" t="str">
            <v>АПАРАТ ТЕПЛО</v>
          </cell>
          <cell r="P256" t="str">
            <v>КМ</v>
          </cell>
          <cell r="Q256" t="str">
            <v>ТМ</v>
          </cell>
          <cell r="S256" t="str">
            <v>КТМ</v>
          </cell>
          <cell r="T256" t="str">
            <v>ВИРОБН</v>
          </cell>
          <cell r="U256" t="str">
            <v>ПЕРЕД</v>
          </cell>
          <cell r="X256" t="str">
            <v>ТЕЦ-5 ВСЬОГО</v>
          </cell>
          <cell r="Y256" t="str">
            <v>Е/Е</v>
          </cell>
          <cell r="Z256" t="str">
            <v xml:space="preserve"> Т/Е</v>
          </cell>
          <cell r="AC256" t="str">
            <v>ТЕЦ-6 ВСЬОГО</v>
          </cell>
          <cell r="AD256" t="str">
            <v>Е/Е</v>
          </cell>
          <cell r="AE256" t="str">
            <v xml:space="preserve"> Т/Е</v>
          </cell>
          <cell r="AF256" t="str">
            <v>ТРМ ВСЬОГО</v>
          </cell>
          <cell r="AG256" t="str">
            <v>ТРМ  АК КЕ</v>
          </cell>
          <cell r="AH256" t="str">
            <v>ТРМ СТОР</v>
          </cell>
          <cell r="AI256" t="str">
            <v xml:space="preserve">ДОП.ВИР. </v>
          </cell>
          <cell r="AJ256" t="str">
            <v>ДОП.ВИР. СТ.ОРГ.</v>
          </cell>
          <cell r="AK256" t="str">
            <v>АК КЕ ВСЬОГО</v>
          </cell>
          <cell r="AL256" t="str">
            <v>АК КЕ ВСЬОГО</v>
          </cell>
          <cell r="AM256" t="str">
            <v xml:space="preserve"> Т/Е</v>
          </cell>
        </row>
        <row r="257">
          <cell r="F257">
            <v>3288.4522121212117</v>
          </cell>
          <cell r="P257">
            <v>2181.2434545454548</v>
          </cell>
          <cell r="S257">
            <v>6535.468727272726</v>
          </cell>
          <cell r="X257">
            <v>1789.0187272727333</v>
          </cell>
          <cell r="AC257">
            <v>1029.1789090909119</v>
          </cell>
          <cell r="AF257">
            <v>4502.9056363636373</v>
          </cell>
          <cell r="AG257">
            <v>3771.8816363636361</v>
          </cell>
          <cell r="AH257">
            <v>732.02400000000011</v>
          </cell>
          <cell r="AJ257">
            <v>7599</v>
          </cell>
          <cell r="AK257">
            <v>20158.351575757581</v>
          </cell>
        </row>
        <row r="259">
          <cell r="F259">
            <v>26692.918878787881</v>
          </cell>
          <cell r="G259">
            <v>2030</v>
          </cell>
          <cell r="H259">
            <v>3069.1188787878782</v>
          </cell>
          <cell r="P259">
            <v>2181.2434545454548</v>
          </cell>
          <cell r="Q259">
            <v>0</v>
          </cell>
          <cell r="R259">
            <v>0</v>
          </cell>
          <cell r="S259">
            <v>6535.468727272726</v>
          </cell>
          <cell r="T259">
            <v>4851.0902763636368</v>
          </cell>
          <cell r="U259">
            <v>1648.5504509090908</v>
          </cell>
          <cell r="V259">
            <v>0</v>
          </cell>
          <cell r="W259">
            <v>0</v>
          </cell>
          <cell r="X259">
            <v>1789.0187272727333</v>
          </cell>
          <cell r="Y259">
            <v>828</v>
          </cell>
          <cell r="Z259">
            <v>1082.5127272727277</v>
          </cell>
          <cell r="AA259">
            <v>0</v>
          </cell>
          <cell r="AB259">
            <v>0</v>
          </cell>
          <cell r="AC259">
            <v>1029.1789090909119</v>
          </cell>
          <cell r="AD259">
            <v>388</v>
          </cell>
          <cell r="AE259">
            <v>631.27090909091021</v>
          </cell>
          <cell r="AF259">
            <v>4502.9056363636373</v>
          </cell>
          <cell r="AG259">
            <v>3771.8816363636361</v>
          </cell>
          <cell r="AH259">
            <v>732.02400000000011</v>
          </cell>
          <cell r="AI259">
            <v>2781.0676363636367</v>
          </cell>
          <cell r="AJ259">
            <v>0</v>
          </cell>
          <cell r="AK259">
            <v>142110.86187878789</v>
          </cell>
          <cell r="AM259">
            <v>111785.25</v>
          </cell>
        </row>
        <row r="260">
          <cell r="F260">
            <v>19850.172840000007</v>
          </cell>
          <cell r="G260">
            <v>1797</v>
          </cell>
          <cell r="H260">
            <v>2794.6643333333327</v>
          </cell>
          <cell r="P260">
            <v>898.27680000000021</v>
          </cell>
          <cell r="S260">
            <v>625.06999999999891</v>
          </cell>
          <cell r="T260">
            <v>4037.5266400000005</v>
          </cell>
          <cell r="U260">
            <v>801.8413599999999</v>
          </cell>
          <cell r="X260">
            <v>813.34800000000598</v>
          </cell>
          <cell r="Y260">
            <v>583</v>
          </cell>
          <cell r="Z260">
            <v>761.51272727272772</v>
          </cell>
          <cell r="AC260">
            <v>248.92400000000279</v>
          </cell>
          <cell r="AD260">
            <v>212</v>
          </cell>
          <cell r="AE260">
            <v>347.18000000000109</v>
          </cell>
          <cell r="AF260">
            <v>862.80768000000114</v>
          </cell>
          <cell r="AG260">
            <v>764.90295828850901</v>
          </cell>
          <cell r="AH260">
            <v>98.904721711490538</v>
          </cell>
          <cell r="AI260">
            <v>743.90400000000022</v>
          </cell>
          <cell r="AJ260">
            <v>-2455</v>
          </cell>
          <cell r="AK260">
            <v>134758.49824242425</v>
          </cell>
          <cell r="AM260">
            <v>23577.368640000012</v>
          </cell>
        </row>
        <row r="261">
          <cell r="F261">
            <v>111133.46666666667</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K261">
            <v>111133.46666666667</v>
          </cell>
        </row>
        <row r="262">
          <cell r="F262">
            <v>99998</v>
          </cell>
          <cell r="AK262">
            <v>99998</v>
          </cell>
        </row>
        <row r="263">
          <cell r="F263">
            <v>0</v>
          </cell>
          <cell r="AK263">
            <v>0</v>
          </cell>
        </row>
        <row r="264">
          <cell r="F264">
            <v>6074</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K264">
            <v>6074</v>
          </cell>
        </row>
        <row r="265">
          <cell r="F265">
            <v>825</v>
          </cell>
          <cell r="AK265">
            <v>825</v>
          </cell>
        </row>
        <row r="266">
          <cell r="F266">
            <v>0</v>
          </cell>
          <cell r="AK266">
            <v>0</v>
          </cell>
        </row>
        <row r="267">
          <cell r="F267">
            <v>0</v>
          </cell>
          <cell r="AK267">
            <v>0</v>
          </cell>
        </row>
        <row r="268">
          <cell r="F268">
            <v>3500</v>
          </cell>
          <cell r="AK268">
            <v>3500</v>
          </cell>
        </row>
        <row r="269">
          <cell r="F269">
            <v>0</v>
          </cell>
          <cell r="AK269">
            <v>0</v>
          </cell>
        </row>
        <row r="270">
          <cell r="F270">
            <v>1749</v>
          </cell>
          <cell r="P270">
            <v>0</v>
          </cell>
          <cell r="S270">
            <v>0</v>
          </cell>
          <cell r="X270">
            <v>0</v>
          </cell>
          <cell r="AC270">
            <v>0</v>
          </cell>
          <cell r="AF270">
            <v>0</v>
          </cell>
          <cell r="AG270">
            <v>0</v>
          </cell>
          <cell r="AH270">
            <v>0</v>
          </cell>
          <cell r="AI270">
            <v>0</v>
          </cell>
          <cell r="AK270">
            <v>1749</v>
          </cell>
        </row>
        <row r="271">
          <cell r="F271">
            <v>4999.7999999999993</v>
          </cell>
          <cell r="AK271">
            <v>4999.7999999999993</v>
          </cell>
        </row>
        <row r="272">
          <cell r="F272">
            <v>61.6666666666667</v>
          </cell>
          <cell r="P272">
            <v>0</v>
          </cell>
          <cell r="S272">
            <v>0</v>
          </cell>
          <cell r="X272">
            <v>0</v>
          </cell>
          <cell r="AC272">
            <v>0</v>
          </cell>
          <cell r="AF272">
            <v>0</v>
          </cell>
          <cell r="AG272">
            <v>0</v>
          </cell>
          <cell r="AH272">
            <v>0</v>
          </cell>
          <cell r="AI272">
            <v>0</v>
          </cell>
          <cell r="AK272">
            <v>61.6666666666667</v>
          </cell>
        </row>
        <row r="273">
          <cell r="F273">
            <v>114421.91887878788</v>
          </cell>
          <cell r="P273">
            <v>2181.2434545454548</v>
          </cell>
          <cell r="Q273">
            <v>0</v>
          </cell>
          <cell r="R273">
            <v>0</v>
          </cell>
          <cell r="S273">
            <v>6535.468727272726</v>
          </cell>
          <cell r="T273">
            <v>0</v>
          </cell>
          <cell r="U273">
            <v>0</v>
          </cell>
          <cell r="V273">
            <v>0</v>
          </cell>
          <cell r="W273">
            <v>0</v>
          </cell>
          <cell r="X273">
            <v>1789.0187272727333</v>
          </cell>
          <cell r="Y273">
            <v>0</v>
          </cell>
          <cell r="Z273">
            <v>0</v>
          </cell>
          <cell r="AA273">
            <v>0</v>
          </cell>
          <cell r="AB273">
            <v>0</v>
          </cell>
          <cell r="AC273">
            <v>1029.1789090909119</v>
          </cell>
          <cell r="AD273">
            <v>0</v>
          </cell>
          <cell r="AE273">
            <v>0</v>
          </cell>
          <cell r="AF273">
            <v>4502.9056363636373</v>
          </cell>
          <cell r="AG273">
            <v>3771.8816363636361</v>
          </cell>
          <cell r="AH273">
            <v>732.02400000000011</v>
          </cell>
          <cell r="AI273">
            <v>0</v>
          </cell>
          <cell r="AK273">
            <v>131291.81824242428</v>
          </cell>
        </row>
        <row r="274">
          <cell r="F274">
            <v>1017.9460387878787</v>
          </cell>
          <cell r="P274">
            <v>1179.8666545454546</v>
          </cell>
          <cell r="Q274">
            <v>0</v>
          </cell>
          <cell r="R274">
            <v>0</v>
          </cell>
          <cell r="S274">
            <v>5958.848727272727</v>
          </cell>
          <cell r="T274">
            <v>835.56363636363631</v>
          </cell>
          <cell r="U274">
            <v>846.70909090909095</v>
          </cell>
          <cell r="V274">
            <v>0</v>
          </cell>
          <cell r="W274">
            <v>0</v>
          </cell>
          <cell r="X274">
            <v>1696.6161818181818</v>
          </cell>
          <cell r="Y274">
            <v>588</v>
          </cell>
          <cell r="Z274">
            <v>768</v>
          </cell>
          <cell r="AA274">
            <v>0</v>
          </cell>
          <cell r="AB274">
            <v>0</v>
          </cell>
          <cell r="AC274">
            <v>732.35490909090913</v>
          </cell>
          <cell r="AD274">
            <v>181</v>
          </cell>
          <cell r="AE274">
            <v>292.09090909090912</v>
          </cell>
          <cell r="AF274">
            <v>2754.4252290909089</v>
          </cell>
          <cell r="AG274">
            <v>2121.3059508023994</v>
          </cell>
          <cell r="AH274">
            <v>633.11927828850958</v>
          </cell>
          <cell r="AI274">
            <v>1904.3636363636365</v>
          </cell>
          <cell r="AK274">
            <v>13897.13264969697</v>
          </cell>
        </row>
        <row r="275">
          <cell r="F275">
            <v>507.45454545454538</v>
          </cell>
          <cell r="G275">
            <v>233</v>
          </cell>
          <cell r="H275">
            <v>274.45454545454538</v>
          </cell>
          <cell r="P275">
            <v>919.5454545454545</v>
          </cell>
          <cell r="S275">
            <v>2066.272727272727</v>
          </cell>
          <cell r="T275">
            <v>813.56363636363631</v>
          </cell>
          <cell r="U275">
            <v>846.70909090909095</v>
          </cell>
          <cell r="X275">
            <v>837.81818181818176</v>
          </cell>
          <cell r="Y275">
            <v>245</v>
          </cell>
          <cell r="Z275">
            <v>321</v>
          </cell>
          <cell r="AC275">
            <v>657.09090909090912</v>
          </cell>
          <cell r="AD275">
            <v>176</v>
          </cell>
          <cell r="AE275">
            <v>284.09090909090912</v>
          </cell>
          <cell r="AF275">
            <v>1973.090909090909</v>
          </cell>
          <cell r="AG275">
            <v>1676.090909090909</v>
          </cell>
          <cell r="AH275">
            <v>297</v>
          </cell>
          <cell r="AI275">
            <v>1904.3636363636365</v>
          </cell>
          <cell r="AK275">
            <v>7352.363636363636</v>
          </cell>
        </row>
        <row r="276">
          <cell r="F276">
            <v>0</v>
          </cell>
          <cell r="P276">
            <v>0</v>
          </cell>
          <cell r="Q276">
            <v>0</v>
          </cell>
          <cell r="R276">
            <v>0</v>
          </cell>
          <cell r="S276">
            <v>22</v>
          </cell>
          <cell r="T276">
            <v>22</v>
          </cell>
          <cell r="U276">
            <v>0</v>
          </cell>
          <cell r="V276">
            <v>0</v>
          </cell>
          <cell r="W276">
            <v>0</v>
          </cell>
          <cell r="X276">
            <v>790</v>
          </cell>
          <cell r="Y276">
            <v>343</v>
          </cell>
          <cell r="Z276">
            <v>447</v>
          </cell>
          <cell r="AA276">
            <v>0</v>
          </cell>
          <cell r="AB276">
            <v>0</v>
          </cell>
          <cell r="AC276">
            <v>13</v>
          </cell>
          <cell r="AD276">
            <v>5</v>
          </cell>
          <cell r="AE276">
            <v>8</v>
          </cell>
          <cell r="AF276">
            <v>0</v>
          </cell>
          <cell r="AG276">
            <v>0</v>
          </cell>
          <cell r="AH276">
            <v>0</v>
          </cell>
          <cell r="AI276">
            <v>0</v>
          </cell>
          <cell r="AK276">
            <v>825</v>
          </cell>
        </row>
        <row r="277">
          <cell r="F277">
            <v>503.49149333333332</v>
          </cell>
          <cell r="P277">
            <v>233.7852</v>
          </cell>
          <cell r="Q277">
            <v>0</v>
          </cell>
          <cell r="R277">
            <v>0</v>
          </cell>
          <cell r="S277">
            <v>568.10199999999998</v>
          </cell>
          <cell r="T277">
            <v>0</v>
          </cell>
          <cell r="U277">
            <v>0</v>
          </cell>
          <cell r="V277">
            <v>0</v>
          </cell>
          <cell r="W277">
            <v>0</v>
          </cell>
          <cell r="X277">
            <v>47.822000000000003</v>
          </cell>
          <cell r="Y277">
            <v>0</v>
          </cell>
          <cell r="Z277">
            <v>0</v>
          </cell>
          <cell r="AA277">
            <v>0</v>
          </cell>
          <cell r="AB277">
            <v>0</v>
          </cell>
          <cell r="AC277">
            <v>62.736000000000004</v>
          </cell>
          <cell r="AD277">
            <v>0</v>
          </cell>
          <cell r="AE277">
            <v>0</v>
          </cell>
          <cell r="AF277">
            <v>155.49432000000002</v>
          </cell>
          <cell r="AG277">
            <v>143.66304171149045</v>
          </cell>
          <cell r="AH277">
            <v>11.831278288509552</v>
          </cell>
          <cell r="AI277">
            <v>0</v>
          </cell>
          <cell r="AK277">
            <v>1614.7510133333335</v>
          </cell>
        </row>
        <row r="278">
          <cell r="F278">
            <v>67.833333333333329</v>
          </cell>
          <cell r="P278">
            <v>153.5352</v>
          </cell>
          <cell r="S278">
            <v>447.35199999999998</v>
          </cell>
          <cell r="X278">
            <v>14.592000000000001</v>
          </cell>
          <cell r="AC278">
            <v>14.592000000000001</v>
          </cell>
          <cell r="AF278">
            <v>74.370720000000006</v>
          </cell>
          <cell r="AG278">
            <v>64.682500142666413</v>
          </cell>
          <cell r="AH278">
            <v>9.6882198573335927</v>
          </cell>
          <cell r="AI278">
            <v>0</v>
          </cell>
          <cell r="AK278">
            <v>815.59525333333329</v>
          </cell>
        </row>
        <row r="279">
          <cell r="F279">
            <v>140.31616</v>
          </cell>
          <cell r="P279">
            <v>4</v>
          </cell>
          <cell r="S279">
            <v>80</v>
          </cell>
          <cell r="X279">
            <v>15.96</v>
          </cell>
          <cell r="AC279">
            <v>13.224</v>
          </cell>
          <cell r="AF279">
            <v>7.8735999999999997</v>
          </cell>
          <cell r="AG279">
            <v>5.7305415688240409</v>
          </cell>
          <cell r="AH279">
            <v>2.1430584311759588</v>
          </cell>
          <cell r="AI279">
            <v>0</v>
          </cell>
          <cell r="AK279">
            <v>261.37376</v>
          </cell>
        </row>
        <row r="280">
          <cell r="F280">
            <v>25.7</v>
          </cell>
          <cell r="P280">
            <v>64.25</v>
          </cell>
          <cell r="S280">
            <v>12.85</v>
          </cell>
          <cell r="X280">
            <v>2.5700000000000003</v>
          </cell>
          <cell r="AC280">
            <v>15.42</v>
          </cell>
          <cell r="AF280">
            <v>64.25</v>
          </cell>
          <cell r="AG280">
            <v>64.25</v>
          </cell>
          <cell r="AK280">
            <v>185.04000000000002</v>
          </cell>
        </row>
        <row r="281">
          <cell r="F281">
            <v>269.642</v>
          </cell>
          <cell r="P281">
            <v>12</v>
          </cell>
          <cell r="S281">
            <v>27.9</v>
          </cell>
          <cell r="X281">
            <v>14.7</v>
          </cell>
          <cell r="AC281">
            <v>19.5</v>
          </cell>
          <cell r="AF281">
            <v>9</v>
          </cell>
          <cell r="AG281">
            <v>9</v>
          </cell>
          <cell r="AH281">
            <v>0</v>
          </cell>
          <cell r="AK281">
            <v>352.74199999999996</v>
          </cell>
        </row>
        <row r="282">
          <cell r="F282">
            <v>7</v>
          </cell>
          <cell r="P282">
            <v>26.536000000000001</v>
          </cell>
          <cell r="Q282">
            <v>0</v>
          </cell>
          <cell r="R282">
            <v>0</v>
          </cell>
          <cell r="S282">
            <v>3238.2240000000002</v>
          </cell>
          <cell r="T282">
            <v>0</v>
          </cell>
          <cell r="U282">
            <v>0</v>
          </cell>
          <cell r="V282">
            <v>0</v>
          </cell>
          <cell r="W282">
            <v>0</v>
          </cell>
          <cell r="X282">
            <v>20.975999999999999</v>
          </cell>
          <cell r="Y282">
            <v>0</v>
          </cell>
          <cell r="Z282">
            <v>0</v>
          </cell>
          <cell r="AA282">
            <v>0</v>
          </cell>
          <cell r="AB282">
            <v>0</v>
          </cell>
          <cell r="AC282">
            <v>-0.47200000000000841</v>
          </cell>
          <cell r="AD282">
            <v>0</v>
          </cell>
          <cell r="AE282">
            <v>0</v>
          </cell>
          <cell r="AF282">
            <v>625.84</v>
          </cell>
          <cell r="AG282">
            <v>301.55200000000002</v>
          </cell>
          <cell r="AH282">
            <v>324.28800000000001</v>
          </cell>
          <cell r="AI282">
            <v>0</v>
          </cell>
          <cell r="AK282">
            <v>4040.768</v>
          </cell>
        </row>
        <row r="283">
          <cell r="F283">
            <v>0</v>
          </cell>
          <cell r="P283">
            <v>1</v>
          </cell>
          <cell r="S283">
            <v>0</v>
          </cell>
          <cell r="X283">
            <v>20.975999999999999</v>
          </cell>
          <cell r="AC283">
            <v>-0.47200000000000841</v>
          </cell>
          <cell r="AF283">
            <v>0</v>
          </cell>
          <cell r="AG283">
            <v>0</v>
          </cell>
          <cell r="AH283">
            <v>0</v>
          </cell>
          <cell r="AI283">
            <v>0</v>
          </cell>
          <cell r="AK283">
            <v>21.503999999999991</v>
          </cell>
        </row>
        <row r="284">
          <cell r="F284">
            <v>7</v>
          </cell>
          <cell r="P284">
            <v>25.536000000000001</v>
          </cell>
          <cell r="S284">
            <v>3238.2240000000002</v>
          </cell>
          <cell r="X284">
            <v>0</v>
          </cell>
          <cell r="AC284">
            <v>0</v>
          </cell>
          <cell r="AF284">
            <v>625.84</v>
          </cell>
          <cell r="AG284">
            <v>301.55200000000002</v>
          </cell>
          <cell r="AH284">
            <v>324.28800000000001</v>
          </cell>
          <cell r="AI284">
            <v>0</v>
          </cell>
          <cell r="AK284">
            <v>3896.6000000000004</v>
          </cell>
        </row>
        <row r="285">
          <cell r="AK285">
            <v>122.664</v>
          </cell>
        </row>
        <row r="286">
          <cell r="S286">
            <v>64.25</v>
          </cell>
          <cell r="AH286">
            <v>0</v>
          </cell>
          <cell r="AI286">
            <v>0</v>
          </cell>
          <cell r="AK286">
            <v>64.25</v>
          </cell>
        </row>
        <row r="287">
          <cell r="F287">
            <v>113403.97284</v>
          </cell>
          <cell r="P287">
            <v>1001.3768000000002</v>
          </cell>
          <cell r="Q287">
            <v>0</v>
          </cell>
          <cell r="R287">
            <v>0</v>
          </cell>
          <cell r="S287">
            <v>576.61999999999898</v>
          </cell>
          <cell r="T287">
            <v>-835.56363636363631</v>
          </cell>
          <cell r="U287">
            <v>-846.70909090909095</v>
          </cell>
          <cell r="V287">
            <v>0</v>
          </cell>
          <cell r="W287">
            <v>0</v>
          </cell>
          <cell r="X287">
            <v>92.4025454545515</v>
          </cell>
          <cell r="Y287">
            <v>-588</v>
          </cell>
          <cell r="Z287">
            <v>-768</v>
          </cell>
          <cell r="AA287">
            <v>0</v>
          </cell>
          <cell r="AB287">
            <v>0</v>
          </cell>
          <cell r="AC287">
            <v>296.8240000000028</v>
          </cell>
          <cell r="AD287">
            <v>-181</v>
          </cell>
          <cell r="AE287">
            <v>-292.09090909090912</v>
          </cell>
          <cell r="AF287">
            <v>1748.4804072727284</v>
          </cell>
          <cell r="AG287">
            <v>1650.5756855612367</v>
          </cell>
          <cell r="AH287">
            <v>98.904721711490538</v>
          </cell>
          <cell r="AI287">
            <v>-1904.3636363636365</v>
          </cell>
          <cell r="AK287">
            <v>117394.68559272728</v>
          </cell>
        </row>
        <row r="288">
          <cell r="AK288">
            <v>0</v>
          </cell>
        </row>
        <row r="289">
          <cell r="F289">
            <v>2004.8481733333335</v>
          </cell>
          <cell r="P289">
            <v>1001.3768</v>
          </cell>
          <cell r="Q289">
            <v>0</v>
          </cell>
          <cell r="R289">
            <v>0</v>
          </cell>
          <cell r="S289">
            <v>576.62</v>
          </cell>
          <cell r="T289">
            <v>0</v>
          </cell>
          <cell r="U289">
            <v>0</v>
          </cell>
          <cell r="V289">
            <v>0</v>
          </cell>
          <cell r="W289">
            <v>0</v>
          </cell>
          <cell r="X289">
            <v>91.402545454545447</v>
          </cell>
          <cell r="Y289">
            <v>0</v>
          </cell>
          <cell r="Z289">
            <v>0</v>
          </cell>
          <cell r="AA289">
            <v>0</v>
          </cell>
          <cell r="AB289">
            <v>0</v>
          </cell>
          <cell r="AC289">
            <v>296.82399999999996</v>
          </cell>
          <cell r="AD289">
            <v>0</v>
          </cell>
          <cell r="AE289">
            <v>0</v>
          </cell>
          <cell r="AF289">
            <v>1749.4804072727275</v>
          </cell>
          <cell r="AG289">
            <v>1650.5756855612369</v>
          </cell>
          <cell r="AH289">
            <v>98.904721711490453</v>
          </cell>
          <cell r="AI289">
            <v>1400.789</v>
          </cell>
          <cell r="AK289">
            <v>6118.2249260606059</v>
          </cell>
        </row>
        <row r="290">
          <cell r="F290">
            <v>674.74900000000002</v>
          </cell>
          <cell r="P290">
            <v>490.70000000000005</v>
          </cell>
          <cell r="S290">
            <v>-47.716000000000015</v>
          </cell>
          <cell r="X290">
            <v>-124.30000000000001</v>
          </cell>
          <cell r="AC290">
            <v>-47.86</v>
          </cell>
          <cell r="AF290">
            <v>427</v>
          </cell>
          <cell r="AG290">
            <v>427</v>
          </cell>
          <cell r="AH290">
            <v>0</v>
          </cell>
          <cell r="AI290">
            <v>515.13300000000004</v>
          </cell>
          <cell r="AK290">
            <v>1375.9139999999998</v>
          </cell>
        </row>
        <row r="291">
          <cell r="F291">
            <v>269.642</v>
          </cell>
          <cell r="P291">
            <v>115.1</v>
          </cell>
          <cell r="Q291">
            <v>0</v>
          </cell>
          <cell r="R291">
            <v>0</v>
          </cell>
          <cell r="S291">
            <v>65.700000000000017</v>
          </cell>
          <cell r="T291">
            <v>0</v>
          </cell>
          <cell r="U291">
            <v>0</v>
          </cell>
          <cell r="V291">
            <v>0</v>
          </cell>
          <cell r="W291">
            <v>0</v>
          </cell>
          <cell r="X291">
            <v>83.754545454545436</v>
          </cell>
          <cell r="Y291">
            <v>0</v>
          </cell>
          <cell r="Z291">
            <v>0</v>
          </cell>
          <cell r="AA291">
            <v>0</v>
          </cell>
          <cell r="AB291">
            <v>0</v>
          </cell>
          <cell r="AC291">
            <v>80.399999999999977</v>
          </cell>
          <cell r="AD291">
            <v>0</v>
          </cell>
          <cell r="AE291">
            <v>0</v>
          </cell>
          <cell r="AF291">
            <v>894.67272727272723</v>
          </cell>
          <cell r="AG291">
            <v>894.67272727272723</v>
          </cell>
          <cell r="AH291">
            <v>0</v>
          </cell>
          <cell r="AI291">
            <v>132.79999999999998</v>
          </cell>
          <cell r="AK291">
            <v>1509.2692727272727</v>
          </cell>
        </row>
        <row r="292">
          <cell r="F292">
            <v>-0.5</v>
          </cell>
          <cell r="P292">
            <v>0.20800000000000018</v>
          </cell>
          <cell r="S292">
            <v>-0.23600000000000065</v>
          </cell>
          <cell r="X292">
            <v>-0.42800000000000082</v>
          </cell>
          <cell r="AC292">
            <v>30.067999999999998</v>
          </cell>
          <cell r="AF292">
            <v>0.28399999999999892</v>
          </cell>
          <cell r="AG292">
            <v>0.28399999999999892</v>
          </cell>
          <cell r="AH292">
            <v>0</v>
          </cell>
          <cell r="AI292">
            <v>280.596</v>
          </cell>
          <cell r="AK292">
            <v>28.999999999999996</v>
          </cell>
        </row>
        <row r="293">
          <cell r="F293">
            <v>-0.43200000000001637</v>
          </cell>
          <cell r="P293">
            <v>0.19200000000000017</v>
          </cell>
          <cell r="S293">
            <v>-0.32000000000000028</v>
          </cell>
          <cell r="X293">
            <v>-0.3360000000000003</v>
          </cell>
          <cell r="AC293">
            <v>0.28000000000000114</v>
          </cell>
          <cell r="AF293">
            <v>0.35200000000000031</v>
          </cell>
          <cell r="AG293">
            <v>0.35200000000000031</v>
          </cell>
          <cell r="AH293">
            <v>0</v>
          </cell>
          <cell r="AI293">
            <v>88.560000000000016</v>
          </cell>
          <cell r="AK293">
            <v>-0.20000000000001528</v>
          </cell>
        </row>
        <row r="294">
          <cell r="F294">
            <v>1046.7225066666667</v>
          </cell>
          <cell r="P294">
            <v>455.17680000000001</v>
          </cell>
          <cell r="Q294">
            <v>0</v>
          </cell>
          <cell r="R294">
            <v>0</v>
          </cell>
          <cell r="S294">
            <v>551.19200000000001</v>
          </cell>
          <cell r="T294">
            <v>0</v>
          </cell>
          <cell r="U294">
            <v>0</v>
          </cell>
          <cell r="V294">
            <v>0</v>
          </cell>
          <cell r="W294">
            <v>0</v>
          </cell>
          <cell r="X294">
            <v>96.712000000000018</v>
          </cell>
          <cell r="Y294">
            <v>0</v>
          </cell>
          <cell r="Z294">
            <v>0</v>
          </cell>
          <cell r="AA294">
            <v>0</v>
          </cell>
          <cell r="AB294">
            <v>0</v>
          </cell>
          <cell r="AC294">
            <v>207.93599999999998</v>
          </cell>
          <cell r="AD294">
            <v>0</v>
          </cell>
          <cell r="AE294">
            <v>0</v>
          </cell>
          <cell r="AF294">
            <v>415.17168000000004</v>
          </cell>
          <cell r="AG294">
            <v>317.26695828850961</v>
          </cell>
          <cell r="AH294">
            <v>97.904721711490453</v>
          </cell>
          <cell r="AI294">
            <v>370</v>
          </cell>
          <cell r="AK294">
            <v>3167.574986666667</v>
          </cell>
        </row>
        <row r="295">
          <cell r="F295">
            <v>14.226506666666666</v>
          </cell>
          <cell r="P295">
            <v>413.43280000000004</v>
          </cell>
          <cell r="S295">
            <v>31.26400000000001</v>
          </cell>
          <cell r="X295">
            <v>4.5600000000000023</v>
          </cell>
          <cell r="AC295">
            <v>54</v>
          </cell>
          <cell r="AF295">
            <v>220.96368000000001</v>
          </cell>
          <cell r="AG295">
            <v>150.26695828850956</v>
          </cell>
          <cell r="AH295">
            <v>70.696721711490468</v>
          </cell>
          <cell r="AI295">
            <v>0</v>
          </cell>
          <cell r="AK295">
            <v>738.44698666666682</v>
          </cell>
        </row>
        <row r="296">
          <cell r="F296">
            <v>1</v>
          </cell>
          <cell r="P296">
            <v>13.224</v>
          </cell>
          <cell r="S296">
            <v>441.76800000000003</v>
          </cell>
          <cell r="X296">
            <v>45.144000000000005</v>
          </cell>
          <cell r="AC296">
            <v>79.623999999999995</v>
          </cell>
          <cell r="AF296">
            <v>120.024</v>
          </cell>
          <cell r="AG296">
            <v>96.92</v>
          </cell>
          <cell r="AH296">
            <v>23.103999999999999</v>
          </cell>
          <cell r="AI296">
            <v>0</v>
          </cell>
          <cell r="AK296">
            <v>701.78399999999999</v>
          </cell>
        </row>
        <row r="297">
          <cell r="F297">
            <v>1031.4960000000001</v>
          </cell>
          <cell r="P297">
            <v>28.52</v>
          </cell>
          <cell r="S297">
            <v>78.16</v>
          </cell>
          <cell r="X297">
            <v>47.008000000000003</v>
          </cell>
          <cell r="AC297">
            <v>74.311999999999998</v>
          </cell>
          <cell r="AF297">
            <v>74.183999999999997</v>
          </cell>
          <cell r="AG297">
            <v>70.080000000000013</v>
          </cell>
          <cell r="AH297">
            <v>4.103999999999985</v>
          </cell>
          <cell r="AI297">
            <v>370</v>
          </cell>
          <cell r="AK297">
            <v>1727.3440000000001</v>
          </cell>
        </row>
        <row r="298">
          <cell r="P298">
            <v>0</v>
          </cell>
          <cell r="AF298">
            <v>0</v>
          </cell>
          <cell r="AG298">
            <v>0</v>
          </cell>
          <cell r="AH298">
            <v>0</v>
          </cell>
          <cell r="AI298">
            <v>0</v>
          </cell>
          <cell r="AK298">
            <v>0</v>
          </cell>
        </row>
        <row r="299">
          <cell r="F299">
            <v>14.666666666666666</v>
          </cell>
          <cell r="P299">
            <v>-60</v>
          </cell>
          <cell r="S299">
            <v>8</v>
          </cell>
          <cell r="X299">
            <v>36</v>
          </cell>
          <cell r="AC299">
            <v>26</v>
          </cell>
          <cell r="AF299">
            <v>12</v>
          </cell>
          <cell r="AG299">
            <v>11</v>
          </cell>
          <cell r="AH299">
            <v>1</v>
          </cell>
          <cell r="AI299">
            <v>13.7</v>
          </cell>
          <cell r="AK299">
            <v>36.666666666666664</v>
          </cell>
        </row>
        <row r="300">
          <cell r="F300">
            <v>113403.97284</v>
          </cell>
          <cell r="P300">
            <v>1001.3768000000002</v>
          </cell>
          <cell r="Q300">
            <v>0</v>
          </cell>
          <cell r="R300">
            <v>0</v>
          </cell>
          <cell r="S300">
            <v>576.61999999999898</v>
          </cell>
          <cell r="T300">
            <v>-835.56363636363631</v>
          </cell>
          <cell r="U300">
            <v>-846.70909090909095</v>
          </cell>
          <cell r="V300">
            <v>0</v>
          </cell>
          <cell r="W300">
            <v>0</v>
          </cell>
          <cell r="X300">
            <v>92.4025454545515</v>
          </cell>
          <cell r="Y300">
            <v>-588</v>
          </cell>
          <cell r="Z300">
            <v>-768</v>
          </cell>
          <cell r="AA300">
            <v>0</v>
          </cell>
          <cell r="AB300">
            <v>0</v>
          </cell>
          <cell r="AC300">
            <v>296.8240000000028</v>
          </cell>
          <cell r="AD300">
            <v>-181</v>
          </cell>
          <cell r="AE300">
            <v>-292.09090909090912</v>
          </cell>
          <cell r="AF300">
            <v>1748.4804072727284</v>
          </cell>
          <cell r="AG300">
            <v>1650.5756855612367</v>
          </cell>
          <cell r="AH300">
            <v>98.904721711490538</v>
          </cell>
          <cell r="AI300">
            <v>-1904.3636363636365</v>
          </cell>
          <cell r="AK300">
            <v>117394.68559272728</v>
          </cell>
        </row>
        <row r="301">
          <cell r="AH301">
            <v>191</v>
          </cell>
          <cell r="AK301">
            <v>0</v>
          </cell>
        </row>
        <row r="303">
          <cell r="F303">
            <v>113403.97284</v>
          </cell>
          <cell r="G303">
            <v>0</v>
          </cell>
          <cell r="H303">
            <v>0</v>
          </cell>
          <cell r="P303">
            <v>1001.3768000000002</v>
          </cell>
          <cell r="Q303">
            <v>0</v>
          </cell>
          <cell r="R303">
            <v>0</v>
          </cell>
          <cell r="S303">
            <v>576.61999999999898</v>
          </cell>
          <cell r="T303">
            <v>-835.56363636363631</v>
          </cell>
          <cell r="U303">
            <v>-846.70909090909095</v>
          </cell>
          <cell r="V303">
            <v>0</v>
          </cell>
          <cell r="W303">
            <v>0</v>
          </cell>
          <cell r="X303">
            <v>92.4025454545515</v>
          </cell>
          <cell r="Y303">
            <v>-588</v>
          </cell>
          <cell r="Z303">
            <v>-768</v>
          </cell>
          <cell r="AA303">
            <v>0</v>
          </cell>
          <cell r="AB303">
            <v>0</v>
          </cell>
          <cell r="AC303">
            <v>296.8240000000028</v>
          </cell>
          <cell r="AF303">
            <v>1748.4804072727284</v>
          </cell>
          <cell r="AG303">
            <v>1458.5756855612378</v>
          </cell>
          <cell r="AH303">
            <v>289.90472171149054</v>
          </cell>
          <cell r="AK303">
            <v>117394.68559272728</v>
          </cell>
        </row>
        <row r="304">
          <cell r="F304">
            <v>0</v>
          </cell>
          <cell r="AK304">
            <v>0</v>
          </cell>
        </row>
        <row r="305">
          <cell r="F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K305">
            <v>0</v>
          </cell>
        </row>
        <row r="306">
          <cell r="F306">
            <v>0</v>
          </cell>
          <cell r="P306">
            <v>0</v>
          </cell>
          <cell r="S306">
            <v>0</v>
          </cell>
          <cell r="X306">
            <v>0</v>
          </cell>
          <cell r="AC306">
            <v>0</v>
          </cell>
          <cell r="AF306">
            <v>0</v>
          </cell>
          <cell r="AG306">
            <v>0</v>
          </cell>
          <cell r="AH306">
            <v>0</v>
          </cell>
          <cell r="AI306">
            <v>0</v>
          </cell>
          <cell r="AK306">
            <v>0</v>
          </cell>
        </row>
        <row r="307">
          <cell r="AK307">
            <v>0</v>
          </cell>
        </row>
        <row r="308">
          <cell r="F308">
            <v>113403.97284</v>
          </cell>
          <cell r="P308">
            <v>1001.3768000000002</v>
          </cell>
          <cell r="Q308">
            <v>0</v>
          </cell>
          <cell r="R308">
            <v>0</v>
          </cell>
          <cell r="S308">
            <v>576.61999999999898</v>
          </cell>
          <cell r="T308">
            <v>-835.56363636363631</v>
          </cell>
          <cell r="U308">
            <v>-846.70909090909095</v>
          </cell>
          <cell r="V308">
            <v>0</v>
          </cell>
          <cell r="W308">
            <v>0</v>
          </cell>
          <cell r="X308">
            <v>92.4025454545515</v>
          </cell>
          <cell r="Y308">
            <v>-588</v>
          </cell>
          <cell r="Z308">
            <v>-768</v>
          </cell>
          <cell r="AA308">
            <v>0</v>
          </cell>
          <cell r="AB308">
            <v>0</v>
          </cell>
          <cell r="AC308">
            <v>296.8240000000028</v>
          </cell>
          <cell r="AD308">
            <v>-181</v>
          </cell>
          <cell r="AE308">
            <v>-292.09090909090912</v>
          </cell>
          <cell r="AF308">
            <v>1748.4804072727284</v>
          </cell>
          <cell r="AG308">
            <v>1458.5756855612378</v>
          </cell>
          <cell r="AH308">
            <v>289.90472171149054</v>
          </cell>
          <cell r="AI308">
            <v>-1904.3636363636365</v>
          </cell>
          <cell r="AK308">
            <v>117394.68559272728</v>
          </cell>
        </row>
        <row r="309">
          <cell r="AK309">
            <v>0</v>
          </cell>
        </row>
        <row r="310">
          <cell r="P310">
            <v>0</v>
          </cell>
          <cell r="AK310">
            <v>0</v>
          </cell>
        </row>
        <row r="311">
          <cell r="S311">
            <v>0</v>
          </cell>
          <cell r="AK311">
            <v>0</v>
          </cell>
        </row>
        <row r="312">
          <cell r="F312">
            <v>4483.4666666666662</v>
          </cell>
          <cell r="AK312">
            <v>4483.4666666666662</v>
          </cell>
        </row>
        <row r="313">
          <cell r="S313">
            <v>0</v>
          </cell>
        </row>
        <row r="314">
          <cell r="F314">
            <v>0</v>
          </cell>
          <cell r="AK314">
            <v>0</v>
          </cell>
        </row>
        <row r="315">
          <cell r="AK315">
            <v>0</v>
          </cell>
        </row>
        <row r="317">
          <cell r="AK317">
            <v>0</v>
          </cell>
        </row>
        <row r="318">
          <cell r="S318">
            <v>0</v>
          </cell>
        </row>
        <row r="319">
          <cell r="F319">
            <v>113403.97284</v>
          </cell>
          <cell r="P319">
            <v>1001.3768000000002</v>
          </cell>
          <cell r="Q319">
            <v>0</v>
          </cell>
          <cell r="R319">
            <v>0</v>
          </cell>
          <cell r="S319">
            <v>576.61999999999898</v>
          </cell>
          <cell r="T319">
            <v>-835.56363636363631</v>
          </cell>
          <cell r="U319">
            <v>-846.70909090909095</v>
          </cell>
          <cell r="V319">
            <v>0</v>
          </cell>
          <cell r="W319">
            <v>0</v>
          </cell>
          <cell r="X319">
            <v>92.4025454545515</v>
          </cell>
          <cell r="Y319">
            <v>-588</v>
          </cell>
          <cell r="Z319">
            <v>-768</v>
          </cell>
          <cell r="AA319">
            <v>0</v>
          </cell>
          <cell r="AB319">
            <v>0</v>
          </cell>
          <cell r="AC319">
            <v>296.8240000000028</v>
          </cell>
          <cell r="AD319">
            <v>-181</v>
          </cell>
          <cell r="AE319">
            <v>-292.09090909090912</v>
          </cell>
          <cell r="AF319">
            <v>1748.4804072727284</v>
          </cell>
          <cell r="AG319">
            <v>1458.5756855612378</v>
          </cell>
          <cell r="AH319">
            <v>289.90472171149054</v>
          </cell>
          <cell r="AI319">
            <v>-1904.3636363636365</v>
          </cell>
          <cell r="AK319">
            <v>117394.68559272728</v>
          </cell>
        </row>
        <row r="328">
          <cell r="AJ328">
            <v>2455</v>
          </cell>
          <cell r="AK328">
            <v>7352.363636363636</v>
          </cell>
          <cell r="AM328">
            <v>7283.636363636364</v>
          </cell>
        </row>
        <row r="329">
          <cell r="F329">
            <v>103</v>
          </cell>
          <cell r="P329">
            <v>198</v>
          </cell>
          <cell r="S329">
            <v>460</v>
          </cell>
          <cell r="X329">
            <v>178</v>
          </cell>
          <cell r="AC329">
            <v>146</v>
          </cell>
          <cell r="AF329">
            <v>393</v>
          </cell>
          <cell r="AG329">
            <v>373</v>
          </cell>
          <cell r="AH329">
            <v>20</v>
          </cell>
          <cell r="AI329">
            <v>76</v>
          </cell>
          <cell r="AK329">
            <v>1570</v>
          </cell>
          <cell r="AM329">
            <v>1253</v>
          </cell>
        </row>
        <row r="330">
          <cell r="AJ330">
            <v>36</v>
          </cell>
          <cell r="AK330">
            <v>10408.151428571429</v>
          </cell>
          <cell r="AM330">
            <v>10408.151428571429</v>
          </cell>
        </row>
        <row r="331">
          <cell r="AK331">
            <v>791.6</v>
          </cell>
          <cell r="AM331">
            <v>791.6</v>
          </cell>
        </row>
        <row r="332">
          <cell r="AJ332">
            <v>36</v>
          </cell>
          <cell r="AK332">
            <v>120.26666666666665</v>
          </cell>
          <cell r="AM332">
            <v>108.26666666666667</v>
          </cell>
        </row>
        <row r="333">
          <cell r="AK333">
            <v>4126.5514285714289</v>
          </cell>
          <cell r="AM333">
            <v>4126.5514285714289</v>
          </cell>
        </row>
        <row r="334">
          <cell r="AK334">
            <v>3500</v>
          </cell>
          <cell r="AM334">
            <v>3500</v>
          </cell>
        </row>
        <row r="335">
          <cell r="AK335">
            <v>0</v>
          </cell>
        </row>
        <row r="336">
          <cell r="AK336">
            <v>1990</v>
          </cell>
          <cell r="AM336">
            <v>1990</v>
          </cell>
        </row>
        <row r="337">
          <cell r="AK337">
            <v>9242.6666666666661</v>
          </cell>
        </row>
        <row r="338">
          <cell r="AK338">
            <v>0</v>
          </cell>
          <cell r="AM338">
            <v>0</v>
          </cell>
        </row>
        <row r="339">
          <cell r="AK339">
            <v>2183.5999999999995</v>
          </cell>
          <cell r="AM339">
            <v>2302</v>
          </cell>
        </row>
        <row r="340">
          <cell r="AK340">
            <v>2830.0727272727277</v>
          </cell>
          <cell r="AM340">
            <v>2501.0727272727272</v>
          </cell>
        </row>
        <row r="341">
          <cell r="AK341">
            <v>0</v>
          </cell>
          <cell r="AM341">
            <v>0</v>
          </cell>
        </row>
        <row r="342">
          <cell r="AK342">
            <v>0</v>
          </cell>
          <cell r="AM342">
            <v>0</v>
          </cell>
        </row>
        <row r="343">
          <cell r="AK343">
            <v>0</v>
          </cell>
          <cell r="AM343">
            <v>0</v>
          </cell>
        </row>
        <row r="344">
          <cell r="AK344">
            <v>4067.2</v>
          </cell>
          <cell r="AM344">
            <v>3105.4</v>
          </cell>
        </row>
        <row r="345">
          <cell r="AK345">
            <v>1424</v>
          </cell>
          <cell r="AM345">
            <v>988</v>
          </cell>
        </row>
        <row r="346">
          <cell r="AK346">
            <v>302.40000000000003</v>
          </cell>
          <cell r="AM346">
            <v>276.8</v>
          </cell>
        </row>
        <row r="347">
          <cell r="AK347">
            <v>1444.2</v>
          </cell>
        </row>
        <row r="348">
          <cell r="AK348">
            <v>896.6</v>
          </cell>
        </row>
        <row r="349">
          <cell r="AK349">
            <v>0</v>
          </cell>
          <cell r="AM349">
            <v>0</v>
          </cell>
        </row>
        <row r="350">
          <cell r="AK350">
            <v>66</v>
          </cell>
          <cell r="AM350">
            <v>66</v>
          </cell>
        </row>
        <row r="351">
          <cell r="AK351">
            <v>3398.2</v>
          </cell>
          <cell r="AM351">
            <v>2675</v>
          </cell>
        </row>
        <row r="352">
          <cell r="P352">
            <v>225</v>
          </cell>
          <cell r="S352">
            <v>296</v>
          </cell>
          <cell r="X352">
            <v>56</v>
          </cell>
          <cell r="AC352">
            <v>95</v>
          </cell>
          <cell r="AF352">
            <v>317.8</v>
          </cell>
          <cell r="AG352">
            <v>317.8</v>
          </cell>
          <cell r="AH352">
            <v>0</v>
          </cell>
          <cell r="AK352">
            <v>989.8</v>
          </cell>
        </row>
        <row r="353">
          <cell r="AK353">
            <v>0</v>
          </cell>
        </row>
        <row r="354">
          <cell r="F354">
            <v>0</v>
          </cell>
          <cell r="P354">
            <v>0</v>
          </cell>
          <cell r="S354">
            <v>0</v>
          </cell>
          <cell r="X354">
            <v>0</v>
          </cell>
          <cell r="AC354">
            <v>0</v>
          </cell>
          <cell r="AF354">
            <v>0</v>
          </cell>
          <cell r="AG354">
            <v>0</v>
          </cell>
          <cell r="AH354">
            <v>0</v>
          </cell>
          <cell r="AI354">
            <v>0</v>
          </cell>
          <cell r="AK354">
            <v>363.66666666666663</v>
          </cell>
          <cell r="AM354">
            <v>363.66666666666663</v>
          </cell>
        </row>
        <row r="355">
          <cell r="AK355">
            <v>105</v>
          </cell>
          <cell r="AM355">
            <v>105</v>
          </cell>
        </row>
        <row r="356">
          <cell r="AK356">
            <v>0</v>
          </cell>
          <cell r="AM356">
            <v>0</v>
          </cell>
        </row>
        <row r="357">
          <cell r="AK357">
            <v>0</v>
          </cell>
          <cell r="AM357">
            <v>0</v>
          </cell>
        </row>
        <row r="358">
          <cell r="AJ358">
            <v>-2491</v>
          </cell>
          <cell r="AK358">
            <v>3376.9666666666672</v>
          </cell>
          <cell r="AM358" t="e">
            <v>#REF!</v>
          </cell>
        </row>
        <row r="359">
          <cell r="AK359">
            <v>607.40000000000009</v>
          </cell>
        </row>
        <row r="360">
          <cell r="AK360">
            <v>691.86666666666667</v>
          </cell>
        </row>
        <row r="361">
          <cell r="AK361">
            <v>2077.6999999999998</v>
          </cell>
        </row>
        <row r="362">
          <cell r="F362">
            <v>0</v>
          </cell>
          <cell r="P362">
            <v>-41.200000000000045</v>
          </cell>
          <cell r="S362">
            <v>-70.599999999999909</v>
          </cell>
          <cell r="T362">
            <v>207.20000000000002</v>
          </cell>
          <cell r="U362">
            <v>1087.8</v>
          </cell>
          <cell r="X362">
            <v>576.79999999999995</v>
          </cell>
          <cell r="Y362">
            <v>233</v>
          </cell>
          <cell r="Z362">
            <v>519</v>
          </cell>
          <cell r="AC362">
            <v>574.79999999999995</v>
          </cell>
          <cell r="AD362">
            <v>240</v>
          </cell>
          <cell r="AE362">
            <v>494</v>
          </cell>
          <cell r="AF362">
            <v>108.80000000000001</v>
          </cell>
          <cell r="AG362">
            <v>170.8</v>
          </cell>
          <cell r="AH362">
            <v>-62</v>
          </cell>
          <cell r="AI362">
            <v>0</v>
          </cell>
          <cell r="AK362">
            <v>1158.5999999999999</v>
          </cell>
          <cell r="AM362">
            <v>1049.8</v>
          </cell>
        </row>
        <row r="371">
          <cell r="F371">
            <v>-4642</v>
          </cell>
        </row>
        <row r="383">
          <cell r="F383" t="str">
            <v>лютий</v>
          </cell>
          <cell r="P383" t="str">
            <v>лютий</v>
          </cell>
          <cell r="X383" t="str">
            <v>лютий</v>
          </cell>
          <cell r="AC383" t="str">
            <v>лютий</v>
          </cell>
        </row>
        <row r="384">
          <cell r="F384" t="str">
            <v>АППАРАТ</v>
          </cell>
          <cell r="P384" t="str">
            <v>ККМ</v>
          </cell>
          <cell r="X384" t="str">
            <v>ТЕЦ5</v>
          </cell>
          <cell r="AC384" t="str">
            <v>ТЕЦ6</v>
          </cell>
          <cell r="AK384" t="str">
            <v>АК "КЕ"</v>
          </cell>
          <cell r="AL384" t="str">
            <v>Е/Е</v>
          </cell>
        </row>
        <row r="385">
          <cell r="F385" t="str">
            <v>ПЛАН</v>
          </cell>
          <cell r="P385" t="str">
            <v>ПЛАН</v>
          </cell>
          <cell r="X385" t="str">
            <v>ПЛАН</v>
          </cell>
          <cell r="AC385" t="str">
            <v>ПЛАН</v>
          </cell>
          <cell r="AK385" t="str">
            <v>ПЛАН</v>
          </cell>
          <cell r="AL385" t="str">
            <v>ПЛАН</v>
          </cell>
        </row>
        <row r="386">
          <cell r="F386">
            <v>164.3</v>
          </cell>
          <cell r="G386">
            <v>35</v>
          </cell>
          <cell r="H386">
            <v>35</v>
          </cell>
          <cell r="P386">
            <v>14.333333333333332</v>
          </cell>
          <cell r="S386">
            <v>14.333333333333332</v>
          </cell>
          <cell r="X386">
            <v>182</v>
          </cell>
          <cell r="Y386">
            <v>56</v>
          </cell>
          <cell r="Z386">
            <v>56</v>
          </cell>
          <cell r="AC386">
            <v>323.66666666666674</v>
          </cell>
          <cell r="AD386">
            <v>106</v>
          </cell>
          <cell r="AE386">
            <v>105</v>
          </cell>
          <cell r="AK386">
            <v>735.30000000000018</v>
          </cell>
          <cell r="AL386">
            <v>305.73333333333335</v>
          </cell>
          <cell r="AM386">
            <v>226.33333333333334</v>
          </cell>
        </row>
        <row r="387">
          <cell r="F387">
            <v>29</v>
          </cell>
          <cell r="G387">
            <v>6</v>
          </cell>
          <cell r="P387">
            <v>0</v>
          </cell>
          <cell r="X387">
            <v>0</v>
          </cell>
          <cell r="Y387">
            <v>0</v>
          </cell>
          <cell r="AC387">
            <v>3.6666666666666665</v>
          </cell>
          <cell r="AD387">
            <v>1</v>
          </cell>
          <cell r="AK387">
            <v>46</v>
          </cell>
          <cell r="AL387">
            <v>10</v>
          </cell>
        </row>
        <row r="388">
          <cell r="F388">
            <v>0</v>
          </cell>
          <cell r="G388">
            <v>0</v>
          </cell>
          <cell r="P388">
            <v>0.66666666666666663</v>
          </cell>
          <cell r="X388">
            <v>146.66666666666666</v>
          </cell>
          <cell r="Y388">
            <v>45</v>
          </cell>
          <cell r="AC388">
            <v>280.66666666666669</v>
          </cell>
          <cell r="AD388">
            <v>92</v>
          </cell>
          <cell r="AK388">
            <v>428</v>
          </cell>
          <cell r="AL388">
            <v>137.66666666666666</v>
          </cell>
        </row>
        <row r="389">
          <cell r="F389">
            <v>0</v>
          </cell>
          <cell r="G389">
            <v>0</v>
          </cell>
          <cell r="P389">
            <v>2</v>
          </cell>
          <cell r="X389">
            <v>0</v>
          </cell>
          <cell r="Y389">
            <v>0</v>
          </cell>
          <cell r="AC389">
            <v>25</v>
          </cell>
          <cell r="AD389">
            <v>8</v>
          </cell>
          <cell r="AK389">
            <v>33.666666666666671</v>
          </cell>
          <cell r="AL389">
            <v>13</v>
          </cell>
        </row>
        <row r="390">
          <cell r="F390">
            <v>0</v>
          </cell>
          <cell r="G390">
            <v>0</v>
          </cell>
          <cell r="P390">
            <v>0</v>
          </cell>
          <cell r="X390">
            <v>25.333333333333332</v>
          </cell>
          <cell r="Y390">
            <v>8</v>
          </cell>
          <cell r="AC390">
            <v>0.66666666666666663</v>
          </cell>
          <cell r="AD390">
            <v>0</v>
          </cell>
          <cell r="AK390">
            <v>26</v>
          </cell>
          <cell r="AL390">
            <v>8</v>
          </cell>
        </row>
        <row r="391">
          <cell r="F391">
            <v>120.63333333333333</v>
          </cell>
          <cell r="G391">
            <v>26</v>
          </cell>
          <cell r="P391">
            <v>0</v>
          </cell>
          <cell r="X391">
            <v>0</v>
          </cell>
          <cell r="Y391">
            <v>0</v>
          </cell>
          <cell r="AC391">
            <v>0</v>
          </cell>
          <cell r="AD391">
            <v>0</v>
          </cell>
          <cell r="AK391">
            <v>120.63333333333333</v>
          </cell>
          <cell r="AL391">
            <v>28</v>
          </cell>
        </row>
        <row r="392">
          <cell r="F392">
            <v>8.6666666666666661</v>
          </cell>
          <cell r="G392">
            <v>2</v>
          </cell>
          <cell r="P392">
            <v>0</v>
          </cell>
          <cell r="X392">
            <v>0</v>
          </cell>
          <cell r="Y392">
            <v>0</v>
          </cell>
          <cell r="AC392">
            <v>0</v>
          </cell>
          <cell r="AD392">
            <v>0</v>
          </cell>
          <cell r="AK392">
            <v>8.6666666666666661</v>
          </cell>
          <cell r="AL392">
            <v>0</v>
          </cell>
        </row>
        <row r="393">
          <cell r="F393">
            <v>0</v>
          </cell>
          <cell r="G393">
            <v>0</v>
          </cell>
          <cell r="P393">
            <v>5.333333333333333</v>
          </cell>
          <cell r="X393">
            <v>0</v>
          </cell>
          <cell r="Y393">
            <v>0</v>
          </cell>
          <cell r="AC393">
            <v>0</v>
          </cell>
          <cell r="AD393">
            <v>0</v>
          </cell>
          <cell r="AK393">
            <v>22</v>
          </cell>
          <cell r="AL393">
            <v>15.333333333333332</v>
          </cell>
        </row>
        <row r="394">
          <cell r="F394">
            <v>5.333333333333333</v>
          </cell>
          <cell r="G394">
            <v>1</v>
          </cell>
          <cell r="P394">
            <v>0</v>
          </cell>
          <cell r="X394">
            <v>0</v>
          </cell>
          <cell r="Y394">
            <v>0</v>
          </cell>
          <cell r="AC394">
            <v>0</v>
          </cell>
          <cell r="AD394">
            <v>0</v>
          </cell>
          <cell r="AK394">
            <v>5.333333333333333</v>
          </cell>
          <cell r="AL394">
            <v>1</v>
          </cell>
        </row>
        <row r="395">
          <cell r="F395">
            <v>0.33333333333333331</v>
          </cell>
          <cell r="G395">
            <v>0</v>
          </cell>
          <cell r="P395">
            <v>4.333333333333333</v>
          </cell>
          <cell r="X395">
            <v>0</v>
          </cell>
          <cell r="Y395">
            <v>0</v>
          </cell>
          <cell r="AC395">
            <v>0</v>
          </cell>
          <cell r="AD395">
            <v>0</v>
          </cell>
          <cell r="AK395">
            <v>4.6666666666666661</v>
          </cell>
          <cell r="AL395">
            <v>4.333333333333333</v>
          </cell>
        </row>
        <row r="396">
          <cell r="F396">
            <v>0.33333333333333331</v>
          </cell>
          <cell r="G396">
            <v>0</v>
          </cell>
          <cell r="P396">
            <v>2</v>
          </cell>
          <cell r="X396">
            <v>10</v>
          </cell>
          <cell r="Y396">
            <v>3</v>
          </cell>
          <cell r="AC396">
            <v>13.666666666666666</v>
          </cell>
          <cell r="AD396">
            <v>4</v>
          </cell>
          <cell r="AK396">
            <v>26</v>
          </cell>
          <cell r="AL396">
            <v>9</v>
          </cell>
        </row>
        <row r="397">
          <cell r="F397">
            <v>0</v>
          </cell>
          <cell r="G397">
            <v>0</v>
          </cell>
          <cell r="P397">
            <v>0</v>
          </cell>
          <cell r="X397">
            <v>0</v>
          </cell>
          <cell r="Y397">
            <v>0</v>
          </cell>
          <cell r="AC397">
            <v>0</v>
          </cell>
          <cell r="AD397">
            <v>0</v>
          </cell>
          <cell r="AK397">
            <v>0</v>
          </cell>
        </row>
        <row r="398">
          <cell r="F398">
            <v>1.1666666666666667</v>
          </cell>
          <cell r="G398">
            <v>0</v>
          </cell>
          <cell r="P398">
            <v>20.5</v>
          </cell>
          <cell r="X398">
            <v>522.33333333333337</v>
          </cell>
          <cell r="Y398">
            <v>162</v>
          </cell>
          <cell r="AC398">
            <v>43</v>
          </cell>
          <cell r="AD398">
            <v>14</v>
          </cell>
          <cell r="AK398">
            <v>587.33333333333337</v>
          </cell>
          <cell r="AL398">
            <v>196.5</v>
          </cell>
          <cell r="AM398">
            <v>196.83333333333334</v>
          </cell>
        </row>
        <row r="399">
          <cell r="F399">
            <v>0</v>
          </cell>
          <cell r="G399">
            <v>0</v>
          </cell>
          <cell r="P399">
            <v>0</v>
          </cell>
          <cell r="X399">
            <v>0</v>
          </cell>
          <cell r="Y399">
            <v>0</v>
          </cell>
          <cell r="AC399">
            <v>0</v>
          </cell>
          <cell r="AD399">
            <v>0</v>
          </cell>
          <cell r="AK399">
            <v>0</v>
          </cell>
          <cell r="AL399">
            <v>0</v>
          </cell>
        </row>
        <row r="400">
          <cell r="F400">
            <v>0</v>
          </cell>
          <cell r="G400">
            <v>0</v>
          </cell>
          <cell r="P400">
            <v>0</v>
          </cell>
          <cell r="X400">
            <v>480.66666666666669</v>
          </cell>
          <cell r="Y400">
            <v>149</v>
          </cell>
          <cell r="AC400">
            <v>11</v>
          </cell>
          <cell r="AD400">
            <v>4</v>
          </cell>
          <cell r="AK400">
            <v>491.66666666666669</v>
          </cell>
          <cell r="AL400">
            <v>153</v>
          </cell>
        </row>
        <row r="401">
          <cell r="F401">
            <v>0</v>
          </cell>
          <cell r="G401">
            <v>0</v>
          </cell>
          <cell r="P401">
            <v>0</v>
          </cell>
          <cell r="X401">
            <v>0</v>
          </cell>
          <cell r="Y401">
            <v>0</v>
          </cell>
          <cell r="AC401">
            <v>0</v>
          </cell>
          <cell r="AD401">
            <v>0</v>
          </cell>
          <cell r="AK401">
            <v>0</v>
          </cell>
          <cell r="AL401">
            <v>0</v>
          </cell>
        </row>
        <row r="402">
          <cell r="F402">
            <v>1.1666666666666667</v>
          </cell>
          <cell r="G402">
            <v>0</v>
          </cell>
          <cell r="P402">
            <v>15.833333333333334</v>
          </cell>
          <cell r="X402">
            <v>41.666666666666664</v>
          </cell>
          <cell r="Y402">
            <v>13</v>
          </cell>
          <cell r="AC402">
            <v>32</v>
          </cell>
          <cell r="AD402">
            <v>10</v>
          </cell>
          <cell r="AK402">
            <v>91</v>
          </cell>
          <cell r="AL402">
            <v>43.833333333333336</v>
          </cell>
        </row>
        <row r="403">
          <cell r="F403">
            <v>0</v>
          </cell>
          <cell r="G403">
            <v>0</v>
          </cell>
          <cell r="P403">
            <v>4.666666666666667</v>
          </cell>
          <cell r="X403">
            <v>0</v>
          </cell>
          <cell r="Y403">
            <v>0</v>
          </cell>
          <cell r="AC403">
            <v>0</v>
          </cell>
          <cell r="AD403">
            <v>0</v>
          </cell>
          <cell r="AK403">
            <v>4.666666666666667</v>
          </cell>
          <cell r="AL403">
            <v>0</v>
          </cell>
        </row>
        <row r="404">
          <cell r="F404">
            <v>0</v>
          </cell>
          <cell r="G404">
            <v>0</v>
          </cell>
          <cell r="P404">
            <v>0</v>
          </cell>
          <cell r="X404">
            <v>0</v>
          </cell>
          <cell r="Y404">
            <v>0</v>
          </cell>
          <cell r="AC404">
            <v>0</v>
          </cell>
          <cell r="AD404">
            <v>0</v>
          </cell>
          <cell r="AK404">
            <v>0</v>
          </cell>
        </row>
        <row r="405">
          <cell r="F405">
            <v>10</v>
          </cell>
          <cell r="G405">
            <v>2</v>
          </cell>
          <cell r="P405">
            <v>39</v>
          </cell>
          <cell r="X405">
            <v>0</v>
          </cell>
          <cell r="Y405">
            <v>0</v>
          </cell>
          <cell r="AC405">
            <v>0</v>
          </cell>
          <cell r="AD405">
            <v>0</v>
          </cell>
          <cell r="AK405">
            <v>49</v>
          </cell>
          <cell r="AL405">
            <v>41</v>
          </cell>
          <cell r="AM405">
            <v>42</v>
          </cell>
        </row>
        <row r="406">
          <cell r="F406">
            <v>2.6666666666666665</v>
          </cell>
          <cell r="G406">
            <v>1</v>
          </cell>
          <cell r="P406">
            <v>3.3333333333333335</v>
          </cell>
          <cell r="X406">
            <v>0</v>
          </cell>
          <cell r="Y406">
            <v>0</v>
          </cell>
          <cell r="AC406">
            <v>0</v>
          </cell>
          <cell r="AD406">
            <v>0</v>
          </cell>
          <cell r="AK406">
            <v>6</v>
          </cell>
          <cell r="AL406">
            <v>4.3333333333333339</v>
          </cell>
        </row>
        <row r="407">
          <cell r="F407">
            <v>7.333333333333333</v>
          </cell>
          <cell r="G407">
            <v>2</v>
          </cell>
          <cell r="P407">
            <v>35.666666666666664</v>
          </cell>
          <cell r="X407">
            <v>0</v>
          </cell>
          <cell r="Y407">
            <v>0</v>
          </cell>
          <cell r="AC407">
            <v>0</v>
          </cell>
          <cell r="AD407">
            <v>0</v>
          </cell>
          <cell r="AK407">
            <v>43</v>
          </cell>
          <cell r="AL407">
            <v>37.666666666666664</v>
          </cell>
        </row>
        <row r="408">
          <cell r="F408">
            <v>0</v>
          </cell>
          <cell r="G408">
            <v>0</v>
          </cell>
          <cell r="P408">
            <v>0</v>
          </cell>
          <cell r="X408">
            <v>0</v>
          </cell>
          <cell r="Y408">
            <v>0</v>
          </cell>
          <cell r="AC408">
            <v>0</v>
          </cell>
          <cell r="AD408">
            <v>0</v>
          </cell>
          <cell r="AK408">
            <v>0</v>
          </cell>
        </row>
        <row r="409">
          <cell r="F409">
            <v>206.33333333333329</v>
          </cell>
          <cell r="G409">
            <v>44</v>
          </cell>
          <cell r="H409">
            <v>43</v>
          </cell>
          <cell r="P409">
            <v>50.166666666666671</v>
          </cell>
          <cell r="S409">
            <v>50.166666666666671</v>
          </cell>
          <cell r="X409">
            <v>37.833333333333343</v>
          </cell>
          <cell r="Y409">
            <v>12</v>
          </cell>
          <cell r="AC409">
            <v>26.000000000000004</v>
          </cell>
          <cell r="AD409">
            <v>9</v>
          </cell>
          <cell r="AK409">
            <v>1965.0000000000002</v>
          </cell>
          <cell r="AL409">
            <v>373.16666666666663</v>
          </cell>
          <cell r="AM409">
            <v>373.16666666666663</v>
          </cell>
        </row>
        <row r="410">
          <cell r="F410">
            <v>0</v>
          </cell>
          <cell r="G410">
            <v>0</v>
          </cell>
          <cell r="P410">
            <v>0</v>
          </cell>
          <cell r="X410">
            <v>0</v>
          </cell>
          <cell r="Y410">
            <v>0</v>
          </cell>
          <cell r="AC410">
            <v>0</v>
          </cell>
          <cell r="AD410">
            <v>0</v>
          </cell>
          <cell r="AK410">
            <v>1350</v>
          </cell>
          <cell r="AL410">
            <v>0</v>
          </cell>
        </row>
        <row r="411">
          <cell r="F411">
            <v>0</v>
          </cell>
          <cell r="G411">
            <v>0</v>
          </cell>
          <cell r="P411">
            <v>0</v>
          </cell>
          <cell r="X411">
            <v>0</v>
          </cell>
          <cell r="Y411">
            <v>0</v>
          </cell>
          <cell r="AC411">
            <v>0</v>
          </cell>
          <cell r="AD411">
            <v>0</v>
          </cell>
          <cell r="AK411">
            <v>95</v>
          </cell>
          <cell r="AL411">
            <v>95</v>
          </cell>
        </row>
        <row r="412">
          <cell r="F412">
            <v>0</v>
          </cell>
          <cell r="G412">
            <v>0</v>
          </cell>
          <cell r="P412">
            <v>0</v>
          </cell>
          <cell r="X412">
            <v>0</v>
          </cell>
          <cell r="Y412">
            <v>0</v>
          </cell>
          <cell r="AC412">
            <v>0</v>
          </cell>
          <cell r="AD412">
            <v>0</v>
          </cell>
          <cell r="AK412">
            <v>0</v>
          </cell>
          <cell r="AL412">
            <v>0</v>
          </cell>
        </row>
        <row r="413">
          <cell r="F413">
            <v>0</v>
          </cell>
          <cell r="G413">
            <v>0</v>
          </cell>
          <cell r="P413">
            <v>12.333333333333334</v>
          </cell>
          <cell r="X413">
            <v>0</v>
          </cell>
          <cell r="Y413">
            <v>0</v>
          </cell>
          <cell r="AC413">
            <v>0</v>
          </cell>
          <cell r="AD413">
            <v>0</v>
          </cell>
          <cell r="AK413">
            <v>12.333333333333334</v>
          </cell>
          <cell r="AL413">
            <v>12.333333333333334</v>
          </cell>
        </row>
        <row r="414">
          <cell r="F414">
            <v>0</v>
          </cell>
          <cell r="G414">
            <v>0</v>
          </cell>
          <cell r="P414">
            <v>0</v>
          </cell>
          <cell r="X414">
            <v>0</v>
          </cell>
          <cell r="Y414">
            <v>0</v>
          </cell>
          <cell r="AC414">
            <v>0</v>
          </cell>
          <cell r="AD414">
            <v>0</v>
          </cell>
          <cell r="AK414">
            <v>0</v>
          </cell>
          <cell r="AL414">
            <v>0</v>
          </cell>
        </row>
        <row r="415">
          <cell r="F415">
            <v>1.6666666666666667</v>
          </cell>
          <cell r="G415">
            <v>0</v>
          </cell>
          <cell r="P415">
            <v>5</v>
          </cell>
          <cell r="X415">
            <v>3</v>
          </cell>
          <cell r="Y415">
            <v>1</v>
          </cell>
          <cell r="AC415">
            <v>3</v>
          </cell>
          <cell r="AD415">
            <v>1</v>
          </cell>
          <cell r="AK415">
            <v>57.666666666666664</v>
          </cell>
          <cell r="AL415">
            <v>47</v>
          </cell>
        </row>
        <row r="416">
          <cell r="F416">
            <v>0</v>
          </cell>
          <cell r="G416">
            <v>0</v>
          </cell>
          <cell r="P416">
            <v>0</v>
          </cell>
          <cell r="X416">
            <v>0</v>
          </cell>
          <cell r="Y416">
            <v>0</v>
          </cell>
          <cell r="AC416">
            <v>0</v>
          </cell>
          <cell r="AD416">
            <v>0</v>
          </cell>
          <cell r="AK416">
            <v>4</v>
          </cell>
          <cell r="AL416">
            <v>0</v>
          </cell>
        </row>
        <row r="417">
          <cell r="F417">
            <v>0</v>
          </cell>
          <cell r="G417">
            <v>0</v>
          </cell>
          <cell r="P417">
            <v>0</v>
          </cell>
          <cell r="X417">
            <v>0</v>
          </cell>
          <cell r="Y417">
            <v>0</v>
          </cell>
          <cell r="AC417">
            <v>0</v>
          </cell>
          <cell r="AD417">
            <v>0</v>
          </cell>
          <cell r="AK417">
            <v>0</v>
          </cell>
          <cell r="AL417">
            <v>0</v>
          </cell>
        </row>
        <row r="418">
          <cell r="F418">
            <v>0</v>
          </cell>
          <cell r="G418">
            <v>0</v>
          </cell>
          <cell r="P418">
            <v>18.5</v>
          </cell>
          <cell r="X418">
            <v>4.5</v>
          </cell>
          <cell r="Y418">
            <v>1</v>
          </cell>
          <cell r="AC418">
            <v>1.3333333333333333</v>
          </cell>
          <cell r="AD418">
            <v>0</v>
          </cell>
          <cell r="AK418">
            <v>28.5</v>
          </cell>
          <cell r="AL418">
            <v>23.5</v>
          </cell>
        </row>
        <row r="419">
          <cell r="F419">
            <v>0</v>
          </cell>
          <cell r="G419">
            <v>0</v>
          </cell>
          <cell r="P419">
            <v>1.3333333333333333</v>
          </cell>
          <cell r="X419">
            <v>0</v>
          </cell>
          <cell r="Y419">
            <v>0</v>
          </cell>
          <cell r="AC419">
            <v>1.6666666666666667</v>
          </cell>
          <cell r="AD419">
            <v>1</v>
          </cell>
          <cell r="AK419">
            <v>69</v>
          </cell>
          <cell r="AL419">
            <v>52.333333333333336</v>
          </cell>
        </row>
        <row r="420">
          <cell r="F420">
            <v>177</v>
          </cell>
          <cell r="G420">
            <v>38</v>
          </cell>
          <cell r="P420">
            <v>0</v>
          </cell>
          <cell r="X420">
            <v>0</v>
          </cell>
          <cell r="Y420">
            <v>0</v>
          </cell>
          <cell r="AC420">
            <v>0</v>
          </cell>
          <cell r="AD420">
            <v>0</v>
          </cell>
          <cell r="AK420">
            <v>177</v>
          </cell>
          <cell r="AL420">
            <v>38</v>
          </cell>
        </row>
        <row r="421">
          <cell r="F421">
            <v>0</v>
          </cell>
          <cell r="G421">
            <v>0</v>
          </cell>
          <cell r="P421">
            <v>0</v>
          </cell>
          <cell r="X421">
            <v>10</v>
          </cell>
          <cell r="Y421">
            <v>3</v>
          </cell>
          <cell r="AC421">
            <v>7.666666666666667</v>
          </cell>
          <cell r="AD421">
            <v>3</v>
          </cell>
          <cell r="AK421">
            <v>17.666666666666668</v>
          </cell>
          <cell r="AL421">
            <v>6</v>
          </cell>
        </row>
        <row r="422">
          <cell r="F422">
            <v>0.66666666666666663</v>
          </cell>
          <cell r="G422">
            <v>0</v>
          </cell>
          <cell r="P422">
            <v>2</v>
          </cell>
          <cell r="X422">
            <v>1.3333333333333333</v>
          </cell>
          <cell r="Y422">
            <v>0</v>
          </cell>
          <cell r="AC422">
            <v>1</v>
          </cell>
          <cell r="AD422">
            <v>0</v>
          </cell>
          <cell r="AK422">
            <v>6</v>
          </cell>
          <cell r="AL422">
            <v>2</v>
          </cell>
        </row>
        <row r="423">
          <cell r="F423">
            <v>2.6666666666666665</v>
          </cell>
          <cell r="G423">
            <v>1</v>
          </cell>
          <cell r="P423">
            <v>0.33333333333333331</v>
          </cell>
          <cell r="X423">
            <v>1</v>
          </cell>
          <cell r="Y423">
            <v>0</v>
          </cell>
          <cell r="AC423">
            <v>0.66666666666666663</v>
          </cell>
          <cell r="AD423">
            <v>0</v>
          </cell>
          <cell r="AK423">
            <v>9.3333333333333339</v>
          </cell>
          <cell r="AL423">
            <v>3.3333333333333335</v>
          </cell>
        </row>
        <row r="424">
          <cell r="F424">
            <v>0</v>
          </cell>
          <cell r="G424">
            <v>0</v>
          </cell>
          <cell r="P424">
            <v>2.3333333333333335</v>
          </cell>
          <cell r="X424">
            <v>6</v>
          </cell>
          <cell r="Y424">
            <v>2</v>
          </cell>
          <cell r="AC424">
            <v>5</v>
          </cell>
          <cell r="AD424">
            <v>2</v>
          </cell>
          <cell r="AK424">
            <v>13.333333333333334</v>
          </cell>
          <cell r="AL424">
            <v>6.3333333333333339</v>
          </cell>
        </row>
        <row r="425">
          <cell r="F425">
            <v>0</v>
          </cell>
          <cell r="G425">
            <v>0</v>
          </cell>
          <cell r="P425">
            <v>0</v>
          </cell>
          <cell r="X425">
            <v>0</v>
          </cell>
          <cell r="Y425">
            <v>0</v>
          </cell>
          <cell r="AC425">
            <v>0</v>
          </cell>
          <cell r="AD425">
            <v>0</v>
          </cell>
          <cell r="AK425">
            <v>0</v>
          </cell>
          <cell r="AL425">
            <v>0</v>
          </cell>
        </row>
        <row r="426">
          <cell r="F426">
            <v>0</v>
          </cell>
          <cell r="G426">
            <v>0</v>
          </cell>
          <cell r="P426">
            <v>0</v>
          </cell>
          <cell r="X426">
            <v>0</v>
          </cell>
          <cell r="Y426">
            <v>0</v>
          </cell>
          <cell r="AC426">
            <v>0</v>
          </cell>
          <cell r="AD426">
            <v>0</v>
          </cell>
          <cell r="AK426">
            <v>0</v>
          </cell>
          <cell r="AL426">
            <v>0</v>
          </cell>
        </row>
        <row r="427">
          <cell r="F427">
            <v>9.6666666666666661</v>
          </cell>
          <cell r="G427">
            <v>2</v>
          </cell>
          <cell r="P427">
            <v>1</v>
          </cell>
          <cell r="X427">
            <v>0</v>
          </cell>
          <cell r="Y427">
            <v>0</v>
          </cell>
          <cell r="AC427">
            <v>0</v>
          </cell>
          <cell r="AD427">
            <v>0</v>
          </cell>
          <cell r="AK427">
            <v>12</v>
          </cell>
          <cell r="AL427">
            <v>4</v>
          </cell>
        </row>
        <row r="428">
          <cell r="F428">
            <v>0</v>
          </cell>
          <cell r="G428">
            <v>0</v>
          </cell>
          <cell r="P428">
            <v>0</v>
          </cell>
          <cell r="X428">
            <v>0</v>
          </cell>
          <cell r="Y428">
            <v>0</v>
          </cell>
          <cell r="AC428">
            <v>0</v>
          </cell>
          <cell r="AD428">
            <v>0</v>
          </cell>
          <cell r="AK428">
            <v>0</v>
          </cell>
          <cell r="AL428">
            <v>0</v>
          </cell>
        </row>
        <row r="429">
          <cell r="F429">
            <v>2.3333333333333335</v>
          </cell>
          <cell r="G429">
            <v>0</v>
          </cell>
          <cell r="P429">
            <v>0.66666666666666663</v>
          </cell>
          <cell r="X429">
            <v>0.66666666666666663</v>
          </cell>
          <cell r="Y429">
            <v>0</v>
          </cell>
          <cell r="AC429">
            <v>0.66666666666666663</v>
          </cell>
          <cell r="AD429">
            <v>0</v>
          </cell>
          <cell r="AK429">
            <v>4.333333333333333</v>
          </cell>
          <cell r="AL429">
            <v>0.66666666666666663</v>
          </cell>
        </row>
        <row r="430">
          <cell r="F430">
            <v>1.6666666666666667</v>
          </cell>
          <cell r="G430">
            <v>0</v>
          </cell>
          <cell r="P430">
            <v>0.66666666666666663</v>
          </cell>
          <cell r="X430">
            <v>0.66666666666666663</v>
          </cell>
          <cell r="Y430">
            <v>0</v>
          </cell>
          <cell r="AC430">
            <v>0.66666666666666663</v>
          </cell>
          <cell r="AD430">
            <v>0</v>
          </cell>
          <cell r="AK430">
            <v>3.6666666666666665</v>
          </cell>
          <cell r="AL430">
            <v>0.66666666666666663</v>
          </cell>
        </row>
        <row r="431">
          <cell r="F431">
            <v>6.666666666666667</v>
          </cell>
          <cell r="G431">
            <v>1</v>
          </cell>
          <cell r="P431">
            <v>4.666666666666667</v>
          </cell>
          <cell r="X431">
            <v>3</v>
          </cell>
          <cell r="Y431">
            <v>1</v>
          </cell>
          <cell r="AC431">
            <v>2</v>
          </cell>
          <cell r="AD431">
            <v>1</v>
          </cell>
          <cell r="AK431">
            <v>33</v>
          </cell>
          <cell r="AL431">
            <v>17.666666666666668</v>
          </cell>
        </row>
        <row r="432">
          <cell r="F432">
            <v>0</v>
          </cell>
          <cell r="G432">
            <v>0</v>
          </cell>
          <cell r="P432">
            <v>0</v>
          </cell>
          <cell r="X432">
            <v>0</v>
          </cell>
          <cell r="Y432">
            <v>0</v>
          </cell>
          <cell r="AC432">
            <v>0</v>
          </cell>
          <cell r="AD432">
            <v>0</v>
          </cell>
          <cell r="AK432">
            <v>0</v>
          </cell>
          <cell r="AL432">
            <v>0</v>
          </cell>
        </row>
        <row r="433">
          <cell r="F433">
            <v>0</v>
          </cell>
          <cell r="G433">
            <v>0</v>
          </cell>
          <cell r="P433">
            <v>0</v>
          </cell>
          <cell r="X433">
            <v>0</v>
          </cell>
          <cell r="Y433">
            <v>0</v>
          </cell>
          <cell r="AC433">
            <v>0</v>
          </cell>
          <cell r="AD433">
            <v>0</v>
          </cell>
          <cell r="AK433">
            <v>0</v>
          </cell>
          <cell r="AL433">
            <v>53</v>
          </cell>
        </row>
        <row r="434">
          <cell r="F434">
            <v>1</v>
          </cell>
          <cell r="G434">
            <v>0</v>
          </cell>
          <cell r="P434">
            <v>0</v>
          </cell>
          <cell r="X434">
            <v>0</v>
          </cell>
          <cell r="Y434">
            <v>0</v>
          </cell>
          <cell r="AC434">
            <v>0</v>
          </cell>
          <cell r="AD434">
            <v>0</v>
          </cell>
          <cell r="AK434">
            <v>1</v>
          </cell>
          <cell r="AL434">
            <v>1</v>
          </cell>
        </row>
        <row r="435">
          <cell r="F435">
            <v>0</v>
          </cell>
          <cell r="G435">
            <v>0</v>
          </cell>
          <cell r="P435">
            <v>0</v>
          </cell>
          <cell r="X435">
            <v>0</v>
          </cell>
          <cell r="Y435">
            <v>0</v>
          </cell>
          <cell r="AC435">
            <v>0</v>
          </cell>
          <cell r="AD435">
            <v>0</v>
          </cell>
          <cell r="AK435">
            <v>0</v>
          </cell>
          <cell r="AL435">
            <v>0</v>
          </cell>
        </row>
        <row r="436">
          <cell r="F436">
            <v>0</v>
          </cell>
          <cell r="G436">
            <v>0</v>
          </cell>
          <cell r="P436">
            <v>0</v>
          </cell>
          <cell r="X436">
            <v>0</v>
          </cell>
          <cell r="Y436">
            <v>0</v>
          </cell>
          <cell r="AC436">
            <v>0</v>
          </cell>
          <cell r="AD436">
            <v>0</v>
          </cell>
          <cell r="AK436">
            <v>0</v>
          </cell>
          <cell r="AL436">
            <v>0</v>
          </cell>
        </row>
        <row r="437">
          <cell r="F437">
            <v>2.6666666666666665</v>
          </cell>
          <cell r="G437">
            <v>1</v>
          </cell>
          <cell r="P437">
            <v>1</v>
          </cell>
          <cell r="X437">
            <v>4</v>
          </cell>
          <cell r="Y437">
            <v>1</v>
          </cell>
          <cell r="AC437">
            <v>2</v>
          </cell>
          <cell r="AD437">
            <v>1</v>
          </cell>
          <cell r="AK437">
            <v>15.666666666666666</v>
          </cell>
          <cell r="AL437">
            <v>7</v>
          </cell>
        </row>
        <row r="438">
          <cell r="F438">
            <v>0</v>
          </cell>
          <cell r="G438">
            <v>0</v>
          </cell>
          <cell r="P438">
            <v>0</v>
          </cell>
          <cell r="X438">
            <v>0</v>
          </cell>
          <cell r="Y438">
            <v>0</v>
          </cell>
          <cell r="AC438">
            <v>0</v>
          </cell>
          <cell r="AD438">
            <v>0</v>
          </cell>
          <cell r="AK438">
            <v>0</v>
          </cell>
          <cell r="AL438">
            <v>0</v>
          </cell>
        </row>
        <row r="439">
          <cell r="F439">
            <v>0</v>
          </cell>
          <cell r="G439">
            <v>0</v>
          </cell>
          <cell r="P439">
            <v>0</v>
          </cell>
          <cell r="X439">
            <v>3.3333333333333335</v>
          </cell>
          <cell r="Y439">
            <v>1</v>
          </cell>
          <cell r="AC439">
            <v>0</v>
          </cell>
          <cell r="AD439">
            <v>0</v>
          </cell>
          <cell r="AK439">
            <v>3.3333333333333335</v>
          </cell>
          <cell r="AL439">
            <v>1</v>
          </cell>
        </row>
        <row r="440">
          <cell r="F440">
            <v>0.33333333333333331</v>
          </cell>
          <cell r="G440">
            <v>0</v>
          </cell>
          <cell r="P440">
            <v>0.33333333333333331</v>
          </cell>
          <cell r="X440">
            <v>0.33333333333333331</v>
          </cell>
          <cell r="Y440">
            <v>0</v>
          </cell>
          <cell r="AC440">
            <v>0.33333333333333331</v>
          </cell>
          <cell r="AD440">
            <v>0</v>
          </cell>
          <cell r="AK440">
            <v>1.9999999999999998</v>
          </cell>
          <cell r="AL440">
            <v>0.33333333333333331</v>
          </cell>
        </row>
        <row r="441">
          <cell r="F441">
            <v>0</v>
          </cell>
          <cell r="G441">
            <v>0</v>
          </cell>
          <cell r="P441">
            <v>0</v>
          </cell>
          <cell r="X441">
            <v>0</v>
          </cell>
          <cell r="Y441">
            <v>0</v>
          </cell>
          <cell r="AC441">
            <v>0</v>
          </cell>
          <cell r="AD441">
            <v>0</v>
          </cell>
          <cell r="AK441">
            <v>0</v>
          </cell>
          <cell r="AL441">
            <v>0</v>
          </cell>
        </row>
        <row r="442">
          <cell r="F442">
            <v>0</v>
          </cell>
          <cell r="G442">
            <v>0</v>
          </cell>
          <cell r="P442">
            <v>0</v>
          </cell>
          <cell r="X442">
            <v>0</v>
          </cell>
          <cell r="Y442">
            <v>0</v>
          </cell>
          <cell r="AC442">
            <v>0</v>
          </cell>
          <cell r="AD442">
            <v>0</v>
          </cell>
          <cell r="AK442">
            <v>0</v>
          </cell>
          <cell r="AL442">
            <v>0</v>
          </cell>
        </row>
        <row r="443">
          <cell r="F443">
            <v>0</v>
          </cell>
          <cell r="G443">
            <v>0</v>
          </cell>
          <cell r="P443">
            <v>0</v>
          </cell>
          <cell r="X443">
            <v>0</v>
          </cell>
          <cell r="Y443">
            <v>0</v>
          </cell>
          <cell r="AC443">
            <v>0</v>
          </cell>
          <cell r="AD443">
            <v>0</v>
          </cell>
          <cell r="AK443">
            <v>0</v>
          </cell>
          <cell r="AL443">
            <v>0</v>
          </cell>
        </row>
        <row r="444">
          <cell r="F444">
            <v>0</v>
          </cell>
          <cell r="G444">
            <v>0</v>
          </cell>
          <cell r="P444">
            <v>0</v>
          </cell>
          <cell r="X444">
            <v>0</v>
          </cell>
          <cell r="Y444">
            <v>0</v>
          </cell>
          <cell r="AC444">
            <v>0</v>
          </cell>
          <cell r="AD444">
            <v>0</v>
          </cell>
          <cell r="AK444">
            <v>0</v>
          </cell>
          <cell r="AL444">
            <v>0</v>
          </cell>
        </row>
        <row r="445">
          <cell r="F445">
            <v>0</v>
          </cell>
          <cell r="G445">
            <v>0</v>
          </cell>
          <cell r="P445">
            <v>0</v>
          </cell>
          <cell r="X445">
            <v>0</v>
          </cell>
          <cell r="Y445">
            <v>0</v>
          </cell>
          <cell r="AC445">
            <v>0</v>
          </cell>
          <cell r="AD445">
            <v>0</v>
          </cell>
          <cell r="AK445">
            <v>0</v>
          </cell>
          <cell r="AL445">
            <v>0</v>
          </cell>
        </row>
        <row r="446">
          <cell r="F446">
            <v>0</v>
          </cell>
          <cell r="G446">
            <v>0</v>
          </cell>
          <cell r="P446">
            <v>0</v>
          </cell>
          <cell r="X446">
            <v>0</v>
          </cell>
          <cell r="Y446">
            <v>0</v>
          </cell>
          <cell r="AC446">
            <v>0</v>
          </cell>
          <cell r="AD446">
            <v>0</v>
          </cell>
          <cell r="AK446">
            <v>0</v>
          </cell>
          <cell r="AL446">
            <v>0</v>
          </cell>
        </row>
        <row r="447">
          <cell r="G447">
            <v>0</v>
          </cell>
          <cell r="P447">
            <v>0</v>
          </cell>
          <cell r="X447">
            <v>0</v>
          </cell>
          <cell r="Y447">
            <v>0</v>
          </cell>
          <cell r="AC447">
            <v>0</v>
          </cell>
          <cell r="AD447">
            <v>0</v>
          </cell>
          <cell r="AK447">
            <v>0</v>
          </cell>
          <cell r="AL447">
            <v>2</v>
          </cell>
        </row>
        <row r="448">
          <cell r="P448">
            <v>0</v>
          </cell>
          <cell r="X448">
            <v>0</v>
          </cell>
          <cell r="Y448">
            <v>0</v>
          </cell>
          <cell r="AC448">
            <v>0</v>
          </cell>
          <cell r="AD448">
            <v>0</v>
          </cell>
          <cell r="AK448">
            <v>0</v>
          </cell>
          <cell r="AL448">
            <v>0</v>
          </cell>
        </row>
      </sheetData>
      <sheetData sheetId="6" refreshError="1">
        <row r="21">
          <cell r="AI21" t="str">
            <v xml:space="preserve">         Затверджую</v>
          </cell>
        </row>
        <row r="22">
          <cell r="AI22" t="str">
            <v xml:space="preserve"> Голова правління -</v>
          </cell>
        </row>
        <row r="23">
          <cell r="AI23" t="str">
            <v xml:space="preserve"> генеральний директор</v>
          </cell>
        </row>
        <row r="25">
          <cell r="F25" t="e">
            <v>#REF!</v>
          </cell>
          <cell r="G25" t="e">
            <v>#REF!</v>
          </cell>
          <cell r="H25" t="e">
            <v>#REF!</v>
          </cell>
          <cell r="P25" t="e">
            <v>#REF!</v>
          </cell>
          <cell r="Q25" t="e">
            <v>#REF!</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cell r="AE25" t="e">
            <v>#REF!</v>
          </cell>
          <cell r="AF25" t="e">
            <v>#REF!</v>
          </cell>
          <cell r="AG25" t="e">
            <v>#REF!</v>
          </cell>
          <cell r="AH25" t="e">
            <v>#REF!</v>
          </cell>
          <cell r="AI25" t="str">
            <v xml:space="preserve">                        І.В.Плачков</v>
          </cell>
          <cell r="AJ25" t="e">
            <v>#REF!</v>
          </cell>
          <cell r="AK25" t="e">
            <v>#REF!</v>
          </cell>
          <cell r="AL25" t="e">
            <v>#REF!</v>
          </cell>
        </row>
        <row r="26">
          <cell r="AI26" t="str">
            <v xml:space="preserve">   "_____" ________2000 р.</v>
          </cell>
        </row>
        <row r="30">
          <cell r="AK30" t="str">
            <v xml:space="preserve">при діючому тарифі </v>
          </cell>
        </row>
        <row r="32">
          <cell r="Q32" t="str">
            <v>КТМ</v>
          </cell>
          <cell r="V32" t="str">
            <v xml:space="preserve">ТЕЦ-5 </v>
          </cell>
          <cell r="AA32" t="str">
            <v xml:space="preserve">ТЕЦ-6 </v>
          </cell>
        </row>
        <row r="34">
          <cell r="F34" t="str">
            <v>ВИКОН.ДИР.</v>
          </cell>
          <cell r="G34" t="str">
            <v>Е/Е</v>
          </cell>
          <cell r="H34" t="str">
            <v xml:space="preserve"> Т/Е</v>
          </cell>
          <cell r="P34" t="str">
            <v xml:space="preserve">КМ </v>
          </cell>
          <cell r="S34" t="str">
            <v xml:space="preserve">ТМ </v>
          </cell>
          <cell r="T34" t="str">
            <v>ВИРОБН</v>
          </cell>
          <cell r="U34" t="str">
            <v>ПЕРЕД</v>
          </cell>
          <cell r="X34" t="str">
            <v>ТЕЦ-5 ВСЬОГО</v>
          </cell>
          <cell r="Y34" t="str">
            <v>Е/Е</v>
          </cell>
          <cell r="Z34" t="str">
            <v xml:space="preserve"> Т/Е</v>
          </cell>
          <cell r="AC34" t="str">
            <v>ТЕЦ-6 ВСЬОГО</v>
          </cell>
          <cell r="AD34" t="str">
            <v>Е/Е</v>
          </cell>
          <cell r="AE34" t="str">
            <v xml:space="preserve"> Т/Е</v>
          </cell>
          <cell r="AF34" t="str">
            <v>ТРМ ВСЬОГО</v>
          </cell>
          <cell r="AG34" t="str">
            <v>ТРМ  АК КЕ</v>
          </cell>
          <cell r="AH34" t="str">
            <v>ТРМ СТОР</v>
          </cell>
          <cell r="AI34" t="str">
            <v xml:space="preserve">ДОП.ВИР. </v>
          </cell>
          <cell r="AJ34" t="str">
            <v>ДОП.ВИР. СТ.ОРГ.</v>
          </cell>
          <cell r="AK34" t="str">
            <v>АК КЕ ВСЬОГО</v>
          </cell>
          <cell r="AL34" t="str">
            <v xml:space="preserve"> Е/Е</v>
          </cell>
          <cell r="AM34" t="str">
            <v xml:space="preserve"> Т/Е</v>
          </cell>
          <cell r="AN34" t="str">
            <v>СТАНЦІї ЕЛЕКТРО</v>
          </cell>
          <cell r="AO34" t="str">
            <v>СТАНЦІІ ТЕПЛОВІ</v>
          </cell>
          <cell r="AP34" t="str">
            <v>МЕРЕЖІ ЕЛЕКТРО</v>
          </cell>
          <cell r="AQ34" t="str">
            <v>МЕРЕЖІ ТЕПЛОВІ</v>
          </cell>
        </row>
        <row r="35">
          <cell r="AL35">
            <v>395</v>
          </cell>
        </row>
        <row r="36">
          <cell r="AL36">
            <v>336</v>
          </cell>
        </row>
        <row r="37">
          <cell r="AL37">
            <v>0</v>
          </cell>
        </row>
        <row r="39">
          <cell r="AL39">
            <v>0</v>
          </cell>
        </row>
        <row r="40">
          <cell r="AL40">
            <v>0</v>
          </cell>
        </row>
        <row r="41">
          <cell r="AL41">
            <v>395.6</v>
          </cell>
        </row>
        <row r="42">
          <cell r="P42">
            <v>0</v>
          </cell>
          <cell r="AL42">
            <v>395.6</v>
          </cell>
        </row>
        <row r="43">
          <cell r="AL43">
            <v>1580</v>
          </cell>
          <cell r="AM43">
            <v>1580</v>
          </cell>
        </row>
        <row r="44">
          <cell r="AL44">
            <v>0</v>
          </cell>
          <cell r="AM44">
            <v>0</v>
          </cell>
        </row>
        <row r="45">
          <cell r="AL45">
            <v>1580</v>
          </cell>
          <cell r="AM45">
            <v>1580</v>
          </cell>
        </row>
        <row r="46">
          <cell r="F46">
            <v>3213.1666666666652</v>
          </cell>
          <cell r="P46">
            <v>2641.6000000000004</v>
          </cell>
          <cell r="S46">
            <v>8041.218181818178</v>
          </cell>
          <cell r="T46">
            <v>4194.2120000000004</v>
          </cell>
          <cell r="U46">
            <v>2131.2061818181819</v>
          </cell>
          <cell r="X46">
            <v>2404.6545454545439</v>
          </cell>
          <cell r="AC46">
            <v>1313.2</v>
          </cell>
          <cell r="AF46">
            <v>3816.2</v>
          </cell>
          <cell r="AG46">
            <v>3162.08</v>
          </cell>
          <cell r="AH46">
            <v>654.12</v>
          </cell>
        </row>
        <row r="47">
          <cell r="F47">
            <v>0.8</v>
          </cell>
          <cell r="P47">
            <v>0.8</v>
          </cell>
          <cell r="S47">
            <v>0.8</v>
          </cell>
          <cell r="X47">
            <v>0.8</v>
          </cell>
          <cell r="AC47">
            <v>0.8</v>
          </cell>
          <cell r="AF47">
            <v>0.8</v>
          </cell>
          <cell r="AG47">
            <v>0.8</v>
          </cell>
          <cell r="AH47">
            <v>0.8</v>
          </cell>
        </row>
        <row r="49">
          <cell r="F49">
            <v>204.8</v>
          </cell>
          <cell r="G49">
            <v>45</v>
          </cell>
          <cell r="H49">
            <v>159.80000000000001</v>
          </cell>
          <cell r="P49">
            <v>401.6</v>
          </cell>
          <cell r="S49">
            <v>625.40000000000009</v>
          </cell>
          <cell r="T49">
            <v>312.70000000000005</v>
          </cell>
          <cell r="U49">
            <v>312.70000000000005</v>
          </cell>
          <cell r="X49">
            <v>206.4</v>
          </cell>
          <cell r="Y49">
            <v>64</v>
          </cell>
          <cell r="Z49">
            <v>142.4</v>
          </cell>
          <cell r="AC49">
            <v>174.4</v>
          </cell>
          <cell r="AD49">
            <v>57</v>
          </cell>
          <cell r="AE49">
            <v>117.4</v>
          </cell>
          <cell r="AF49">
            <v>468.8</v>
          </cell>
          <cell r="AG49">
            <v>469</v>
          </cell>
          <cell r="AH49">
            <v>-0.19999999999998863</v>
          </cell>
          <cell r="AK49">
            <v>2200.0000000000005</v>
          </cell>
          <cell r="AL49">
            <v>662</v>
          </cell>
          <cell r="AM49">
            <v>1538.0000000000005</v>
          </cell>
          <cell r="AN49">
            <v>121</v>
          </cell>
          <cell r="AO49">
            <v>472</v>
          </cell>
          <cell r="AP49">
            <v>541</v>
          </cell>
          <cell r="AQ49">
            <v>1066.0000000000005</v>
          </cell>
        </row>
        <row r="50">
          <cell r="F50">
            <v>158</v>
          </cell>
          <cell r="G50">
            <v>35</v>
          </cell>
          <cell r="H50" t="e">
            <v>#DIV/0!</v>
          </cell>
          <cell r="P50">
            <v>56</v>
          </cell>
          <cell r="S50">
            <v>625</v>
          </cell>
          <cell r="T50">
            <v>19500</v>
          </cell>
          <cell r="U50">
            <v>0</v>
          </cell>
          <cell r="X50">
            <v>75</v>
          </cell>
          <cell r="Y50">
            <v>23</v>
          </cell>
          <cell r="Z50">
            <v>52</v>
          </cell>
          <cell r="AC50">
            <v>40</v>
          </cell>
          <cell r="AD50">
            <v>13</v>
          </cell>
          <cell r="AE50">
            <v>27</v>
          </cell>
          <cell r="AF50">
            <v>436</v>
          </cell>
          <cell r="AG50">
            <v>436</v>
          </cell>
          <cell r="AH50">
            <v>0</v>
          </cell>
          <cell r="AK50">
            <v>1424</v>
          </cell>
          <cell r="AL50">
            <v>158</v>
          </cell>
          <cell r="AM50">
            <v>1266</v>
          </cell>
        </row>
        <row r="51">
          <cell r="F51">
            <v>0</v>
          </cell>
          <cell r="G51">
            <v>0</v>
          </cell>
          <cell r="H51" t="e">
            <v>#DIV/0!</v>
          </cell>
          <cell r="P51">
            <v>1</v>
          </cell>
          <cell r="T51">
            <v>0</v>
          </cell>
          <cell r="U51">
            <v>0</v>
          </cell>
          <cell r="X51">
            <v>18</v>
          </cell>
          <cell r="Y51">
            <v>6</v>
          </cell>
          <cell r="Z51">
            <v>12</v>
          </cell>
          <cell r="AC51">
            <v>47</v>
          </cell>
          <cell r="AD51">
            <v>15</v>
          </cell>
          <cell r="AE51">
            <v>32</v>
          </cell>
          <cell r="AF51">
            <v>0</v>
          </cell>
          <cell r="AH51">
            <v>0</v>
          </cell>
          <cell r="AK51">
            <v>66</v>
          </cell>
          <cell r="AL51">
            <v>22</v>
          </cell>
          <cell r="AM51">
            <v>44</v>
          </cell>
        </row>
        <row r="52">
          <cell r="F52">
            <v>46.800000000000011</v>
          </cell>
          <cell r="G52">
            <v>10</v>
          </cell>
          <cell r="P52">
            <v>10</v>
          </cell>
          <cell r="X52">
            <v>0</v>
          </cell>
          <cell r="Y52">
            <v>0</v>
          </cell>
          <cell r="Z52">
            <v>0</v>
          </cell>
          <cell r="AC52">
            <v>20</v>
          </cell>
          <cell r="AD52">
            <v>7</v>
          </cell>
          <cell r="AE52">
            <v>13</v>
          </cell>
          <cell r="AF52">
            <v>25.6</v>
          </cell>
          <cell r="AG52">
            <v>25.6</v>
          </cell>
          <cell r="AH52">
            <v>0</v>
          </cell>
          <cell r="AK52">
            <v>102.4</v>
          </cell>
          <cell r="AL52">
            <v>27</v>
          </cell>
          <cell r="AM52">
            <v>75.400000000000006</v>
          </cell>
        </row>
        <row r="53">
          <cell r="F53">
            <v>8.2666666666666675</v>
          </cell>
          <cell r="G53">
            <v>2</v>
          </cell>
          <cell r="H53">
            <v>6.2666666666666675</v>
          </cell>
          <cell r="P53">
            <v>44.800000000000004</v>
          </cell>
          <cell r="S53">
            <v>307.20000000000005</v>
          </cell>
          <cell r="T53">
            <v>239.61600000000004</v>
          </cell>
          <cell r="U53">
            <v>67.584000000000003</v>
          </cell>
          <cell r="X53">
            <v>881.6</v>
          </cell>
          <cell r="Y53">
            <v>273</v>
          </cell>
          <cell r="Z53">
            <v>608.6</v>
          </cell>
          <cell r="AC53">
            <v>76</v>
          </cell>
          <cell r="AD53">
            <v>25</v>
          </cell>
          <cell r="AE53">
            <v>51</v>
          </cell>
          <cell r="AF53">
            <v>164</v>
          </cell>
          <cell r="AG53">
            <v>160.80000000000001</v>
          </cell>
          <cell r="AH53">
            <v>3.1999999999999886</v>
          </cell>
          <cell r="AK53">
            <v>1483.0666666666668</v>
          </cell>
          <cell r="AL53">
            <v>347.2</v>
          </cell>
          <cell r="AM53">
            <v>1135.8666666666668</v>
          </cell>
          <cell r="AN53">
            <v>298</v>
          </cell>
          <cell r="AO53">
            <v>764</v>
          </cell>
          <cell r="AP53">
            <v>49.199999999999989</v>
          </cell>
          <cell r="AQ53">
            <v>371.86666666666679</v>
          </cell>
        </row>
        <row r="54">
          <cell r="F54">
            <v>0</v>
          </cell>
          <cell r="G54">
            <v>0</v>
          </cell>
          <cell r="H54">
            <v>0</v>
          </cell>
          <cell r="S54">
            <v>16.8</v>
          </cell>
          <cell r="T54">
            <v>16.8</v>
          </cell>
          <cell r="U54">
            <v>0</v>
          </cell>
          <cell r="X54">
            <v>777.6</v>
          </cell>
          <cell r="Y54">
            <v>241</v>
          </cell>
          <cell r="Z54">
            <v>536.6</v>
          </cell>
          <cell r="AC54">
            <v>11.200000000000001</v>
          </cell>
          <cell r="AD54">
            <v>4</v>
          </cell>
          <cell r="AE54">
            <v>7.2000000000000011</v>
          </cell>
          <cell r="AH54">
            <v>0</v>
          </cell>
          <cell r="AK54">
            <v>805.6</v>
          </cell>
          <cell r="AL54">
            <v>245</v>
          </cell>
          <cell r="AM54">
            <v>560.6</v>
          </cell>
          <cell r="AN54">
            <v>245</v>
          </cell>
          <cell r="AO54">
            <v>550</v>
          </cell>
          <cell r="AP54">
            <v>0</v>
          </cell>
          <cell r="AQ54">
            <v>10.600000000000023</v>
          </cell>
        </row>
        <row r="55">
          <cell r="F55">
            <v>0</v>
          </cell>
          <cell r="G55">
            <v>0</v>
          </cell>
          <cell r="H55">
            <v>0</v>
          </cell>
          <cell r="S55">
            <v>18925</v>
          </cell>
          <cell r="T55">
            <v>18925</v>
          </cell>
          <cell r="U55">
            <v>0</v>
          </cell>
          <cell r="X55">
            <v>22509</v>
          </cell>
          <cell r="Y55">
            <v>8375.0975609756097</v>
          </cell>
          <cell r="Z55">
            <v>14133.90243902439</v>
          </cell>
          <cell r="AC55">
            <v>20437</v>
          </cell>
          <cell r="AD55">
            <v>8330.4774346793329</v>
          </cell>
          <cell r="AE55">
            <v>12106.522565320667</v>
          </cell>
          <cell r="AH55">
            <v>0</v>
          </cell>
          <cell r="AK55">
            <v>61871</v>
          </cell>
          <cell r="AL55">
            <v>16705.574995654941</v>
          </cell>
          <cell r="AM55">
            <v>45165.425004345059</v>
          </cell>
          <cell r="AN55">
            <v>16705.574995654941</v>
          </cell>
          <cell r="AO55">
            <v>45165</v>
          </cell>
          <cell r="AP55">
            <v>0</v>
          </cell>
          <cell r="AQ55">
            <v>0.42500434505927842</v>
          </cell>
        </row>
        <row r="56">
          <cell r="F56">
            <v>0</v>
          </cell>
          <cell r="G56">
            <v>0</v>
          </cell>
          <cell r="H56">
            <v>0</v>
          </cell>
          <cell r="P56">
            <v>0</v>
          </cell>
          <cell r="S56">
            <v>18925</v>
          </cell>
          <cell r="T56">
            <v>18925</v>
          </cell>
          <cell r="U56">
            <v>0</v>
          </cell>
          <cell r="X56">
            <v>22509</v>
          </cell>
          <cell r="Y56">
            <v>8375.0975609756097</v>
          </cell>
          <cell r="Z56">
            <v>14133.90243902439</v>
          </cell>
          <cell r="AC56">
            <v>20437</v>
          </cell>
          <cell r="AD56">
            <v>8330.4774346793329</v>
          </cell>
          <cell r="AE56">
            <v>12106.522565320667</v>
          </cell>
          <cell r="AF56">
            <v>0</v>
          </cell>
          <cell r="AG56">
            <v>0</v>
          </cell>
          <cell r="AH56">
            <v>0</v>
          </cell>
          <cell r="AI56">
            <v>0</v>
          </cell>
          <cell r="AK56">
            <v>61871</v>
          </cell>
          <cell r="AL56">
            <v>16705.574995654941</v>
          </cell>
          <cell r="AM56">
            <v>45165.425004345059</v>
          </cell>
          <cell r="AN56">
            <v>16705.574995654941</v>
          </cell>
          <cell r="AO56">
            <v>45165</v>
          </cell>
          <cell r="AP56">
            <v>0</v>
          </cell>
          <cell r="AQ56">
            <v>0.42500434505927842</v>
          </cell>
        </row>
        <row r="57">
          <cell r="F57">
            <v>0</v>
          </cell>
          <cell r="G57">
            <v>0</v>
          </cell>
          <cell r="H57">
            <v>0</v>
          </cell>
          <cell r="T57">
            <v>0</v>
          </cell>
          <cell r="U57">
            <v>0</v>
          </cell>
          <cell r="AF57">
            <v>0</v>
          </cell>
          <cell r="AH57">
            <v>0</v>
          </cell>
          <cell r="AK57">
            <v>0</v>
          </cell>
          <cell r="AL57">
            <v>0</v>
          </cell>
          <cell r="AM57">
            <v>0</v>
          </cell>
          <cell r="AO57">
            <v>0</v>
          </cell>
        </row>
        <row r="58">
          <cell r="F58">
            <v>2.4000000000000004</v>
          </cell>
          <cell r="G58">
            <v>1</v>
          </cell>
          <cell r="H58">
            <v>1.4000000000000004</v>
          </cell>
          <cell r="P58">
            <v>72.8</v>
          </cell>
          <cell r="S58">
            <v>2599.8000000000002</v>
          </cell>
          <cell r="T58">
            <v>2599.8000000000002</v>
          </cell>
          <cell r="U58">
            <v>0</v>
          </cell>
          <cell r="X58">
            <v>0</v>
          </cell>
          <cell r="Y58">
            <v>0</v>
          </cell>
          <cell r="Z58">
            <v>0</v>
          </cell>
          <cell r="AC58">
            <v>0</v>
          </cell>
          <cell r="AD58">
            <v>0</v>
          </cell>
          <cell r="AE58">
            <v>0</v>
          </cell>
          <cell r="AF58">
            <v>723.2</v>
          </cell>
          <cell r="AG58">
            <v>253.12</v>
          </cell>
          <cell r="AH58">
            <v>470.08000000000004</v>
          </cell>
          <cell r="AK58">
            <v>2928.12</v>
          </cell>
          <cell r="AL58">
            <v>73.8</v>
          </cell>
          <cell r="AM58">
            <v>2854.3199999999997</v>
          </cell>
          <cell r="AN58">
            <v>0</v>
          </cell>
          <cell r="AO58">
            <v>884</v>
          </cell>
          <cell r="AP58">
            <v>73.8</v>
          </cell>
          <cell r="AQ58">
            <v>1970.3199999999997</v>
          </cell>
        </row>
        <row r="59">
          <cell r="F59">
            <v>281</v>
          </cell>
          <cell r="G59">
            <v>62</v>
          </cell>
          <cell r="H59">
            <v>219</v>
          </cell>
          <cell r="P59">
            <v>477</v>
          </cell>
          <cell r="S59">
            <v>928.27272727272725</v>
          </cell>
          <cell r="T59">
            <v>454.85363636363633</v>
          </cell>
          <cell r="U59">
            <v>473.41909090909093</v>
          </cell>
          <cell r="X59">
            <v>272.81818181818181</v>
          </cell>
          <cell r="Y59">
            <v>85</v>
          </cell>
          <cell r="Z59">
            <v>187.81818181818181</v>
          </cell>
          <cell r="AC59">
            <v>242</v>
          </cell>
          <cell r="AD59">
            <v>79</v>
          </cell>
          <cell r="AE59">
            <v>163</v>
          </cell>
          <cell r="AF59">
            <v>959</v>
          </cell>
          <cell r="AG59">
            <v>906</v>
          </cell>
          <cell r="AH59">
            <v>53</v>
          </cell>
          <cell r="AI59">
            <v>202.90909090909091</v>
          </cell>
          <cell r="AK59">
            <v>3552</v>
          </cell>
          <cell r="AL59">
            <v>862</v>
          </cell>
          <cell r="AM59">
            <v>2690</v>
          </cell>
          <cell r="AN59">
            <v>164</v>
          </cell>
          <cell r="AO59">
            <v>666</v>
          </cell>
          <cell r="AP59">
            <v>698</v>
          </cell>
          <cell r="AQ59">
            <v>2024</v>
          </cell>
        </row>
        <row r="60">
          <cell r="F60">
            <v>15</v>
          </cell>
          <cell r="G60">
            <v>3</v>
          </cell>
          <cell r="H60">
            <v>12</v>
          </cell>
          <cell r="P60">
            <v>26</v>
          </cell>
          <cell r="S60">
            <v>51</v>
          </cell>
          <cell r="T60">
            <v>25</v>
          </cell>
          <cell r="U60">
            <v>26</v>
          </cell>
          <cell r="X60">
            <v>15</v>
          </cell>
          <cell r="Y60">
            <v>5</v>
          </cell>
          <cell r="Z60">
            <v>10</v>
          </cell>
          <cell r="AC60">
            <v>13</v>
          </cell>
          <cell r="AD60">
            <v>4</v>
          </cell>
          <cell r="AE60">
            <v>9</v>
          </cell>
          <cell r="AF60">
            <v>53</v>
          </cell>
          <cell r="AG60">
            <v>50</v>
          </cell>
          <cell r="AH60">
            <v>3</v>
          </cell>
          <cell r="AI60">
            <v>11</v>
          </cell>
          <cell r="AK60">
            <v>195</v>
          </cell>
          <cell r="AL60">
            <v>47</v>
          </cell>
          <cell r="AM60">
            <v>148</v>
          </cell>
          <cell r="AN60">
            <v>9</v>
          </cell>
          <cell r="AO60">
            <v>28</v>
          </cell>
          <cell r="AP60">
            <v>38</v>
          </cell>
          <cell r="AQ60">
            <v>120</v>
          </cell>
        </row>
        <row r="61">
          <cell r="F61">
            <v>88</v>
          </cell>
          <cell r="G61">
            <v>19</v>
          </cell>
          <cell r="H61">
            <v>69</v>
          </cell>
          <cell r="P61">
            <v>153</v>
          </cell>
          <cell r="S61">
            <v>297</v>
          </cell>
          <cell r="T61">
            <v>146</v>
          </cell>
          <cell r="U61">
            <v>151</v>
          </cell>
          <cell r="X61">
            <v>87</v>
          </cell>
          <cell r="Y61">
            <v>27</v>
          </cell>
          <cell r="Z61">
            <v>60</v>
          </cell>
          <cell r="AC61">
            <v>77</v>
          </cell>
          <cell r="AD61">
            <v>25</v>
          </cell>
          <cell r="AE61">
            <v>52</v>
          </cell>
          <cell r="AF61">
            <v>307</v>
          </cell>
          <cell r="AG61">
            <v>290</v>
          </cell>
          <cell r="AH61">
            <v>17</v>
          </cell>
          <cell r="AI61">
            <v>65</v>
          </cell>
          <cell r="AK61">
            <v>1135</v>
          </cell>
          <cell r="AL61">
            <v>276</v>
          </cell>
          <cell r="AM61">
            <v>859</v>
          </cell>
          <cell r="AN61">
            <v>0</v>
          </cell>
          <cell r="AO61">
            <v>0</v>
          </cell>
          <cell r="AP61">
            <v>0</v>
          </cell>
          <cell r="AQ61">
            <v>0</v>
          </cell>
        </row>
        <row r="62">
          <cell r="F62">
            <v>0</v>
          </cell>
          <cell r="G62">
            <v>0</v>
          </cell>
          <cell r="H62" t="str">
            <v xml:space="preserve"> Т/Е</v>
          </cell>
          <cell r="P62">
            <v>0</v>
          </cell>
          <cell r="S62" t="str">
            <v xml:space="preserve">ТМ </v>
          </cell>
          <cell r="T62" t="str">
            <v>ВИРОБН</v>
          </cell>
          <cell r="U62" t="str">
            <v>ПЕРЕД</v>
          </cell>
          <cell r="X62">
            <v>0</v>
          </cell>
          <cell r="Y62" t="str">
            <v>Е/Е</v>
          </cell>
          <cell r="Z62" t="str">
            <v xml:space="preserve"> Т/Е</v>
          </cell>
          <cell r="AC62" t="str">
            <v>ТЕЦ-6 ВСЬОГО</v>
          </cell>
          <cell r="AD62" t="str">
            <v>Е/Е</v>
          </cell>
          <cell r="AE62" t="str">
            <v xml:space="preserve"> Т/Е</v>
          </cell>
          <cell r="AF62" t="str">
            <v>ТРМ ВСЬОГО</v>
          </cell>
          <cell r="AG62" t="str">
            <v>ТРМ  АК КЕ</v>
          </cell>
          <cell r="AH62">
            <v>0</v>
          </cell>
          <cell r="AJ62" t="str">
            <v>ДОП.ВИР. СТ.ОРГ.</v>
          </cell>
          <cell r="AK62">
            <v>0</v>
          </cell>
          <cell r="AL62" t="str">
            <v xml:space="preserve"> Т/Е</v>
          </cell>
        </row>
        <row r="63">
          <cell r="F63">
            <v>87.333333333333329</v>
          </cell>
          <cell r="G63">
            <v>19</v>
          </cell>
          <cell r="H63">
            <v>68.333333333333329</v>
          </cell>
          <cell r="P63">
            <v>586</v>
          </cell>
          <cell r="S63">
            <v>1295</v>
          </cell>
          <cell r="T63">
            <v>207.20000000000002</v>
          </cell>
          <cell r="U63">
            <v>1087.8</v>
          </cell>
          <cell r="X63">
            <v>752</v>
          </cell>
          <cell r="Y63">
            <v>233</v>
          </cell>
          <cell r="Z63">
            <v>519</v>
          </cell>
          <cell r="AC63">
            <v>734</v>
          </cell>
          <cell r="AD63">
            <v>240</v>
          </cell>
          <cell r="AE63">
            <v>494</v>
          </cell>
          <cell r="AF63">
            <v>553</v>
          </cell>
          <cell r="AG63">
            <v>538</v>
          </cell>
          <cell r="AH63">
            <v>15</v>
          </cell>
          <cell r="AK63">
            <v>4002.3333333333335</v>
          </cell>
          <cell r="AL63">
            <v>1086</v>
          </cell>
          <cell r="AM63">
            <v>2916.3333333333335</v>
          </cell>
          <cell r="AN63">
            <v>473</v>
          </cell>
          <cell r="AO63">
            <v>1453</v>
          </cell>
          <cell r="AP63">
            <v>613</v>
          </cell>
          <cell r="AQ63">
            <v>1463.3333333333335</v>
          </cell>
        </row>
        <row r="64">
          <cell r="G64">
            <v>0</v>
          </cell>
          <cell r="T64">
            <v>21</v>
          </cell>
          <cell r="U64">
            <v>109</v>
          </cell>
          <cell r="AH64">
            <v>0</v>
          </cell>
          <cell r="AI64">
            <v>0</v>
          </cell>
          <cell r="AJ64">
            <v>0</v>
          </cell>
          <cell r="AK64">
            <v>0</v>
          </cell>
          <cell r="AN64">
            <v>47</v>
          </cell>
          <cell r="AO64">
            <v>145</v>
          </cell>
          <cell r="AP64">
            <v>61</v>
          </cell>
          <cell r="AQ64">
            <v>146</v>
          </cell>
        </row>
        <row r="65">
          <cell r="F65">
            <v>87</v>
          </cell>
          <cell r="G65">
            <v>19</v>
          </cell>
          <cell r="H65">
            <v>68</v>
          </cell>
          <cell r="P65">
            <v>627.20000000000005</v>
          </cell>
          <cell r="S65">
            <v>1365.6</v>
          </cell>
          <cell r="T65">
            <v>0</v>
          </cell>
          <cell r="U65">
            <v>0</v>
          </cell>
          <cell r="X65">
            <v>175.20000000000002</v>
          </cell>
          <cell r="Y65">
            <v>0</v>
          </cell>
          <cell r="Z65">
            <v>0</v>
          </cell>
          <cell r="AC65">
            <v>159.20000000000002</v>
          </cell>
          <cell r="AD65">
            <v>0</v>
          </cell>
          <cell r="AE65">
            <v>0</v>
          </cell>
          <cell r="AF65">
            <v>444.2</v>
          </cell>
          <cell r="AG65">
            <v>367.2</v>
          </cell>
          <cell r="AH65">
            <v>0</v>
          </cell>
          <cell r="AK65">
            <v>2781.3999999999996</v>
          </cell>
          <cell r="AL65">
            <v>646.20000000000005</v>
          </cell>
          <cell r="AM65">
            <v>2135.1999999999998</v>
          </cell>
          <cell r="AO65">
            <v>376</v>
          </cell>
        </row>
        <row r="66">
          <cell r="F66">
            <v>0</v>
          </cell>
          <cell r="G66">
            <v>0</v>
          </cell>
          <cell r="H66" t="e">
            <v>#DIV/0!</v>
          </cell>
          <cell r="P66">
            <v>0</v>
          </cell>
          <cell r="S66">
            <v>0</v>
          </cell>
          <cell r="T66">
            <v>0</v>
          </cell>
          <cell r="U66">
            <v>0</v>
          </cell>
          <cell r="X66">
            <v>0</v>
          </cell>
          <cell r="Y66">
            <v>0</v>
          </cell>
          <cell r="Z66">
            <v>0</v>
          </cell>
          <cell r="AC66">
            <v>0</v>
          </cell>
          <cell r="AD66">
            <v>0</v>
          </cell>
          <cell r="AE66">
            <v>0</v>
          </cell>
          <cell r="AF66">
            <v>0</v>
          </cell>
          <cell r="AG66">
            <v>0</v>
          </cell>
          <cell r="AH66">
            <v>0</v>
          </cell>
          <cell r="AK66">
            <v>0</v>
          </cell>
          <cell r="AL66">
            <v>0</v>
          </cell>
          <cell r="AM66">
            <v>0</v>
          </cell>
          <cell r="AO66">
            <v>0</v>
          </cell>
        </row>
        <row r="67">
          <cell r="F67">
            <v>0</v>
          </cell>
          <cell r="G67">
            <v>0</v>
          </cell>
          <cell r="H67">
            <v>0.3333333333333286</v>
          </cell>
          <cell r="P67">
            <v>-41.200000000000045</v>
          </cell>
          <cell r="S67">
            <v>-70.599999999999909</v>
          </cell>
          <cell r="T67">
            <v>186.20000000000002</v>
          </cell>
          <cell r="U67">
            <v>978.8</v>
          </cell>
          <cell r="X67">
            <v>576.79999999999995</v>
          </cell>
          <cell r="Y67">
            <v>233</v>
          </cell>
          <cell r="Z67">
            <v>519</v>
          </cell>
          <cell r="AC67">
            <v>574.79999999999995</v>
          </cell>
          <cell r="AD67">
            <v>240</v>
          </cell>
          <cell r="AE67">
            <v>494</v>
          </cell>
          <cell r="AF67">
            <v>108.80000000000001</v>
          </cell>
          <cell r="AG67">
            <v>170.8</v>
          </cell>
          <cell r="AH67">
            <v>-62</v>
          </cell>
          <cell r="AI67">
            <v>0</v>
          </cell>
          <cell r="AJ67">
            <v>0</v>
          </cell>
          <cell r="AK67">
            <v>1220.5999999999999</v>
          </cell>
          <cell r="AN67">
            <v>426</v>
          </cell>
          <cell r="AO67">
            <v>932</v>
          </cell>
          <cell r="AP67">
            <v>552</v>
          </cell>
          <cell r="AQ67">
            <v>1317.3333333333335</v>
          </cell>
        </row>
        <row r="68">
          <cell r="F68">
            <v>133.60000000000002</v>
          </cell>
          <cell r="G68">
            <v>29</v>
          </cell>
          <cell r="H68">
            <v>104.60000000000002</v>
          </cell>
          <cell r="P68">
            <v>699.4</v>
          </cell>
          <cell r="S68">
            <v>1291.1454545454546</v>
          </cell>
          <cell r="T68">
            <v>322.78636363636366</v>
          </cell>
          <cell r="U68">
            <v>968.35909090909104</v>
          </cell>
          <cell r="X68">
            <v>661.0363636363636</v>
          </cell>
          <cell r="Y68">
            <v>205</v>
          </cell>
          <cell r="Z68">
            <v>456.0363636363636</v>
          </cell>
          <cell r="AC68">
            <v>482.8</v>
          </cell>
          <cell r="AD68">
            <v>158</v>
          </cell>
          <cell r="AE68">
            <v>324.8</v>
          </cell>
          <cell r="AF68">
            <v>506</v>
          </cell>
          <cell r="AG68">
            <v>506</v>
          </cell>
          <cell r="AH68">
            <v>0</v>
          </cell>
          <cell r="AK68">
            <v>3773.9818181818182</v>
          </cell>
          <cell r="AL68">
            <v>1091.4000000000001</v>
          </cell>
          <cell r="AM68">
            <v>2682.5818181818181</v>
          </cell>
          <cell r="AN68">
            <v>363</v>
          </cell>
          <cell r="AO68">
            <v>1220</v>
          </cell>
          <cell r="AP68">
            <v>728.40000000000009</v>
          </cell>
          <cell r="AQ68">
            <v>1462.5818181818181</v>
          </cell>
        </row>
        <row r="69">
          <cell r="G69">
            <v>0</v>
          </cell>
          <cell r="H69">
            <v>0</v>
          </cell>
          <cell r="P69">
            <v>51</v>
          </cell>
          <cell r="S69">
            <v>296.72727272727275</v>
          </cell>
          <cell r="X69">
            <v>202.18181818181819</v>
          </cell>
          <cell r="Y69">
            <v>63</v>
          </cell>
          <cell r="Z69">
            <v>139.18181818181819</v>
          </cell>
          <cell r="AC69">
            <v>147</v>
          </cell>
          <cell r="AD69">
            <v>48</v>
          </cell>
          <cell r="AE69">
            <v>99</v>
          </cell>
          <cell r="AF69">
            <v>88</v>
          </cell>
          <cell r="AG69">
            <v>88</v>
          </cell>
          <cell r="AH69">
            <v>0</v>
          </cell>
          <cell r="AK69">
            <v>784.90909090909099</v>
          </cell>
          <cell r="AL69">
            <v>162</v>
          </cell>
          <cell r="AM69">
            <v>622.90909090909099</v>
          </cell>
        </row>
        <row r="70">
          <cell r="F70">
            <v>0</v>
          </cell>
          <cell r="G70">
            <v>0</v>
          </cell>
          <cell r="H70">
            <v>0</v>
          </cell>
          <cell r="P70">
            <v>3</v>
          </cell>
          <cell r="S70">
            <v>17</v>
          </cell>
          <cell r="X70">
            <v>11</v>
          </cell>
          <cell r="Y70">
            <v>3</v>
          </cell>
          <cell r="Z70">
            <v>8</v>
          </cell>
          <cell r="AC70">
            <v>8</v>
          </cell>
          <cell r="AD70">
            <v>3</v>
          </cell>
          <cell r="AE70">
            <v>5</v>
          </cell>
          <cell r="AF70">
            <v>5</v>
          </cell>
          <cell r="AG70">
            <v>5</v>
          </cell>
          <cell r="AH70">
            <v>0</v>
          </cell>
          <cell r="AK70">
            <v>44</v>
          </cell>
          <cell r="AL70">
            <v>9</v>
          </cell>
          <cell r="AM70">
            <v>35</v>
          </cell>
        </row>
        <row r="71">
          <cell r="F71">
            <v>0</v>
          </cell>
          <cell r="G71">
            <v>0</v>
          </cell>
          <cell r="H71">
            <v>0</v>
          </cell>
          <cell r="P71">
            <v>16</v>
          </cell>
          <cell r="S71">
            <v>95</v>
          </cell>
          <cell r="X71">
            <v>65</v>
          </cell>
          <cell r="Y71">
            <v>20</v>
          </cell>
          <cell r="Z71">
            <v>45</v>
          </cell>
          <cell r="AC71">
            <v>48</v>
          </cell>
          <cell r="AD71">
            <v>16</v>
          </cell>
          <cell r="AE71">
            <v>32</v>
          </cell>
          <cell r="AF71">
            <v>28</v>
          </cell>
          <cell r="AG71">
            <v>28</v>
          </cell>
          <cell r="AH71">
            <v>0</v>
          </cell>
          <cell r="AK71">
            <v>252</v>
          </cell>
          <cell r="AL71">
            <v>52</v>
          </cell>
          <cell r="AM71">
            <v>200</v>
          </cell>
        </row>
        <row r="72">
          <cell r="F72">
            <v>0</v>
          </cell>
          <cell r="G72">
            <v>0</v>
          </cell>
          <cell r="X72">
            <v>0</v>
          </cell>
          <cell r="AC72">
            <v>0</v>
          </cell>
          <cell r="AF72">
            <v>0</v>
          </cell>
          <cell r="AG72">
            <v>0</v>
          </cell>
          <cell r="AH72">
            <v>0</v>
          </cell>
          <cell r="AK72">
            <v>0</v>
          </cell>
          <cell r="AL72">
            <v>0</v>
          </cell>
          <cell r="AM72">
            <v>0</v>
          </cell>
        </row>
        <row r="73">
          <cell r="G73">
            <v>0</v>
          </cell>
          <cell r="P73">
            <v>699.4</v>
          </cell>
          <cell r="S73">
            <v>0</v>
          </cell>
          <cell r="X73">
            <v>0</v>
          </cell>
          <cell r="Y73">
            <v>0</v>
          </cell>
          <cell r="Z73">
            <v>0</v>
          </cell>
          <cell r="AC73">
            <v>0</v>
          </cell>
          <cell r="AD73">
            <v>0</v>
          </cell>
          <cell r="AE73">
            <v>0</v>
          </cell>
          <cell r="AF73">
            <v>0</v>
          </cell>
          <cell r="AG73">
            <v>0</v>
          </cell>
          <cell r="AH73">
            <v>0</v>
          </cell>
          <cell r="AK73">
            <v>699.4</v>
          </cell>
          <cell r="AL73">
            <v>699.4</v>
          </cell>
          <cell r="AM73">
            <v>0</v>
          </cell>
        </row>
        <row r="74">
          <cell r="G74">
            <v>0</v>
          </cell>
          <cell r="P74">
            <v>0</v>
          </cell>
          <cell r="S74">
            <v>0</v>
          </cell>
          <cell r="X74">
            <v>0</v>
          </cell>
          <cell r="Z74">
            <v>0</v>
          </cell>
          <cell r="AC74">
            <v>0</v>
          </cell>
          <cell r="AD74">
            <v>0</v>
          </cell>
          <cell r="AE74">
            <v>0</v>
          </cell>
          <cell r="AH74">
            <v>0</v>
          </cell>
          <cell r="AK74">
            <v>0</v>
          </cell>
          <cell r="AL74">
            <v>0</v>
          </cell>
          <cell r="AM74">
            <v>0</v>
          </cell>
        </row>
        <row r="75">
          <cell r="F75">
            <v>1431.9</v>
          </cell>
          <cell r="G75">
            <v>316</v>
          </cell>
          <cell r="H75">
            <v>1115.9000000000001</v>
          </cell>
          <cell r="P75">
            <v>91.000000000000014</v>
          </cell>
          <cell r="S75">
            <v>225.60000000000002</v>
          </cell>
          <cell r="T75">
            <v>93.456000000000003</v>
          </cell>
          <cell r="U75">
            <v>132.14400000000001</v>
          </cell>
          <cell r="X75">
            <v>92.000000000000014</v>
          </cell>
          <cell r="Y75">
            <v>29</v>
          </cell>
          <cell r="Z75">
            <v>63.000000000000014</v>
          </cell>
          <cell r="AC75">
            <v>67.2</v>
          </cell>
          <cell r="AD75">
            <v>22</v>
          </cell>
          <cell r="AE75">
            <v>45.2</v>
          </cell>
          <cell r="AF75">
            <v>180</v>
          </cell>
          <cell r="AG75">
            <v>148.96</v>
          </cell>
          <cell r="AH75">
            <v>31.039999999999992</v>
          </cell>
          <cell r="AI75">
            <v>507.20000000000005</v>
          </cell>
          <cell r="AK75">
            <v>3022.5266666666666</v>
          </cell>
          <cell r="AL75">
            <v>667.6</v>
          </cell>
          <cell r="AM75">
            <v>2354.9266666666667</v>
          </cell>
          <cell r="AN75">
            <v>51</v>
          </cell>
          <cell r="AO75">
            <v>185</v>
          </cell>
          <cell r="AP75">
            <v>616.6</v>
          </cell>
          <cell r="AQ75">
            <v>2169.9266666666667</v>
          </cell>
        </row>
        <row r="76">
          <cell r="F76">
            <v>105</v>
          </cell>
          <cell r="G76">
            <v>23</v>
          </cell>
          <cell r="H76">
            <v>82</v>
          </cell>
          <cell r="T76">
            <v>0</v>
          </cell>
          <cell r="U76">
            <v>0</v>
          </cell>
          <cell r="Y76">
            <v>0</v>
          </cell>
          <cell r="Z76">
            <v>0</v>
          </cell>
          <cell r="AE76">
            <v>0</v>
          </cell>
          <cell r="AH76">
            <v>0</v>
          </cell>
          <cell r="AK76">
            <v>105</v>
          </cell>
          <cell r="AL76">
            <v>23</v>
          </cell>
          <cell r="AM76">
            <v>82</v>
          </cell>
          <cell r="AN76">
            <v>0</v>
          </cell>
          <cell r="AO76">
            <v>0</v>
          </cell>
          <cell r="AP76">
            <v>23</v>
          </cell>
          <cell r="AQ76">
            <v>82</v>
          </cell>
        </row>
        <row r="77">
          <cell r="F77">
            <v>1326.9</v>
          </cell>
          <cell r="G77">
            <v>293</v>
          </cell>
          <cell r="H77">
            <v>1033.9000000000001</v>
          </cell>
          <cell r="P77">
            <v>91.000000000000014</v>
          </cell>
          <cell r="S77">
            <v>225.60000000000002</v>
          </cell>
          <cell r="T77">
            <v>93.456000000000003</v>
          </cell>
          <cell r="U77">
            <v>132.14400000000001</v>
          </cell>
          <cell r="X77">
            <v>92.000000000000014</v>
          </cell>
          <cell r="Y77">
            <v>29</v>
          </cell>
          <cell r="Z77">
            <v>63.000000000000014</v>
          </cell>
          <cell r="AC77">
            <v>67.2</v>
          </cell>
          <cell r="AD77">
            <v>22</v>
          </cell>
          <cell r="AE77">
            <v>45.2</v>
          </cell>
          <cell r="AF77">
            <v>180</v>
          </cell>
          <cell r="AG77">
            <v>148.96</v>
          </cell>
          <cell r="AH77">
            <v>31.039999999999992</v>
          </cell>
          <cell r="AI77">
            <v>507.20000000000005</v>
          </cell>
          <cell r="AK77">
            <v>2917.5266666666666</v>
          </cell>
          <cell r="AL77">
            <v>644.6</v>
          </cell>
          <cell r="AM77">
            <v>2272.9266666666667</v>
          </cell>
          <cell r="AN77">
            <v>51</v>
          </cell>
          <cell r="AO77">
            <v>185</v>
          </cell>
          <cell r="AP77">
            <v>593.6</v>
          </cell>
          <cell r="AQ77">
            <v>2087.9266666666667</v>
          </cell>
        </row>
        <row r="78">
          <cell r="F78">
            <v>474.8</v>
          </cell>
          <cell r="G78">
            <v>105</v>
          </cell>
          <cell r="H78">
            <v>369.8</v>
          </cell>
          <cell r="P78">
            <v>52.800000000000004</v>
          </cell>
          <cell r="S78">
            <v>141.6</v>
          </cell>
          <cell r="T78">
            <v>93.456000000000003</v>
          </cell>
          <cell r="U78">
            <v>48.143999999999991</v>
          </cell>
          <cell r="X78">
            <v>44.800000000000004</v>
          </cell>
          <cell r="Y78">
            <v>14</v>
          </cell>
          <cell r="Z78">
            <v>30.800000000000004</v>
          </cell>
          <cell r="AC78">
            <v>34.4</v>
          </cell>
          <cell r="AD78">
            <v>22</v>
          </cell>
          <cell r="AE78">
            <v>12.399999999999999</v>
          </cell>
          <cell r="AF78">
            <v>130.4</v>
          </cell>
          <cell r="AG78">
            <v>119.2</v>
          </cell>
          <cell r="AH78">
            <v>11.200000000000003</v>
          </cell>
          <cell r="AK78">
            <v>947.59999999999991</v>
          </cell>
          <cell r="AL78">
            <v>239.4</v>
          </cell>
          <cell r="AM78">
            <v>708.19999999999993</v>
          </cell>
          <cell r="AQ78">
            <v>708.19999999999993</v>
          </cell>
        </row>
        <row r="79">
          <cell r="H79">
            <v>0</v>
          </cell>
          <cell r="S79">
            <v>0</v>
          </cell>
          <cell r="AK79">
            <v>363.66666666666663</v>
          </cell>
          <cell r="AL79">
            <v>158</v>
          </cell>
          <cell r="AM79">
            <v>205.66666666666663</v>
          </cell>
          <cell r="AQ79">
            <v>205.66666666666663</v>
          </cell>
        </row>
        <row r="80">
          <cell r="F80">
            <v>353.6</v>
          </cell>
          <cell r="G80">
            <v>78</v>
          </cell>
          <cell r="H80">
            <v>275.60000000000002</v>
          </cell>
          <cell r="P80">
            <v>19</v>
          </cell>
          <cell r="S80">
            <v>36.800000000000004</v>
          </cell>
          <cell r="X80">
            <v>38.400000000000006</v>
          </cell>
          <cell r="Y80">
            <v>12</v>
          </cell>
          <cell r="Z80">
            <v>26.400000000000006</v>
          </cell>
          <cell r="AC80">
            <v>7.2</v>
          </cell>
          <cell r="AF80">
            <v>9.6000000000000014</v>
          </cell>
          <cell r="AG80">
            <v>5.7600000000000007</v>
          </cell>
          <cell r="AH80">
            <v>3.8400000000000007</v>
          </cell>
          <cell r="AI80">
            <v>31.466666666666669</v>
          </cell>
          <cell r="AK80">
            <v>496.22666666666669</v>
          </cell>
          <cell r="AL80">
            <v>111</v>
          </cell>
          <cell r="AM80">
            <v>385.22666666666669</v>
          </cell>
        </row>
        <row r="81">
          <cell r="F81">
            <v>498.5</v>
          </cell>
          <cell r="G81">
            <v>110</v>
          </cell>
          <cell r="H81">
            <v>388.5</v>
          </cell>
          <cell r="P81">
            <v>19.200000000000003</v>
          </cell>
          <cell r="S81">
            <v>47.2</v>
          </cell>
          <cell r="X81">
            <v>8.8000000000000007</v>
          </cell>
          <cell r="Y81">
            <v>3</v>
          </cell>
          <cell r="Z81">
            <v>5.8000000000000007</v>
          </cell>
          <cell r="AC81">
            <v>25.6</v>
          </cell>
          <cell r="AF81">
            <v>40</v>
          </cell>
          <cell r="AG81">
            <v>24</v>
          </cell>
          <cell r="AH81">
            <v>16</v>
          </cell>
          <cell r="AI81">
            <v>475.73333333333335</v>
          </cell>
          <cell r="AK81">
            <v>1110.0333333333333</v>
          </cell>
          <cell r="AL81">
            <v>136.19999999999999</v>
          </cell>
          <cell r="AM81">
            <v>973.83333333333326</v>
          </cell>
        </row>
        <row r="82">
          <cell r="H82">
            <v>0</v>
          </cell>
          <cell r="Y82">
            <v>0</v>
          </cell>
          <cell r="Z82">
            <v>0</v>
          </cell>
          <cell r="AK82">
            <v>0</v>
          </cell>
          <cell r="AL82">
            <v>0</v>
          </cell>
          <cell r="AM82">
            <v>0</v>
          </cell>
        </row>
        <row r="83">
          <cell r="F83">
            <v>19.399999999999999</v>
          </cell>
          <cell r="G83">
            <v>0</v>
          </cell>
          <cell r="H83">
            <v>19.399999999999999</v>
          </cell>
          <cell r="P83">
            <v>3.1</v>
          </cell>
          <cell r="S83">
            <v>7.5</v>
          </cell>
          <cell r="X83">
            <v>3.1</v>
          </cell>
          <cell r="Y83">
            <v>1</v>
          </cell>
          <cell r="Z83">
            <v>2.1</v>
          </cell>
          <cell r="AC83">
            <v>1.7</v>
          </cell>
          <cell r="AF83">
            <v>4.8</v>
          </cell>
          <cell r="AH83">
            <v>4.8</v>
          </cell>
          <cell r="AK83">
            <v>35.800000000000004</v>
          </cell>
          <cell r="AL83">
            <v>5.0999999999999996</v>
          </cell>
          <cell r="AM83">
            <v>30.700000000000003</v>
          </cell>
        </row>
        <row r="84">
          <cell r="F84">
            <v>2252.3000000000002</v>
          </cell>
          <cell r="G84">
            <v>496</v>
          </cell>
          <cell r="H84">
            <v>1756.3000000000002</v>
          </cell>
          <cell r="P84">
            <v>2551.6</v>
          </cell>
          <cell r="Q84">
            <v>0</v>
          </cell>
          <cell r="R84">
            <v>0</v>
          </cell>
          <cell r="S84">
            <v>26545.418181818179</v>
          </cell>
          <cell r="T84">
            <v>23326.412</v>
          </cell>
          <cell r="U84">
            <v>3219.0061818181821</v>
          </cell>
          <cell r="X84">
            <v>25476.854545454546</v>
          </cell>
          <cell r="Y84">
            <v>9296.0975609756097</v>
          </cell>
          <cell r="Z84">
            <v>16180.756984478936</v>
          </cell>
          <cell r="AA84">
            <v>0</v>
          </cell>
          <cell r="AB84">
            <v>0</v>
          </cell>
          <cell r="AC84">
            <v>22303.4</v>
          </cell>
          <cell r="AD84">
            <v>8940.4774346793329</v>
          </cell>
          <cell r="AE84">
            <v>13362.922565320667</v>
          </cell>
          <cell r="AF84">
            <v>3914</v>
          </cell>
          <cell r="AG84">
            <v>3321.88</v>
          </cell>
          <cell r="AH84">
            <v>592.12</v>
          </cell>
          <cell r="AI84">
            <v>786.10909090909092</v>
          </cell>
          <cell r="AK84">
            <v>84163.028484848473</v>
          </cell>
          <cell r="AL84">
            <v>21818.574995654941</v>
          </cell>
          <cell r="AM84">
            <v>62344.453489193547</v>
          </cell>
          <cell r="AN84">
            <v>18184.574995654941</v>
          </cell>
          <cell r="AO84">
            <v>50837</v>
          </cell>
          <cell r="AP84">
            <v>3358</v>
          </cell>
          <cell r="AQ84">
            <v>10648.453489193544</v>
          </cell>
        </row>
        <row r="85">
          <cell r="F85">
            <v>281</v>
          </cell>
          <cell r="G85">
            <v>62</v>
          </cell>
          <cell r="H85">
            <v>219</v>
          </cell>
          <cell r="P85">
            <v>528</v>
          </cell>
          <cell r="Q85">
            <v>0</v>
          </cell>
          <cell r="R85">
            <v>0</v>
          </cell>
          <cell r="T85">
            <v>454.85363636363633</v>
          </cell>
          <cell r="U85">
            <v>473.41909090909093</v>
          </cell>
          <cell r="V85">
            <v>0</v>
          </cell>
          <cell r="W85">
            <v>0</v>
          </cell>
          <cell r="Y85">
            <v>148</v>
          </cell>
          <cell r="Z85">
            <v>327</v>
          </cell>
          <cell r="AA85">
            <v>0</v>
          </cell>
          <cell r="AB85">
            <v>0</v>
          </cell>
          <cell r="AD85">
            <v>127</v>
          </cell>
          <cell r="AE85">
            <v>262</v>
          </cell>
          <cell r="AH85">
            <v>53</v>
          </cell>
          <cell r="AI85">
            <v>202.90909090909091</v>
          </cell>
          <cell r="AK85">
            <v>4336.909090909091</v>
          </cell>
          <cell r="AL85">
            <v>1024</v>
          </cell>
          <cell r="AM85">
            <v>3312.909090909091</v>
          </cell>
        </row>
        <row r="86">
          <cell r="AL86">
            <v>21837.195939509984</v>
          </cell>
        </row>
        <row r="87">
          <cell r="F87">
            <v>11292</v>
          </cell>
          <cell r="G87">
            <v>11292</v>
          </cell>
          <cell r="AK87">
            <v>11292</v>
          </cell>
          <cell r="AL87">
            <v>11292</v>
          </cell>
          <cell r="AM87">
            <v>0</v>
          </cell>
          <cell r="AN87">
            <v>0</v>
          </cell>
          <cell r="AO87">
            <v>0</v>
          </cell>
          <cell r="AP87">
            <v>0</v>
          </cell>
          <cell r="AQ87">
            <v>0</v>
          </cell>
        </row>
        <row r="88">
          <cell r="F88">
            <v>13544.3</v>
          </cell>
          <cell r="G88">
            <v>11788</v>
          </cell>
          <cell r="H88">
            <v>1756.3000000000002</v>
          </cell>
          <cell r="P88">
            <v>2551.6</v>
          </cell>
          <cell r="Q88">
            <v>0</v>
          </cell>
          <cell r="R88">
            <v>0</v>
          </cell>
          <cell r="S88">
            <v>26545.418181818179</v>
          </cell>
          <cell r="T88">
            <v>23326.412</v>
          </cell>
          <cell r="U88">
            <v>3219.0061818181821</v>
          </cell>
          <cell r="V88">
            <v>0</v>
          </cell>
          <cell r="W88">
            <v>0</v>
          </cell>
          <cell r="X88">
            <v>25476.854545454546</v>
          </cell>
          <cell r="Y88">
            <v>9296.0975609756097</v>
          </cell>
          <cell r="Z88">
            <v>16180.756984478936</v>
          </cell>
          <cell r="AA88">
            <v>0</v>
          </cell>
          <cell r="AB88">
            <v>0</v>
          </cell>
          <cell r="AC88">
            <v>22303.4</v>
          </cell>
          <cell r="AD88">
            <v>8940.4774346793329</v>
          </cell>
          <cell r="AE88">
            <v>13362.922565320667</v>
          </cell>
          <cell r="AF88">
            <v>3914</v>
          </cell>
          <cell r="AG88">
            <v>3321.88</v>
          </cell>
          <cell r="AH88">
            <v>592.12</v>
          </cell>
          <cell r="AI88">
            <v>786.10909090909092</v>
          </cell>
          <cell r="AK88">
            <v>95455.028484848473</v>
          </cell>
          <cell r="AL88">
            <v>33110.574995654941</v>
          </cell>
          <cell r="AM88">
            <v>62344.453489193547</v>
          </cell>
          <cell r="AN88">
            <v>18184.574995654941</v>
          </cell>
          <cell r="AO88">
            <v>50837</v>
          </cell>
          <cell r="AP88">
            <v>3358</v>
          </cell>
          <cell r="AQ88">
            <v>10648.453489193544</v>
          </cell>
        </row>
        <row r="89">
          <cell r="F89">
            <v>0</v>
          </cell>
          <cell r="G89">
            <v>0</v>
          </cell>
          <cell r="H89">
            <v>0</v>
          </cell>
          <cell r="AH89">
            <v>0</v>
          </cell>
          <cell r="AM89">
            <v>0</v>
          </cell>
          <cell r="AN89">
            <v>0</v>
          </cell>
          <cell r="AO89">
            <v>0</v>
          </cell>
          <cell r="AP89">
            <v>0</v>
          </cell>
          <cell r="AQ89">
            <v>-1</v>
          </cell>
        </row>
        <row r="90">
          <cell r="F90">
            <v>1390</v>
          </cell>
          <cell r="G90">
            <v>810</v>
          </cell>
          <cell r="H90">
            <v>580</v>
          </cell>
          <cell r="AH90">
            <v>0</v>
          </cell>
          <cell r="AK90">
            <v>1390</v>
          </cell>
          <cell r="AL90">
            <v>810</v>
          </cell>
          <cell r="AM90">
            <v>580</v>
          </cell>
          <cell r="AN90">
            <v>0</v>
          </cell>
          <cell r="AO90">
            <v>0</v>
          </cell>
          <cell r="AP90">
            <v>225.18812577924132</v>
          </cell>
          <cell r="AQ90">
            <v>41.283220704629741</v>
          </cell>
        </row>
        <row r="91">
          <cell r="F91">
            <v>600</v>
          </cell>
          <cell r="G91">
            <v>128</v>
          </cell>
          <cell r="H91">
            <v>472</v>
          </cell>
          <cell r="S91">
            <v>0</v>
          </cell>
          <cell r="T91">
            <v>0</v>
          </cell>
          <cell r="U91">
            <v>0</v>
          </cell>
          <cell r="X91">
            <v>0</v>
          </cell>
          <cell r="Y91">
            <v>0</v>
          </cell>
          <cell r="Z91">
            <v>0</v>
          </cell>
          <cell r="AA91">
            <v>0</v>
          </cell>
          <cell r="AB91">
            <v>0</v>
          </cell>
          <cell r="AC91">
            <v>0</v>
          </cell>
          <cell r="AD91">
            <v>0</v>
          </cell>
          <cell r="AE91">
            <v>0</v>
          </cell>
          <cell r="AH91">
            <v>0</v>
          </cell>
          <cell r="AK91">
            <v>600</v>
          </cell>
          <cell r="AL91">
            <v>128</v>
          </cell>
          <cell r="AM91">
            <v>472</v>
          </cell>
          <cell r="AN91">
            <v>0</v>
          </cell>
          <cell r="AO91">
            <v>0</v>
          </cell>
          <cell r="AP91">
            <v>0</v>
          </cell>
          <cell r="AQ91">
            <v>0</v>
          </cell>
        </row>
        <row r="92">
          <cell r="F92">
            <v>18.666666666666664</v>
          </cell>
          <cell r="G92">
            <v>4</v>
          </cell>
          <cell r="H92">
            <v>14.666666666666664</v>
          </cell>
          <cell r="P92">
            <v>48.800000000000004</v>
          </cell>
          <cell r="S92">
            <v>5.6000000000000005</v>
          </cell>
          <cell r="X92">
            <v>13.600000000000001</v>
          </cell>
          <cell r="Y92">
            <v>4</v>
          </cell>
          <cell r="Z92">
            <v>9.6000000000000014</v>
          </cell>
          <cell r="AC92">
            <v>21.6</v>
          </cell>
          <cell r="AD92">
            <v>9</v>
          </cell>
          <cell r="AE92">
            <v>12.600000000000001</v>
          </cell>
          <cell r="AF92">
            <v>12</v>
          </cell>
          <cell r="AG92">
            <v>11</v>
          </cell>
          <cell r="AH92">
            <v>1</v>
          </cell>
          <cell r="AK92">
            <v>119.26666666666665</v>
          </cell>
          <cell r="AL92">
            <v>65.800000000000011</v>
          </cell>
          <cell r="AM92">
            <v>53.46666666666664</v>
          </cell>
          <cell r="AN92">
            <v>13</v>
          </cell>
          <cell r="AO92">
            <v>24</v>
          </cell>
          <cell r="AP92">
            <v>52.800000000000011</v>
          </cell>
          <cell r="AQ92">
            <v>29.46666666666664</v>
          </cell>
        </row>
        <row r="95">
          <cell r="F95">
            <v>15552.966666666665</v>
          </cell>
          <cell r="G95">
            <v>12730</v>
          </cell>
          <cell r="H95">
            <v>2822.9666666666667</v>
          </cell>
          <cell r="P95">
            <v>2600.4</v>
          </cell>
          <cell r="Q95">
            <v>0</v>
          </cell>
          <cell r="R95">
            <v>0</v>
          </cell>
          <cell r="S95">
            <v>26551.018181818177</v>
          </cell>
          <cell r="T95">
            <v>23326.412</v>
          </cell>
          <cell r="U95">
            <v>3219.0061818181821</v>
          </cell>
          <cell r="V95">
            <v>0</v>
          </cell>
          <cell r="W95">
            <v>0</v>
          </cell>
          <cell r="X95">
            <v>25490.454545454544</v>
          </cell>
          <cell r="Y95">
            <v>9300.0975609756097</v>
          </cell>
          <cell r="Z95">
            <v>16190.356984478936</v>
          </cell>
          <cell r="AA95">
            <v>0</v>
          </cell>
          <cell r="AB95">
            <v>0</v>
          </cell>
          <cell r="AC95">
            <v>22325</v>
          </cell>
          <cell r="AD95">
            <v>8949.4774346793329</v>
          </cell>
          <cell r="AE95">
            <v>13375.522565320667</v>
          </cell>
          <cell r="AF95">
            <v>3925</v>
          </cell>
          <cell r="AG95">
            <v>3332.88</v>
          </cell>
          <cell r="AH95">
            <v>593.12</v>
          </cell>
          <cell r="AI95">
            <v>786.10909090909092</v>
          </cell>
          <cell r="AJ95">
            <v>0</v>
          </cell>
          <cell r="AK95">
            <v>97564.295151515136</v>
          </cell>
          <cell r="AL95">
            <v>34114.374995654944</v>
          </cell>
          <cell r="AM95">
            <v>63449.920155860214</v>
          </cell>
          <cell r="AN95">
            <v>18197.574995654941</v>
          </cell>
          <cell r="AO95">
            <v>50861</v>
          </cell>
          <cell r="AP95">
            <v>3635.9881257792413</v>
          </cell>
          <cell r="AQ95">
            <v>10718.203376564841</v>
          </cell>
        </row>
        <row r="96">
          <cell r="F96">
            <v>4260.9666666666653</v>
          </cell>
          <cell r="G96">
            <v>1438</v>
          </cell>
          <cell r="H96">
            <v>2822.9666666666667</v>
          </cell>
          <cell r="P96">
            <v>2600.4</v>
          </cell>
          <cell r="Q96">
            <v>0</v>
          </cell>
          <cell r="R96">
            <v>0</v>
          </cell>
          <cell r="S96">
            <v>7626.0181818181773</v>
          </cell>
          <cell r="T96">
            <v>4401.4120000000003</v>
          </cell>
          <cell r="U96">
            <v>3219.0061818181821</v>
          </cell>
          <cell r="V96">
            <v>0</v>
          </cell>
          <cell r="W96">
            <v>0</v>
          </cell>
          <cell r="X96">
            <v>2981.4545454545441</v>
          </cell>
          <cell r="Y96">
            <v>925</v>
          </cell>
          <cell r="Z96">
            <v>2056.454545454546</v>
          </cell>
          <cell r="AA96">
            <v>0</v>
          </cell>
          <cell r="AB96">
            <v>0</v>
          </cell>
          <cell r="AC96">
            <v>1888</v>
          </cell>
          <cell r="AD96">
            <v>619</v>
          </cell>
          <cell r="AE96">
            <v>1269</v>
          </cell>
          <cell r="AF96">
            <v>3925</v>
          </cell>
          <cell r="AG96">
            <v>3332.88</v>
          </cell>
          <cell r="AH96">
            <v>593.12</v>
          </cell>
          <cell r="AI96">
            <v>786.10909090909092</v>
          </cell>
          <cell r="AJ96">
            <v>0</v>
          </cell>
          <cell r="AK96">
            <v>24401.295151515136</v>
          </cell>
          <cell r="AL96">
            <v>6116.8000000000029</v>
          </cell>
          <cell r="AM96">
            <v>18284.495151515155</v>
          </cell>
          <cell r="AN96">
            <v>1492</v>
          </cell>
          <cell r="AO96">
            <v>5696</v>
          </cell>
          <cell r="AP96">
            <v>3635.9881257792413</v>
          </cell>
          <cell r="AQ96">
            <v>10717.778372219782</v>
          </cell>
        </row>
        <row r="97">
          <cell r="F97">
            <v>684.2</v>
          </cell>
          <cell r="G97">
            <v>15552.966666666667</v>
          </cell>
          <cell r="P97">
            <v>627.20000000000005</v>
          </cell>
          <cell r="S97">
            <v>1365.6</v>
          </cell>
          <cell r="X97">
            <v>175.20000000000002</v>
          </cell>
          <cell r="Y97">
            <v>25490.454545454544</v>
          </cell>
          <cell r="AC97">
            <v>159.20000000000002</v>
          </cell>
          <cell r="AD97">
            <v>22325</v>
          </cell>
          <cell r="AF97">
            <v>444.2</v>
          </cell>
          <cell r="AG97">
            <v>367.2</v>
          </cell>
          <cell r="AH97">
            <v>77</v>
          </cell>
          <cell r="AI97">
            <v>54.400000000000006</v>
          </cell>
          <cell r="AJ97">
            <v>0</v>
          </cell>
          <cell r="AK97">
            <v>3450.5999999999995</v>
          </cell>
          <cell r="AL97">
            <v>97564.295151515151</v>
          </cell>
        </row>
        <row r="98">
          <cell r="F98">
            <v>87</v>
          </cell>
          <cell r="P98">
            <v>627.20000000000005</v>
          </cell>
          <cell r="S98">
            <v>1365.6</v>
          </cell>
          <cell r="X98">
            <v>175.20000000000002</v>
          </cell>
          <cell r="AC98">
            <v>159.20000000000002</v>
          </cell>
          <cell r="AF98">
            <v>444.2</v>
          </cell>
          <cell r="AG98">
            <v>367.2</v>
          </cell>
          <cell r="AH98">
            <v>0</v>
          </cell>
          <cell r="AI98">
            <v>54.400000000000006</v>
          </cell>
          <cell r="AK98">
            <v>2853.3999999999996</v>
          </cell>
          <cell r="AL98">
            <v>97564.295151515165</v>
          </cell>
          <cell r="AM98">
            <v>34132.995939509987</v>
          </cell>
        </row>
        <row r="99">
          <cell r="F99">
            <v>0</v>
          </cell>
          <cell r="P99">
            <v>0</v>
          </cell>
          <cell r="X99">
            <v>0</v>
          </cell>
          <cell r="AK99">
            <v>0</v>
          </cell>
        </row>
        <row r="100">
          <cell r="F100">
            <v>597.20000000000005</v>
          </cell>
          <cell r="P100">
            <v>0</v>
          </cell>
          <cell r="S100">
            <v>0</v>
          </cell>
          <cell r="X100">
            <v>0</v>
          </cell>
          <cell r="AC100">
            <v>0</v>
          </cell>
          <cell r="AF100">
            <v>0</v>
          </cell>
          <cell r="AG100">
            <v>0</v>
          </cell>
          <cell r="AH100">
            <v>77</v>
          </cell>
          <cell r="AI100">
            <v>0</v>
          </cell>
          <cell r="AK100">
            <v>597.20000000000005</v>
          </cell>
        </row>
        <row r="101">
          <cell r="P101">
            <v>0</v>
          </cell>
          <cell r="S101">
            <v>0</v>
          </cell>
        </row>
        <row r="102">
          <cell r="S102">
            <v>0</v>
          </cell>
          <cell r="X102">
            <v>0</v>
          </cell>
        </row>
        <row r="104">
          <cell r="AK104">
            <v>0</v>
          </cell>
        </row>
        <row r="105">
          <cell r="AK105">
            <v>0</v>
          </cell>
        </row>
        <row r="106">
          <cell r="F106">
            <v>1047.2</v>
          </cell>
          <cell r="P106">
            <v>0</v>
          </cell>
          <cell r="S106">
            <v>0</v>
          </cell>
          <cell r="X106">
            <v>0</v>
          </cell>
          <cell r="AC106">
            <v>0</v>
          </cell>
          <cell r="AF106">
            <v>0</v>
          </cell>
          <cell r="AG106">
            <v>0</v>
          </cell>
          <cell r="AH106">
            <v>0</v>
          </cell>
          <cell r="AI106">
            <v>0</v>
          </cell>
          <cell r="AK106">
            <v>1047.2</v>
          </cell>
        </row>
        <row r="107">
          <cell r="F107">
            <v>597.20000000000005</v>
          </cell>
          <cell r="S107">
            <v>0</v>
          </cell>
          <cell r="AC107">
            <v>0</v>
          </cell>
          <cell r="AF107">
            <v>0</v>
          </cell>
          <cell r="AG107">
            <v>0</v>
          </cell>
          <cell r="AH107">
            <v>0</v>
          </cell>
          <cell r="AI107">
            <v>0</v>
          </cell>
          <cell r="AK107">
            <v>597.20000000000005</v>
          </cell>
        </row>
        <row r="108">
          <cell r="F108">
            <v>450</v>
          </cell>
          <cell r="P108">
            <v>0</v>
          </cell>
          <cell r="S108">
            <v>0</v>
          </cell>
          <cell r="AC108">
            <v>0</v>
          </cell>
          <cell r="AF108">
            <v>0</v>
          </cell>
          <cell r="AG108">
            <v>0</v>
          </cell>
          <cell r="AH108">
            <v>0</v>
          </cell>
          <cell r="AI108">
            <v>0</v>
          </cell>
          <cell r="AK108">
            <v>450</v>
          </cell>
        </row>
        <row r="109">
          <cell r="F109">
            <v>0</v>
          </cell>
          <cell r="P109">
            <v>0</v>
          </cell>
          <cell r="S109">
            <v>0</v>
          </cell>
          <cell r="X109">
            <v>0</v>
          </cell>
          <cell r="AC109">
            <v>0</v>
          </cell>
          <cell r="AF109">
            <v>0</v>
          </cell>
          <cell r="AG109">
            <v>0</v>
          </cell>
          <cell r="AH109">
            <v>0</v>
          </cell>
          <cell r="AK109">
            <v>0</v>
          </cell>
        </row>
        <row r="110">
          <cell r="F110">
            <v>0</v>
          </cell>
          <cell r="P110">
            <v>0</v>
          </cell>
          <cell r="S110">
            <v>79.800000000000011</v>
          </cell>
          <cell r="X110">
            <v>0</v>
          </cell>
          <cell r="AC110">
            <v>0</v>
          </cell>
          <cell r="AF110">
            <v>0</v>
          </cell>
          <cell r="AG110">
            <v>0</v>
          </cell>
          <cell r="AH110">
            <v>0</v>
          </cell>
          <cell r="AI110">
            <v>64</v>
          </cell>
          <cell r="AK110">
            <v>143.80000000000001</v>
          </cell>
        </row>
        <row r="111">
          <cell r="F111">
            <v>0</v>
          </cell>
          <cell r="P111">
            <v>0</v>
          </cell>
          <cell r="S111">
            <v>79.800000000000011</v>
          </cell>
          <cell r="AC111">
            <v>0</v>
          </cell>
          <cell r="AF111">
            <v>0</v>
          </cell>
          <cell r="AG111">
            <v>0</v>
          </cell>
          <cell r="AH111">
            <v>0</v>
          </cell>
          <cell r="AI111">
            <v>64</v>
          </cell>
          <cell r="AK111">
            <v>143.80000000000001</v>
          </cell>
        </row>
        <row r="112">
          <cell r="F112">
            <v>0</v>
          </cell>
          <cell r="P112">
            <v>0</v>
          </cell>
          <cell r="S112">
            <v>0</v>
          </cell>
          <cell r="X112">
            <v>0</v>
          </cell>
          <cell r="AC112">
            <v>0</v>
          </cell>
          <cell r="AF112">
            <v>0</v>
          </cell>
          <cell r="AG112">
            <v>0</v>
          </cell>
          <cell r="AH112">
            <v>0</v>
          </cell>
          <cell r="AK112">
            <v>0</v>
          </cell>
        </row>
        <row r="113">
          <cell r="F113">
            <v>0</v>
          </cell>
          <cell r="P113">
            <v>0</v>
          </cell>
          <cell r="S113">
            <v>264.8</v>
          </cell>
          <cell r="AC113">
            <v>0</v>
          </cell>
          <cell r="AG113">
            <v>0</v>
          </cell>
          <cell r="AH113">
            <v>0</v>
          </cell>
          <cell r="AK113">
            <v>264.8</v>
          </cell>
          <cell r="AM113">
            <v>0</v>
          </cell>
        </row>
        <row r="114">
          <cell r="F114">
            <v>0</v>
          </cell>
          <cell r="P114">
            <v>0</v>
          </cell>
          <cell r="S114">
            <v>264.8</v>
          </cell>
          <cell r="AH114">
            <v>0</v>
          </cell>
          <cell r="AK114">
            <v>264.8</v>
          </cell>
        </row>
        <row r="115">
          <cell r="F115">
            <v>0</v>
          </cell>
          <cell r="P115">
            <v>0</v>
          </cell>
          <cell r="S115">
            <v>0</v>
          </cell>
          <cell r="AC115">
            <v>0</v>
          </cell>
          <cell r="AG115">
            <v>0</v>
          </cell>
          <cell r="AH115">
            <v>0</v>
          </cell>
          <cell r="AK115">
            <v>0</v>
          </cell>
          <cell r="AL115">
            <v>0</v>
          </cell>
          <cell r="AM115">
            <v>0</v>
          </cell>
        </row>
        <row r="116">
          <cell r="P116">
            <v>0</v>
          </cell>
          <cell r="S116">
            <v>0</v>
          </cell>
          <cell r="AC116">
            <v>0</v>
          </cell>
          <cell r="AG116">
            <v>0</v>
          </cell>
          <cell r="AH116">
            <v>0</v>
          </cell>
          <cell r="AK116">
            <v>0</v>
          </cell>
        </row>
        <row r="117">
          <cell r="F117">
            <v>0</v>
          </cell>
          <cell r="P117">
            <v>0</v>
          </cell>
          <cell r="S117">
            <v>0</v>
          </cell>
          <cell r="AC117">
            <v>0</v>
          </cell>
          <cell r="AF117">
            <v>0</v>
          </cell>
          <cell r="AG117">
            <v>0</v>
          </cell>
          <cell r="AH117">
            <v>0</v>
          </cell>
          <cell r="AK117">
            <v>0</v>
          </cell>
        </row>
        <row r="118">
          <cell r="P118">
            <v>0</v>
          </cell>
          <cell r="X118">
            <v>0</v>
          </cell>
          <cell r="AC118">
            <v>0</v>
          </cell>
          <cell r="AG118">
            <v>0</v>
          </cell>
          <cell r="AH118">
            <v>0</v>
          </cell>
          <cell r="AK118">
            <v>0</v>
          </cell>
        </row>
        <row r="119">
          <cell r="F119">
            <v>250.66666666666666</v>
          </cell>
          <cell r="AK119">
            <v>250.66666666666666</v>
          </cell>
        </row>
        <row r="120">
          <cell r="S120">
            <v>0</v>
          </cell>
          <cell r="X120">
            <v>0</v>
          </cell>
          <cell r="AF120">
            <v>0</v>
          </cell>
          <cell r="AK120">
            <v>0</v>
          </cell>
        </row>
        <row r="121">
          <cell r="F121">
            <v>8992</v>
          </cell>
          <cell r="AK121">
            <v>8992</v>
          </cell>
        </row>
        <row r="122">
          <cell r="AK122">
            <v>0</v>
          </cell>
        </row>
        <row r="123">
          <cell r="AK123">
            <v>-4642</v>
          </cell>
          <cell r="AL123">
            <v>-6716.1982727272625</v>
          </cell>
        </row>
        <row r="124">
          <cell r="F124">
            <v>0</v>
          </cell>
        </row>
        <row r="125">
          <cell r="F125">
            <v>10289.866666666667</v>
          </cell>
          <cell r="G125">
            <v>0</v>
          </cell>
          <cell r="H125">
            <v>0</v>
          </cell>
          <cell r="P125">
            <v>0</v>
          </cell>
          <cell r="Q125">
            <v>0</v>
          </cell>
          <cell r="R125">
            <v>0</v>
          </cell>
          <cell r="S125">
            <v>344.6</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64</v>
          </cell>
          <cell r="AJ125">
            <v>0</v>
          </cell>
          <cell r="AK125">
            <v>10698.466666666667</v>
          </cell>
          <cell r="AN125">
            <v>0</v>
          </cell>
          <cell r="AO125">
            <v>0</v>
          </cell>
          <cell r="AP125">
            <v>0</v>
          </cell>
          <cell r="AQ125">
            <v>0</v>
          </cell>
        </row>
        <row r="126">
          <cell r="F126">
            <v>10289.866666666667</v>
          </cell>
          <cell r="G126">
            <v>0</v>
          </cell>
          <cell r="H126">
            <v>0</v>
          </cell>
          <cell r="P126">
            <v>0</v>
          </cell>
          <cell r="S126">
            <v>344.6</v>
          </cell>
          <cell r="X126">
            <v>0</v>
          </cell>
          <cell r="Y126">
            <v>0</v>
          </cell>
          <cell r="Z126">
            <v>0</v>
          </cell>
          <cell r="AC126">
            <v>0</v>
          </cell>
          <cell r="AD126">
            <v>0</v>
          </cell>
          <cell r="AE126">
            <v>0</v>
          </cell>
          <cell r="AF126">
            <v>0</v>
          </cell>
          <cell r="AG126">
            <v>0</v>
          </cell>
          <cell r="AH126">
            <v>77</v>
          </cell>
          <cell r="AI126">
            <v>64</v>
          </cell>
          <cell r="AJ126">
            <v>0</v>
          </cell>
          <cell r="AK126">
            <v>6056.4666666666672</v>
          </cell>
        </row>
        <row r="127">
          <cell r="AK127">
            <v>3982.2683939394046</v>
          </cell>
          <cell r="AL127">
            <v>10698.466666666667</v>
          </cell>
        </row>
        <row r="128">
          <cell r="AK128">
            <v>3982.2683939394046</v>
          </cell>
        </row>
        <row r="129">
          <cell r="AK129">
            <v>5688.9548484848638</v>
          </cell>
          <cell r="AL129">
            <v>12271.625004345056</v>
          </cell>
          <cell r="AM129">
            <v>-7447.9201558602144</v>
          </cell>
        </row>
        <row r="131">
          <cell r="AK131">
            <v>1706.6864545454591</v>
          </cell>
          <cell r="AN131">
            <v>0</v>
          </cell>
        </row>
        <row r="134">
          <cell r="AK134">
            <v>56002</v>
          </cell>
          <cell r="AM134">
            <v>56002</v>
          </cell>
          <cell r="AN134">
            <v>0</v>
          </cell>
          <cell r="AP134">
            <v>0</v>
          </cell>
        </row>
        <row r="135">
          <cell r="AK135">
            <v>-7447.9201558602144</v>
          </cell>
          <cell r="AN135">
            <v>0</v>
          </cell>
        </row>
        <row r="136">
          <cell r="AK136">
            <v>35.44</v>
          </cell>
          <cell r="AN136" t="e">
            <v>#DIV/0!</v>
          </cell>
        </row>
        <row r="137">
          <cell r="AK137">
            <v>40.159999999999997</v>
          </cell>
          <cell r="AN137" t="e">
            <v>#DIV/0!</v>
          </cell>
        </row>
        <row r="138">
          <cell r="AK138">
            <v>0</v>
          </cell>
          <cell r="AN138">
            <v>0</v>
          </cell>
        </row>
        <row r="140">
          <cell r="AK140">
            <v>10.96</v>
          </cell>
          <cell r="AN140" t="e">
            <v>#DIV/0!</v>
          </cell>
        </row>
        <row r="142">
          <cell r="AJ142">
            <v>0</v>
          </cell>
          <cell r="AK142">
            <v>8.6199999999999992</v>
          </cell>
          <cell r="AN142" t="e">
            <v>#DIV/0!</v>
          </cell>
        </row>
        <row r="143">
          <cell r="AK143">
            <v>43363</v>
          </cell>
          <cell r="AL143">
            <v>43363</v>
          </cell>
        </row>
        <row r="145">
          <cell r="AJ145">
            <v>300</v>
          </cell>
        </row>
        <row r="146">
          <cell r="AK146">
            <v>15283.523809523811</v>
          </cell>
          <cell r="AL146">
            <v>-34114.374995654944</v>
          </cell>
          <cell r="AM146">
            <v>-63449.920155860214</v>
          </cell>
        </row>
        <row r="147">
          <cell r="S147">
            <v>0</v>
          </cell>
          <cell r="AK147">
            <v>865.25</v>
          </cell>
        </row>
        <row r="149">
          <cell r="AJ149">
            <v>0</v>
          </cell>
          <cell r="AK149">
            <v>99365</v>
          </cell>
          <cell r="AL149">
            <v>43363</v>
          </cell>
          <cell r="AM149">
            <v>56002</v>
          </cell>
          <cell r="AN149">
            <v>0</v>
          </cell>
        </row>
        <row r="150">
          <cell r="AK150">
            <v>0</v>
          </cell>
        </row>
        <row r="151">
          <cell r="AK151">
            <v>102388</v>
          </cell>
          <cell r="AL151">
            <v>46386</v>
          </cell>
          <cell r="AM151">
            <v>56002</v>
          </cell>
        </row>
        <row r="152">
          <cell r="AK152">
            <v>0</v>
          </cell>
          <cell r="AN152">
            <v>1492</v>
          </cell>
          <cell r="AO152">
            <v>5696</v>
          </cell>
          <cell r="AP152">
            <v>3635.9881257792413</v>
          </cell>
          <cell r="AQ152">
            <v>10717.778372219782</v>
          </cell>
        </row>
        <row r="153">
          <cell r="AK153">
            <v>5.8</v>
          </cell>
          <cell r="AL153">
            <v>36</v>
          </cell>
          <cell r="AM153">
            <v>-11.7</v>
          </cell>
        </row>
        <row r="154">
          <cell r="AK154">
            <v>15.66507889570549</v>
          </cell>
          <cell r="AL154">
            <v>-100</v>
          </cell>
          <cell r="AM154">
            <v>-100</v>
          </cell>
        </row>
        <row r="155">
          <cell r="AL155">
            <v>0</v>
          </cell>
          <cell r="AM155">
            <v>0</v>
          </cell>
        </row>
        <row r="157">
          <cell r="F157">
            <v>0</v>
          </cell>
          <cell r="P157">
            <v>0</v>
          </cell>
          <cell r="S157">
            <v>0</v>
          </cell>
          <cell r="X157">
            <v>0</v>
          </cell>
          <cell r="AC157">
            <v>0</v>
          </cell>
          <cell r="AI157">
            <v>0</v>
          </cell>
          <cell r="AJ157">
            <v>142</v>
          </cell>
          <cell r="AK157">
            <v>0</v>
          </cell>
        </row>
        <row r="158">
          <cell r="F158">
            <v>583.6</v>
          </cell>
          <cell r="P158">
            <v>699.4</v>
          </cell>
          <cell r="S158">
            <v>1291.1454545454546</v>
          </cell>
          <cell r="X158">
            <v>661.0363636363636</v>
          </cell>
          <cell r="AC158">
            <v>482.8</v>
          </cell>
          <cell r="AF158">
            <v>506</v>
          </cell>
          <cell r="AG158">
            <v>506</v>
          </cell>
          <cell r="AH158">
            <v>0</v>
          </cell>
          <cell r="AK158">
            <v>4223.9818181818182</v>
          </cell>
        </row>
        <row r="159">
          <cell r="F159">
            <v>583.6</v>
          </cell>
          <cell r="P159">
            <v>538.20000000000005</v>
          </cell>
          <cell r="S159">
            <v>737</v>
          </cell>
          <cell r="X159">
            <v>351</v>
          </cell>
          <cell r="AC159">
            <v>184.8</v>
          </cell>
          <cell r="AF159">
            <v>67.2</v>
          </cell>
          <cell r="AG159">
            <v>67.2</v>
          </cell>
          <cell r="AH159">
            <v>0</v>
          </cell>
          <cell r="AK159">
            <v>2394.6000000000004</v>
          </cell>
        </row>
        <row r="160">
          <cell r="F160">
            <v>583.6</v>
          </cell>
          <cell r="P160">
            <v>56</v>
          </cell>
          <cell r="S160">
            <v>130.4</v>
          </cell>
          <cell r="X160">
            <v>72.760000000000019</v>
          </cell>
          <cell r="AC160">
            <v>72.8</v>
          </cell>
          <cell r="AF160">
            <v>56</v>
          </cell>
          <cell r="AG160">
            <v>56</v>
          </cell>
          <cell r="AH160">
            <v>0</v>
          </cell>
          <cell r="AI160">
            <v>525.04000000000008</v>
          </cell>
          <cell r="AK160">
            <v>1496.6</v>
          </cell>
        </row>
        <row r="161">
          <cell r="AK161">
            <v>0</v>
          </cell>
        </row>
        <row r="162">
          <cell r="AK162">
            <v>0</v>
          </cell>
        </row>
        <row r="163">
          <cell r="F163">
            <v>14.170833333333334</v>
          </cell>
          <cell r="AK163">
            <v>14.170833333333334</v>
          </cell>
        </row>
        <row r="164">
          <cell r="P164">
            <v>70</v>
          </cell>
          <cell r="S164">
            <v>408.72727272727275</v>
          </cell>
          <cell r="X164">
            <v>278.18181818181819</v>
          </cell>
          <cell r="AC164">
            <v>203</v>
          </cell>
          <cell r="AG164">
            <v>121</v>
          </cell>
          <cell r="AK164">
            <v>959.90909090909099</v>
          </cell>
        </row>
        <row r="165">
          <cell r="F165">
            <v>124.60000000000002</v>
          </cell>
          <cell r="S165">
            <v>882.41818181818189</v>
          </cell>
          <cell r="X165">
            <v>382.85454545454542</v>
          </cell>
          <cell r="AC165">
            <v>279.8</v>
          </cell>
          <cell r="AK165">
            <v>1669.6727272727273</v>
          </cell>
        </row>
        <row r="166">
          <cell r="S166">
            <v>1291.1454545454546</v>
          </cell>
          <cell r="X166">
            <v>661.0363636363636</v>
          </cell>
          <cell r="AC166">
            <v>482.8</v>
          </cell>
        </row>
        <row r="167">
          <cell r="F167">
            <v>459</v>
          </cell>
          <cell r="P167">
            <v>0</v>
          </cell>
          <cell r="S167">
            <v>0</v>
          </cell>
          <cell r="X167">
            <v>0</v>
          </cell>
          <cell r="AC167">
            <v>0</v>
          </cell>
          <cell r="AK167">
            <v>459</v>
          </cell>
        </row>
        <row r="168">
          <cell r="S168">
            <v>0</v>
          </cell>
          <cell r="X168">
            <v>0</v>
          </cell>
          <cell r="AC168">
            <v>0</v>
          </cell>
          <cell r="AF168">
            <v>0</v>
          </cell>
          <cell r="AG168">
            <v>0</v>
          </cell>
          <cell r="AH168">
            <v>0</v>
          </cell>
          <cell r="AK168">
            <v>0</v>
          </cell>
        </row>
        <row r="169">
          <cell r="F169">
            <v>684.2</v>
          </cell>
          <cell r="G169">
            <v>15552.966666666667</v>
          </cell>
          <cell r="H169">
            <v>0</v>
          </cell>
          <cell r="P169">
            <v>627.20000000000005</v>
          </cell>
          <cell r="Q169">
            <v>0</v>
          </cell>
          <cell r="R169">
            <v>0</v>
          </cell>
          <cell r="S169">
            <v>1710.1999999999998</v>
          </cell>
          <cell r="T169">
            <v>0</v>
          </cell>
          <cell r="U169">
            <v>0</v>
          </cell>
          <cell r="V169">
            <v>0</v>
          </cell>
          <cell r="W169">
            <v>0</v>
          </cell>
          <cell r="X169">
            <v>175.20000000000002</v>
          </cell>
          <cell r="Y169">
            <v>25490.454545454544</v>
          </cell>
          <cell r="Z169">
            <v>0</v>
          </cell>
          <cell r="AA169">
            <v>0</v>
          </cell>
          <cell r="AB169">
            <v>0</v>
          </cell>
          <cell r="AC169">
            <v>159.20000000000002</v>
          </cell>
          <cell r="AD169">
            <v>22325</v>
          </cell>
          <cell r="AE169">
            <v>0</v>
          </cell>
          <cell r="AF169">
            <v>444.2</v>
          </cell>
          <cell r="AG169">
            <v>367.2</v>
          </cell>
          <cell r="AH169">
            <v>77</v>
          </cell>
          <cell r="AI169">
            <v>118.4</v>
          </cell>
          <cell r="AJ169">
            <v>0</v>
          </cell>
          <cell r="AK169">
            <v>3859.1999999999994</v>
          </cell>
        </row>
        <row r="170">
          <cell r="F170">
            <v>684.2</v>
          </cell>
          <cell r="G170">
            <v>15552.966666666667</v>
          </cell>
          <cell r="H170">
            <v>0</v>
          </cell>
          <cell r="P170">
            <v>627.20000000000005</v>
          </cell>
          <cell r="Q170">
            <v>0</v>
          </cell>
          <cell r="R170">
            <v>0</v>
          </cell>
          <cell r="S170">
            <v>1445.3999999999999</v>
          </cell>
          <cell r="T170">
            <v>0</v>
          </cell>
          <cell r="U170">
            <v>0</v>
          </cell>
          <cell r="V170">
            <v>0</v>
          </cell>
          <cell r="W170">
            <v>0</v>
          </cell>
          <cell r="X170">
            <v>175.20000000000002</v>
          </cell>
          <cell r="Y170">
            <v>25490.454545454544</v>
          </cell>
          <cell r="Z170">
            <v>0</v>
          </cell>
          <cell r="AA170">
            <v>0</v>
          </cell>
          <cell r="AB170">
            <v>0</v>
          </cell>
          <cell r="AC170">
            <v>159.20000000000002</v>
          </cell>
          <cell r="AD170">
            <v>22325</v>
          </cell>
          <cell r="AE170">
            <v>0</v>
          </cell>
          <cell r="AF170">
            <v>444.2</v>
          </cell>
          <cell r="AG170">
            <v>367.2</v>
          </cell>
          <cell r="AH170">
            <v>77</v>
          </cell>
          <cell r="AI170">
            <v>118.4</v>
          </cell>
          <cell r="AJ170">
            <v>0</v>
          </cell>
          <cell r="AK170">
            <v>3594.3999999999992</v>
          </cell>
        </row>
        <row r="171">
          <cell r="F171">
            <v>0</v>
          </cell>
          <cell r="G171">
            <v>0</v>
          </cell>
          <cell r="H171">
            <v>0</v>
          </cell>
          <cell r="P171">
            <v>0</v>
          </cell>
          <cell r="R171">
            <v>0</v>
          </cell>
          <cell r="S171">
            <v>264.8</v>
          </cell>
          <cell r="T171">
            <v>0</v>
          </cell>
          <cell r="U171">
            <v>0</v>
          </cell>
          <cell r="V171">
            <v>0</v>
          </cell>
          <cell r="W171">
            <v>0</v>
          </cell>
          <cell r="X171">
            <v>0</v>
          </cell>
          <cell r="Y171">
            <v>0</v>
          </cell>
          <cell r="Z171">
            <v>0</v>
          </cell>
          <cell r="AA171">
            <v>0</v>
          </cell>
          <cell r="AB171">
            <v>0</v>
          </cell>
          <cell r="AC171">
            <v>0</v>
          </cell>
          <cell r="AE171">
            <v>0</v>
          </cell>
          <cell r="AF171">
            <v>0</v>
          </cell>
          <cell r="AG171">
            <v>0</v>
          </cell>
          <cell r="AH171">
            <v>0</v>
          </cell>
          <cell r="AI171">
            <v>0</v>
          </cell>
          <cell r="AJ171">
            <v>0</v>
          </cell>
          <cell r="AK171">
            <v>264.8</v>
          </cell>
        </row>
        <row r="172">
          <cell r="F172">
            <v>0</v>
          </cell>
          <cell r="AG172">
            <v>0</v>
          </cell>
          <cell r="AK172">
            <v>0</v>
          </cell>
        </row>
        <row r="173">
          <cell r="AK173">
            <v>0</v>
          </cell>
        </row>
        <row r="174">
          <cell r="F174">
            <v>8992</v>
          </cell>
          <cell r="AK174">
            <v>8992</v>
          </cell>
        </row>
        <row r="175">
          <cell r="F175">
            <v>384</v>
          </cell>
          <cell r="P175">
            <v>726</v>
          </cell>
          <cell r="Q175">
            <v>0</v>
          </cell>
          <cell r="R175">
            <v>0</v>
          </cell>
          <cell r="S175">
            <v>1685</v>
          </cell>
          <cell r="T175">
            <v>625.85363636363627</v>
          </cell>
          <cell r="U175">
            <v>650.41909090909098</v>
          </cell>
          <cell r="V175">
            <v>0</v>
          </cell>
          <cell r="W175">
            <v>0</v>
          </cell>
          <cell r="X175">
            <v>653</v>
          </cell>
          <cell r="AA175">
            <v>0</v>
          </cell>
          <cell r="AB175">
            <v>0</v>
          </cell>
          <cell r="AC175">
            <v>535</v>
          </cell>
          <cell r="AF175">
            <v>1440</v>
          </cell>
          <cell r="AG175">
            <v>1367</v>
          </cell>
          <cell r="AH175">
            <v>73</v>
          </cell>
          <cell r="AJ175">
            <v>0</v>
          </cell>
          <cell r="AK175">
            <v>5684</v>
          </cell>
          <cell r="AN175">
            <v>173</v>
          </cell>
          <cell r="AO175">
            <v>694</v>
          </cell>
          <cell r="AP175">
            <v>736</v>
          </cell>
          <cell r="AQ175">
            <v>2144</v>
          </cell>
        </row>
        <row r="176">
          <cell r="F176">
            <v>0</v>
          </cell>
          <cell r="G176">
            <v>0</v>
          </cell>
          <cell r="H176">
            <v>0</v>
          </cell>
          <cell r="P176">
            <v>70</v>
          </cell>
          <cell r="Q176">
            <v>0</v>
          </cell>
          <cell r="R176">
            <v>0</v>
          </cell>
          <cell r="S176">
            <v>408.72727272727275</v>
          </cell>
          <cell r="T176">
            <v>0</v>
          </cell>
          <cell r="U176">
            <v>0</v>
          </cell>
          <cell r="V176">
            <v>0</v>
          </cell>
          <cell r="W176">
            <v>0</v>
          </cell>
          <cell r="X176">
            <v>278.18181818181819</v>
          </cell>
          <cell r="Y176">
            <v>86</v>
          </cell>
          <cell r="Z176">
            <v>192.18181818181819</v>
          </cell>
          <cell r="AA176">
            <v>0</v>
          </cell>
          <cell r="AB176">
            <v>0</v>
          </cell>
          <cell r="AC176">
            <v>203</v>
          </cell>
          <cell r="AD176">
            <v>67</v>
          </cell>
          <cell r="AE176">
            <v>136</v>
          </cell>
          <cell r="AF176">
            <v>121</v>
          </cell>
          <cell r="AG176">
            <v>121</v>
          </cell>
          <cell r="AH176">
            <v>0</v>
          </cell>
        </row>
        <row r="177">
          <cell r="F177">
            <v>18.666666666666664</v>
          </cell>
          <cell r="P177">
            <v>48.800000000000004</v>
          </cell>
          <cell r="Q177">
            <v>0</v>
          </cell>
          <cell r="R177">
            <v>0</v>
          </cell>
          <cell r="S177">
            <v>22.400000000000002</v>
          </cell>
          <cell r="T177">
            <v>16.8</v>
          </cell>
          <cell r="U177">
            <v>0</v>
          </cell>
          <cell r="V177">
            <v>0</v>
          </cell>
          <cell r="W177">
            <v>0</v>
          </cell>
          <cell r="X177">
            <v>791.2</v>
          </cell>
          <cell r="AA177">
            <v>0</v>
          </cell>
          <cell r="AB177">
            <v>0</v>
          </cell>
          <cell r="AC177">
            <v>32.800000000000004</v>
          </cell>
          <cell r="AF177">
            <v>12</v>
          </cell>
          <cell r="AG177">
            <v>11</v>
          </cell>
          <cell r="AH177">
            <v>1</v>
          </cell>
          <cell r="AI177">
            <v>0</v>
          </cell>
          <cell r="AJ177">
            <v>0</v>
          </cell>
          <cell r="AK177">
            <v>2631.5531212121259</v>
          </cell>
          <cell r="AN177">
            <v>258</v>
          </cell>
          <cell r="AO177">
            <v>574</v>
          </cell>
          <cell r="AP177">
            <v>52.800000000000011</v>
          </cell>
          <cell r="AQ177">
            <v>40.066666666666663</v>
          </cell>
        </row>
        <row r="180">
          <cell r="F180">
            <v>1542.6999999999987</v>
          </cell>
          <cell r="P180">
            <v>610.20000000000027</v>
          </cell>
          <cell r="S180">
            <v>3741.1999999999962</v>
          </cell>
          <cell r="X180">
            <v>402.39999999999844</v>
          </cell>
          <cell r="AC180">
            <v>306.40000000000003</v>
          </cell>
          <cell r="AF180">
            <v>1535</v>
          </cell>
          <cell r="AG180">
            <v>1031.8800000000001</v>
          </cell>
          <cell r="AH180">
            <v>503.12</v>
          </cell>
          <cell r="AO180">
            <v>1507.2</v>
          </cell>
        </row>
        <row r="181">
          <cell r="AN181" t="str">
            <v>ОЧИК.18.02.</v>
          </cell>
        </row>
        <row r="184">
          <cell r="F184" t="str">
            <v>АПАРАТ ВСЬОГО</v>
          </cell>
          <cell r="G184" t="str">
            <v>АПАРАТ ЕЛЕКТРО</v>
          </cell>
          <cell r="H184" t="str">
            <v>АПАРАТ ТЕПЛО</v>
          </cell>
          <cell r="P184" t="str">
            <v>ККМ</v>
          </cell>
          <cell r="S184" t="str">
            <v>КТМ</v>
          </cell>
          <cell r="X184" t="str">
            <v>ТЕЦ-5 ВСЬОГО</v>
          </cell>
          <cell r="Y184" t="str">
            <v>Е/Е</v>
          </cell>
          <cell r="Z184" t="str">
            <v xml:space="preserve"> Т/Е</v>
          </cell>
          <cell r="AC184" t="str">
            <v>ТЕЦ-6 ВСЬОГО</v>
          </cell>
          <cell r="AD184" t="str">
            <v>Е/Е</v>
          </cell>
          <cell r="AE184" t="str">
            <v xml:space="preserve"> Т/Е</v>
          </cell>
          <cell r="AF184" t="str">
            <v>Е/Е</v>
          </cell>
          <cell r="AG184" t="str">
            <v xml:space="preserve"> Т/Е</v>
          </cell>
          <cell r="AI184" t="str">
            <v xml:space="preserve">ДОП.ВИР. </v>
          </cell>
          <cell r="AJ184" t="str">
            <v>ДОП.ВИР. СТ.ОРГ.</v>
          </cell>
          <cell r="AK184" t="str">
            <v>АК КЕ ВСЬОГО</v>
          </cell>
          <cell r="AL184" t="str">
            <v>Е/Е</v>
          </cell>
          <cell r="AM184" t="str">
            <v xml:space="preserve"> Т/Е</v>
          </cell>
          <cell r="AN184" t="str">
            <v>СТАНЦІї ЕЛЕКТРО</v>
          </cell>
          <cell r="AO184" t="str">
            <v>СТАНЦІІ ТЕПЛОВІ</v>
          </cell>
          <cell r="AP184" t="str">
            <v>МЕРЕЖІ ЕЛЕКТРО</v>
          </cell>
          <cell r="AQ184" t="str">
            <v>МЕРЕЖІ ТЕПЛОВІ</v>
          </cell>
        </row>
        <row r="185">
          <cell r="F185" t="str">
            <v>АПАРАТ ВСЬОГО</v>
          </cell>
          <cell r="G185" t="str">
            <v>АПАРАТ ЕЛЕКТРО</v>
          </cell>
          <cell r="H185" t="str">
            <v>АПАРАТ ТЕПЛО</v>
          </cell>
          <cell r="P185" t="str">
            <v>ККМ</v>
          </cell>
          <cell r="S185" t="str">
            <v>КТМ</v>
          </cell>
          <cell r="X185" t="str">
            <v>ТЕЦ-5 ВСЬОГО</v>
          </cell>
          <cell r="Y185" t="str">
            <v>Е/Е</v>
          </cell>
          <cell r="Z185" t="str">
            <v xml:space="preserve"> Т/Е</v>
          </cell>
          <cell r="AC185" t="str">
            <v>ТЕЦ-6 ВСЬОГО</v>
          </cell>
          <cell r="AD185" t="str">
            <v>Е/Е</v>
          </cell>
          <cell r="AE185" t="str">
            <v xml:space="preserve"> Т/Е</v>
          </cell>
          <cell r="AF185" t="str">
            <v>Е/Е</v>
          </cell>
          <cell r="AG185" t="str">
            <v xml:space="preserve"> Т/Е</v>
          </cell>
          <cell r="AJ185" t="str">
            <v>ДОП.ВИР. СТ.ОРГ.</v>
          </cell>
          <cell r="AK185" t="str">
            <v>АК КЕ ВСЬОГО</v>
          </cell>
          <cell r="AL185" t="str">
            <v xml:space="preserve"> Т/Е</v>
          </cell>
        </row>
        <row r="187">
          <cell r="S187">
            <v>97.3</v>
          </cell>
          <cell r="X187">
            <v>89.2</v>
          </cell>
          <cell r="AC187">
            <v>73.2</v>
          </cell>
          <cell r="AK187">
            <v>259.7</v>
          </cell>
          <cell r="AN187">
            <v>221.49122807017542</v>
          </cell>
        </row>
        <row r="188">
          <cell r="S188">
            <v>111.9</v>
          </cell>
          <cell r="X188">
            <v>102.5</v>
          </cell>
          <cell r="AC188">
            <v>84.2</v>
          </cell>
          <cell r="AK188">
            <v>298.60000000000002</v>
          </cell>
          <cell r="AN188">
            <v>252.49999999999997</v>
          </cell>
        </row>
        <row r="189">
          <cell r="P189">
            <v>0</v>
          </cell>
          <cell r="S189">
            <v>0</v>
          </cell>
          <cell r="X189">
            <v>0</v>
          </cell>
          <cell r="AC189">
            <v>0</v>
          </cell>
          <cell r="AK189">
            <v>377.7</v>
          </cell>
          <cell r="AN189">
            <v>66</v>
          </cell>
        </row>
        <row r="190">
          <cell r="P190">
            <v>0</v>
          </cell>
          <cell r="S190">
            <v>194.5</v>
          </cell>
          <cell r="X190">
            <v>194.5</v>
          </cell>
          <cell r="AC190">
            <v>194.5</v>
          </cell>
          <cell r="AK190">
            <v>194.5</v>
          </cell>
          <cell r="AN190">
            <v>0</v>
          </cell>
        </row>
        <row r="191">
          <cell r="P191">
            <v>0</v>
          </cell>
          <cell r="S191">
            <v>18925</v>
          </cell>
          <cell r="X191">
            <v>17350</v>
          </cell>
          <cell r="AC191">
            <v>14237</v>
          </cell>
          <cell r="AK191">
            <v>50512</v>
          </cell>
          <cell r="AN191">
            <v>0</v>
          </cell>
        </row>
        <row r="192">
          <cell r="S192">
            <v>19500</v>
          </cell>
          <cell r="X192">
            <v>22503</v>
          </cell>
          <cell r="AC192">
            <v>21502</v>
          </cell>
          <cell r="AK192">
            <v>50512</v>
          </cell>
        </row>
        <row r="193">
          <cell r="X193">
            <v>0</v>
          </cell>
          <cell r="AC193">
            <v>0</v>
          </cell>
          <cell r="AK193">
            <v>0</v>
          </cell>
        </row>
        <row r="194">
          <cell r="X194">
            <v>0</v>
          </cell>
          <cell r="AC194">
            <v>0</v>
          </cell>
          <cell r="AK194">
            <v>0</v>
          </cell>
        </row>
        <row r="195">
          <cell r="X195">
            <v>82.5</v>
          </cell>
          <cell r="AC195">
            <v>82.5</v>
          </cell>
          <cell r="AK195">
            <v>0</v>
          </cell>
        </row>
        <row r="196">
          <cell r="X196">
            <v>0</v>
          </cell>
          <cell r="AC196">
            <v>0</v>
          </cell>
          <cell r="AK196">
            <v>0</v>
          </cell>
        </row>
        <row r="197">
          <cell r="S197">
            <v>0</v>
          </cell>
          <cell r="X197">
            <v>0</v>
          </cell>
          <cell r="AC197">
            <v>0</v>
          </cell>
          <cell r="AK197">
            <v>0</v>
          </cell>
        </row>
        <row r="198">
          <cell r="S198">
            <v>0</v>
          </cell>
          <cell r="X198">
            <v>0</v>
          </cell>
          <cell r="AC198">
            <v>0</v>
          </cell>
          <cell r="AK198">
            <v>0</v>
          </cell>
        </row>
        <row r="199">
          <cell r="X199">
            <v>13.4</v>
          </cell>
          <cell r="AC199">
            <v>16.100000000000001</v>
          </cell>
          <cell r="AK199">
            <v>29.5</v>
          </cell>
          <cell r="AN199">
            <v>75.839416058394164</v>
          </cell>
        </row>
        <row r="200">
          <cell r="X200">
            <v>18.5</v>
          </cell>
          <cell r="AC200">
            <v>22.2</v>
          </cell>
          <cell r="AK200">
            <v>40.700000000000003</v>
          </cell>
          <cell r="AN200">
            <v>103.9</v>
          </cell>
        </row>
        <row r="201">
          <cell r="F201">
            <v>75</v>
          </cell>
          <cell r="P201">
            <v>75</v>
          </cell>
          <cell r="X201">
            <v>5.7</v>
          </cell>
          <cell r="AC201">
            <v>5.9</v>
          </cell>
          <cell r="AJ201">
            <v>0</v>
          </cell>
          <cell r="AK201">
            <v>11.600000000000001</v>
          </cell>
          <cell r="AN201" t="e">
            <v>#DIV/0!</v>
          </cell>
          <cell r="AQ201">
            <v>75</v>
          </cell>
        </row>
        <row r="202">
          <cell r="F202">
            <v>75</v>
          </cell>
          <cell r="S202">
            <v>385</v>
          </cell>
          <cell r="X202">
            <v>385</v>
          </cell>
          <cell r="AC202">
            <v>385</v>
          </cell>
          <cell r="AJ202">
            <v>0</v>
          </cell>
          <cell r="AK202">
            <v>385</v>
          </cell>
          <cell r="AN202">
            <v>195.28</v>
          </cell>
        </row>
        <row r="203">
          <cell r="S203">
            <v>0</v>
          </cell>
          <cell r="X203">
            <v>5159</v>
          </cell>
          <cell r="AC203">
            <v>6200</v>
          </cell>
          <cell r="AK203">
            <v>11358</v>
          </cell>
          <cell r="AN203">
            <v>14810</v>
          </cell>
        </row>
        <row r="204">
          <cell r="S204">
            <v>0</v>
          </cell>
          <cell r="X204">
            <v>2466</v>
          </cell>
          <cell r="AC204">
            <v>2526</v>
          </cell>
          <cell r="AK204">
            <v>11359</v>
          </cell>
        </row>
        <row r="205">
          <cell r="S205">
            <v>111.9</v>
          </cell>
          <cell r="X205">
            <v>121</v>
          </cell>
          <cell r="Y205">
            <v>37.5</v>
          </cell>
          <cell r="Z205">
            <v>83.5</v>
          </cell>
          <cell r="AC205">
            <v>106.4</v>
          </cell>
          <cell r="AD205">
            <v>34.799999999999997</v>
          </cell>
          <cell r="AE205">
            <v>71.600000000000009</v>
          </cell>
          <cell r="AK205">
            <v>339.3</v>
          </cell>
          <cell r="AL205">
            <v>72.3</v>
          </cell>
          <cell r="AM205">
            <v>267</v>
          </cell>
          <cell r="AN205">
            <v>356.4</v>
          </cell>
          <cell r="AO205">
            <v>74.900000000000006</v>
          </cell>
          <cell r="AP205">
            <v>281.5</v>
          </cell>
        </row>
        <row r="206">
          <cell r="S206">
            <v>18925</v>
          </cell>
          <cell r="X206">
            <v>22509</v>
          </cell>
          <cell r="Y206">
            <v>8375.0975609756097</v>
          </cell>
          <cell r="Z206">
            <v>14133.90243902439</v>
          </cell>
          <cell r="AA206">
            <v>14133.90243902439</v>
          </cell>
          <cell r="AC206">
            <v>20437</v>
          </cell>
          <cell r="AD206">
            <v>8330.4774346793329</v>
          </cell>
          <cell r="AE206">
            <v>12106.522565320667</v>
          </cell>
          <cell r="AK206">
            <v>61870</v>
          </cell>
          <cell r="AL206">
            <v>16705.574995654941</v>
          </cell>
          <cell r="AM206">
            <v>45165.425004345059</v>
          </cell>
          <cell r="AN206">
            <v>14810</v>
          </cell>
          <cell r="AO206">
            <v>3112.427048260382</v>
          </cell>
          <cell r="AP206">
            <v>11697.572951739618</v>
          </cell>
        </row>
        <row r="207">
          <cell r="S207">
            <v>169.12</v>
          </cell>
          <cell r="X207">
            <v>186.02</v>
          </cell>
          <cell r="Y207">
            <v>223.34</v>
          </cell>
          <cell r="Z207">
            <v>169.27</v>
          </cell>
          <cell r="AA207">
            <v>13714</v>
          </cell>
          <cell r="AC207">
            <v>192.08</v>
          </cell>
          <cell r="AD207">
            <v>239.38</v>
          </cell>
          <cell r="AE207">
            <v>169.09</v>
          </cell>
          <cell r="AI207">
            <v>0</v>
          </cell>
          <cell r="AJ207">
            <v>0</v>
          </cell>
          <cell r="AK207">
            <v>182.35</v>
          </cell>
          <cell r="AL207">
            <v>231.06</v>
          </cell>
          <cell r="AM207">
            <v>169.16</v>
          </cell>
          <cell r="AN207">
            <v>41.55</v>
          </cell>
          <cell r="AO207">
            <v>41.55</v>
          </cell>
          <cell r="AP207">
            <v>41.55</v>
          </cell>
          <cell r="AQ207">
            <v>0</v>
          </cell>
        </row>
        <row r="208">
          <cell r="S208">
            <v>168.1</v>
          </cell>
          <cell r="X208">
            <v>178.86</v>
          </cell>
          <cell r="Y208">
            <v>194.05</v>
          </cell>
          <cell r="Z208">
            <v>168.06</v>
          </cell>
          <cell r="AC208">
            <v>179.72</v>
          </cell>
          <cell r="AD208">
            <v>193.34</v>
          </cell>
          <cell r="AE208">
            <v>168.25</v>
          </cell>
          <cell r="AJ208">
            <v>0</v>
          </cell>
          <cell r="AK208">
            <v>175.95</v>
          </cell>
          <cell r="AL208">
            <v>168.13</v>
          </cell>
          <cell r="AM208">
            <v>0</v>
          </cell>
          <cell r="AN208">
            <v>52</v>
          </cell>
          <cell r="AO208">
            <v>52</v>
          </cell>
        </row>
        <row r="209">
          <cell r="X209">
            <v>22509</v>
          </cell>
          <cell r="AC209">
            <v>20437</v>
          </cell>
          <cell r="AK209">
            <v>61870</v>
          </cell>
          <cell r="AL209">
            <v>16705.574995654941</v>
          </cell>
          <cell r="AM209">
            <v>45164.425004345059</v>
          </cell>
          <cell r="AN209">
            <v>14862</v>
          </cell>
          <cell r="AO209">
            <v>3164.427048260382</v>
          </cell>
          <cell r="AP209">
            <v>11697.572951739618</v>
          </cell>
        </row>
        <row r="210">
          <cell r="X210">
            <v>24969</v>
          </cell>
          <cell r="AC210">
            <v>24028</v>
          </cell>
          <cell r="AK210">
            <v>68498</v>
          </cell>
          <cell r="AL210" t="e">
            <v>#REF!</v>
          </cell>
        </row>
        <row r="211">
          <cell r="AK211">
            <v>61871</v>
          </cell>
        </row>
        <row r="218">
          <cell r="G218" t="str">
            <v>Б.В.ЯЩЕНКО</v>
          </cell>
        </row>
        <row r="219">
          <cell r="G219" t="str">
            <v>М.В.ТЕРПИЛО</v>
          </cell>
        </row>
        <row r="220">
          <cell r="G220" t="str">
            <v xml:space="preserve">В.І.МИРГОРОДСЬКИЙ                                  </v>
          </cell>
        </row>
        <row r="221">
          <cell r="G221" t="str">
            <v xml:space="preserve">М.І.ШЕВЧЕНКО                                 </v>
          </cell>
        </row>
        <row r="222">
          <cell r="G222" t="str">
            <v>В.Ю.МОНТЬЕВ</v>
          </cell>
        </row>
        <row r="223">
          <cell r="G223" t="str">
            <v xml:space="preserve">О.М.НИКОЛЕНКО      </v>
          </cell>
        </row>
        <row r="224">
          <cell r="G224" t="str">
            <v xml:space="preserve">М.І.ШЕВЧЕНКО                                 </v>
          </cell>
        </row>
        <row r="225">
          <cell r="G225" t="str">
            <v>В.Ю.МОНТЬЕВ</v>
          </cell>
        </row>
        <row r="226">
          <cell r="G226" t="str">
            <v xml:space="preserve">О.М.НИКОЛЕНКО      </v>
          </cell>
        </row>
        <row r="227">
          <cell r="AO227">
            <v>1507.2</v>
          </cell>
        </row>
        <row r="242">
          <cell r="AG242" t="str">
            <v xml:space="preserve">         Затверджую</v>
          </cell>
        </row>
        <row r="243">
          <cell r="AG243" t="str">
            <v xml:space="preserve"> Голова правління </v>
          </cell>
        </row>
        <row r="244">
          <cell r="AG244" t="str">
            <v xml:space="preserve">                        І.В.Плачков</v>
          </cell>
        </row>
        <row r="245">
          <cell r="AG245" t="str">
            <v xml:space="preserve">   "_____" ________2000 р.</v>
          </cell>
        </row>
        <row r="246">
          <cell r="AG246" t="str">
            <v xml:space="preserve"> Голова правління </v>
          </cell>
        </row>
        <row r="247">
          <cell r="AG247" t="str">
            <v xml:space="preserve">                        І.В.Плачков</v>
          </cell>
        </row>
        <row r="248">
          <cell r="AG248" t="str">
            <v xml:space="preserve">   "_____" ________2000 р.</v>
          </cell>
        </row>
        <row r="249">
          <cell r="F249" t="str">
            <v>РОЗРАХУНОК ФІНАНСОВИХ ПОТОКІВ НА   березень  2000 року</v>
          </cell>
        </row>
        <row r="250">
          <cell r="F250" t="str">
            <v>ПО ФІЛІАЛАХ АК КИЇВЕНЕРГО</v>
          </cell>
        </row>
        <row r="252">
          <cell r="F252" t="str">
            <v>РОЗРАХУНОК ФІНАНСОВИХ ПОТОКІВ НА   березень  2000 року</v>
          </cell>
        </row>
        <row r="253">
          <cell r="F253" t="str">
            <v>ПО ФІЛІАЛАХ АК КИЇВЕНЕРГО</v>
          </cell>
        </row>
        <row r="255">
          <cell r="AI255" t="str">
            <v>ТИС.ГРН.</v>
          </cell>
          <cell r="AK255" t="str">
            <v>тис.грн.</v>
          </cell>
        </row>
        <row r="256">
          <cell r="F256" t="str">
            <v>ВИКОН.ДИР.</v>
          </cell>
          <cell r="G256" t="str">
            <v>АПАРАТ ЕЛЕКТРО</v>
          </cell>
          <cell r="H256" t="str">
            <v>АПАРАТ ТЕПЛО</v>
          </cell>
          <cell r="P256" t="str">
            <v>КМ</v>
          </cell>
          <cell r="Q256" t="str">
            <v>ТМ</v>
          </cell>
          <cell r="S256" t="str">
            <v>КТМ</v>
          </cell>
          <cell r="T256" t="str">
            <v>ВИРОБН</v>
          </cell>
          <cell r="U256" t="str">
            <v>ПЕРЕД</v>
          </cell>
          <cell r="X256" t="str">
            <v>ТЕЦ-5 ВСЬОГО</v>
          </cell>
          <cell r="Y256" t="str">
            <v>Е/Е</v>
          </cell>
          <cell r="Z256" t="str">
            <v xml:space="preserve"> Т/Е</v>
          </cell>
          <cell r="AC256" t="str">
            <v>ТЕЦ-6 ВСЬОГО</v>
          </cell>
          <cell r="AD256" t="str">
            <v>Е/Е</v>
          </cell>
          <cell r="AE256" t="str">
            <v xml:space="preserve"> Т/Е</v>
          </cell>
          <cell r="AF256" t="str">
            <v>ТРМ ВСЬОГО</v>
          </cell>
          <cell r="AG256" t="str">
            <v>ТРМ  АК КЕ</v>
          </cell>
          <cell r="AH256" t="str">
            <v>ТРМ СТОР</v>
          </cell>
          <cell r="AI256" t="str">
            <v xml:space="preserve">ДОП.ВИР. </v>
          </cell>
          <cell r="AJ256" t="str">
            <v>ДОП.ВИР. СТ.ОРГ.</v>
          </cell>
          <cell r="AK256" t="str">
            <v>АК КЕ осн.вир.</v>
          </cell>
          <cell r="AL256" t="str">
            <v>АК КЕ ВСЬОГО</v>
          </cell>
          <cell r="AM256" t="str">
            <v xml:space="preserve"> Т/Е</v>
          </cell>
          <cell r="AN256" t="str">
            <v>СТАНЦІї ЕЛЕКТРО</v>
          </cell>
          <cell r="AO256" t="str">
            <v>СТАНЦІІ ТЕПЛОВІ</v>
          </cell>
          <cell r="AP256" t="str">
            <v>МЕРЕЖІ ЕЛЕКТРО</v>
          </cell>
          <cell r="AQ256" t="str">
            <v>МЕРЕЖІ ТЕПЛОВІ</v>
          </cell>
        </row>
        <row r="257">
          <cell r="F257">
            <v>3213.1666666666652</v>
          </cell>
          <cell r="P257">
            <v>2641.6000000000004</v>
          </cell>
          <cell r="S257">
            <v>8041.218181818178</v>
          </cell>
          <cell r="X257">
            <v>2404.6545454545439</v>
          </cell>
          <cell r="AC257">
            <v>1313.2</v>
          </cell>
          <cell r="AF257">
            <v>3816.2</v>
          </cell>
          <cell r="AG257">
            <v>3162.08</v>
          </cell>
          <cell r="AH257">
            <v>655.12</v>
          </cell>
          <cell r="AJ257">
            <v>7599</v>
          </cell>
          <cell r="AK257">
            <v>22345.506060606054</v>
          </cell>
        </row>
        <row r="258">
          <cell r="AK258" t="str">
            <v>тис.грн.</v>
          </cell>
        </row>
        <row r="259">
          <cell r="F259">
            <v>22177.384761904759</v>
          </cell>
          <cell r="G259">
            <v>1438</v>
          </cell>
          <cell r="H259">
            <v>2822.6333333333332</v>
          </cell>
          <cell r="P259">
            <v>2641.6000000000004</v>
          </cell>
          <cell r="Q259">
            <v>0</v>
          </cell>
          <cell r="R259">
            <v>0</v>
          </cell>
          <cell r="S259">
            <v>8041.218181818178</v>
          </cell>
          <cell r="T259">
            <v>4194.2120000000004</v>
          </cell>
          <cell r="U259">
            <v>2131.2061818181819</v>
          </cell>
          <cell r="V259">
            <v>0</v>
          </cell>
          <cell r="W259">
            <v>0</v>
          </cell>
          <cell r="X259">
            <v>2404.6545454545439</v>
          </cell>
          <cell r="Y259">
            <v>692</v>
          </cell>
          <cell r="Z259">
            <v>1537.454545454546</v>
          </cell>
          <cell r="AA259">
            <v>0</v>
          </cell>
          <cell r="AB259">
            <v>0</v>
          </cell>
          <cell r="AC259">
            <v>1313.2</v>
          </cell>
          <cell r="AD259">
            <v>379</v>
          </cell>
          <cell r="AE259">
            <v>775</v>
          </cell>
          <cell r="AF259">
            <v>3816.2</v>
          </cell>
          <cell r="AG259">
            <v>3162.08</v>
          </cell>
          <cell r="AH259">
            <v>655.12</v>
          </cell>
          <cell r="AI259">
            <v>850.10909090909092</v>
          </cell>
          <cell r="AJ259">
            <v>0</v>
          </cell>
          <cell r="AK259">
            <v>107685.31324675324</v>
          </cell>
          <cell r="AL259" t="str">
            <v xml:space="preserve"> Т/Е</v>
          </cell>
          <cell r="AM259">
            <v>100230.25</v>
          </cell>
        </row>
        <row r="260">
          <cell r="F260">
            <v>10708.318095238095</v>
          </cell>
          <cell r="G260">
            <v>1354</v>
          </cell>
          <cell r="H260">
            <v>2522.6333333333332</v>
          </cell>
          <cell r="P260">
            <v>1021.4000000000001</v>
          </cell>
          <cell r="S260">
            <v>1606.9999999999959</v>
          </cell>
          <cell r="T260">
            <v>3361.1583636363644</v>
          </cell>
          <cell r="U260">
            <v>392.98709090909097</v>
          </cell>
          <cell r="X260">
            <v>1376.7999999999986</v>
          </cell>
          <cell r="Y260">
            <v>342</v>
          </cell>
          <cell r="Z260">
            <v>760.63636363636419</v>
          </cell>
          <cell r="AC260">
            <v>374.40000000000003</v>
          </cell>
          <cell r="AD260">
            <v>31</v>
          </cell>
          <cell r="AE260">
            <v>57</v>
          </cell>
          <cell r="AF260">
            <v>418.19999999999965</v>
          </cell>
          <cell r="AG260">
            <v>307.16000000000014</v>
          </cell>
          <cell r="AH260">
            <v>112.03999999999996</v>
          </cell>
          <cell r="AI260">
            <v>571.20000000000005</v>
          </cell>
          <cell r="AJ260">
            <v>-2455</v>
          </cell>
          <cell r="AK260">
            <v>91957.440519480515</v>
          </cell>
          <cell r="AM260">
            <v>15842.91809523809</v>
          </cell>
        </row>
        <row r="261">
          <cell r="F261">
            <v>92918.818095238108</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K261">
            <v>92918.818095238108</v>
          </cell>
        </row>
        <row r="262">
          <cell r="F262">
            <v>61871</v>
          </cell>
          <cell r="G262" t="e">
            <v>#DIV/0!</v>
          </cell>
          <cell r="H262" t="e">
            <v>#DIV/0!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J262">
            <v>0</v>
          </cell>
          <cell r="AK262">
            <v>61871</v>
          </cell>
          <cell r="AL262">
            <v>0</v>
          </cell>
        </row>
        <row r="263">
          <cell r="F263">
            <v>11292</v>
          </cell>
          <cell r="G263" t="e">
            <v>#DIV/0!</v>
          </cell>
          <cell r="H263" t="e">
            <v>#DIV/0!</v>
          </cell>
          <cell r="P263" t="e">
            <v>#REF!</v>
          </cell>
          <cell r="S263" t="e">
            <v>#REF!</v>
          </cell>
          <cell r="T263">
            <v>0</v>
          </cell>
          <cell r="U263">
            <v>0</v>
          </cell>
          <cell r="X263" t="e">
            <v>#REF!</v>
          </cell>
          <cell r="Y263">
            <v>0</v>
          </cell>
          <cell r="Z263">
            <v>0</v>
          </cell>
          <cell r="AC263" t="e">
            <v>#REF!</v>
          </cell>
          <cell r="AD263">
            <v>0</v>
          </cell>
          <cell r="AE263">
            <v>0</v>
          </cell>
          <cell r="AF263" t="e">
            <v>#REF!</v>
          </cell>
          <cell r="AG263" t="e">
            <v>#REF!</v>
          </cell>
          <cell r="AH263" t="e">
            <v>#REF!</v>
          </cell>
          <cell r="AJ263">
            <v>-2455</v>
          </cell>
          <cell r="AK263">
            <v>11292</v>
          </cell>
          <cell r="AL263" t="e">
            <v>#REF!</v>
          </cell>
        </row>
        <row r="264">
          <cell r="F264">
            <v>10408.151428571429</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K264">
            <v>10408.151428571429</v>
          </cell>
        </row>
        <row r="265">
          <cell r="F265">
            <v>791.6</v>
          </cell>
          <cell r="AK265">
            <v>791.6</v>
          </cell>
        </row>
        <row r="266">
          <cell r="F266">
            <v>0</v>
          </cell>
          <cell r="AK266">
            <v>0</v>
          </cell>
        </row>
        <row r="267">
          <cell r="F267">
            <v>4126.5514285714289</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K267">
            <v>4126.5514285714289</v>
          </cell>
        </row>
        <row r="268">
          <cell r="F268">
            <v>3500</v>
          </cell>
          <cell r="AK268">
            <v>3500</v>
          </cell>
        </row>
        <row r="269">
          <cell r="F269">
            <v>0</v>
          </cell>
          <cell r="AK269">
            <v>0</v>
          </cell>
        </row>
        <row r="270">
          <cell r="F270">
            <v>1990</v>
          </cell>
          <cell r="P270">
            <v>0</v>
          </cell>
          <cell r="S270">
            <v>0</v>
          </cell>
          <cell r="X270">
            <v>0</v>
          </cell>
          <cell r="AC270">
            <v>0</v>
          </cell>
          <cell r="AF270">
            <v>0</v>
          </cell>
          <cell r="AG270">
            <v>0</v>
          </cell>
          <cell r="AH270">
            <v>0</v>
          </cell>
          <cell r="AI270">
            <v>0</v>
          </cell>
          <cell r="AK270">
            <v>1990</v>
          </cell>
        </row>
        <row r="271">
          <cell r="F271">
            <v>9242.6666666666661</v>
          </cell>
          <cell r="AK271">
            <v>9242.6666666666661</v>
          </cell>
        </row>
        <row r="272">
          <cell r="F272">
            <v>105</v>
          </cell>
          <cell r="P272">
            <v>0</v>
          </cell>
          <cell r="S272">
            <v>0</v>
          </cell>
          <cell r="X272">
            <v>0</v>
          </cell>
          <cell r="AC272">
            <v>0</v>
          </cell>
          <cell r="AF272">
            <v>0</v>
          </cell>
          <cell r="AG272">
            <v>0</v>
          </cell>
          <cell r="AH272">
            <v>0</v>
          </cell>
          <cell r="AI272">
            <v>0</v>
          </cell>
          <cell r="AK272">
            <v>105</v>
          </cell>
        </row>
        <row r="273">
          <cell r="F273">
            <v>96131.98476190478</v>
          </cell>
          <cell r="P273">
            <v>2641.6000000000004</v>
          </cell>
          <cell r="Q273">
            <v>0</v>
          </cell>
          <cell r="R273">
            <v>0</v>
          </cell>
          <cell r="S273">
            <v>8041.218181818178</v>
          </cell>
          <cell r="T273">
            <v>0</v>
          </cell>
          <cell r="U273">
            <v>0</v>
          </cell>
          <cell r="V273">
            <v>0</v>
          </cell>
          <cell r="W273">
            <v>0</v>
          </cell>
          <cell r="X273">
            <v>2404.6545454545439</v>
          </cell>
          <cell r="Y273">
            <v>0</v>
          </cell>
          <cell r="Z273">
            <v>0</v>
          </cell>
          <cell r="AA273">
            <v>0</v>
          </cell>
          <cell r="AB273">
            <v>0</v>
          </cell>
          <cell r="AC273">
            <v>1313.2</v>
          </cell>
          <cell r="AD273">
            <v>0</v>
          </cell>
          <cell r="AE273">
            <v>0</v>
          </cell>
          <cell r="AF273">
            <v>3816.2</v>
          </cell>
          <cell r="AG273">
            <v>3162.08</v>
          </cell>
          <cell r="AH273">
            <v>655.12</v>
          </cell>
          <cell r="AI273">
            <v>0</v>
          </cell>
          <cell r="AK273">
            <v>115264.32415584417</v>
          </cell>
        </row>
        <row r="274">
          <cell r="F274">
            <v>1434.8000000000002</v>
          </cell>
          <cell r="P274">
            <v>1120.8</v>
          </cell>
          <cell r="Q274">
            <v>0</v>
          </cell>
          <cell r="R274">
            <v>0</v>
          </cell>
          <cell r="S274">
            <v>5914.6</v>
          </cell>
          <cell r="T274">
            <v>642.65363636363622</v>
          </cell>
          <cell r="U274">
            <v>650.41909090909098</v>
          </cell>
          <cell r="V274">
            <v>0</v>
          </cell>
          <cell r="W274">
            <v>0</v>
          </cell>
          <cell r="X274">
            <v>1624.6</v>
          </cell>
          <cell r="Y274">
            <v>358</v>
          </cell>
          <cell r="Z274">
            <v>794.41818181818189</v>
          </cell>
          <cell r="AA274">
            <v>0</v>
          </cell>
          <cell r="AB274">
            <v>0</v>
          </cell>
          <cell r="AC274">
            <v>742.2</v>
          </cell>
          <cell r="AD274">
            <v>112</v>
          </cell>
          <cell r="AE274">
            <v>231.2</v>
          </cell>
          <cell r="AF274">
            <v>3125</v>
          </cell>
          <cell r="AG274">
            <v>2581.92</v>
          </cell>
          <cell r="AH274">
            <v>543.08000000000004</v>
          </cell>
          <cell r="AI274">
            <v>278.90909090909088</v>
          </cell>
          <cell r="AK274">
            <v>14693.666666666668</v>
          </cell>
        </row>
        <row r="275">
          <cell r="F275">
            <v>384</v>
          </cell>
          <cell r="G275">
            <v>84</v>
          </cell>
          <cell r="H275">
            <v>300</v>
          </cell>
          <cell r="P275">
            <v>726</v>
          </cell>
          <cell r="S275">
            <v>1685</v>
          </cell>
          <cell r="T275">
            <v>625.85363636363627</v>
          </cell>
          <cell r="U275">
            <v>650.41909090909098</v>
          </cell>
          <cell r="X275">
            <v>653</v>
          </cell>
          <cell r="Y275">
            <v>117</v>
          </cell>
          <cell r="Z275">
            <v>257.81818181818181</v>
          </cell>
          <cell r="AC275">
            <v>535</v>
          </cell>
          <cell r="AD275">
            <v>108</v>
          </cell>
          <cell r="AE275">
            <v>224</v>
          </cell>
          <cell r="AF275">
            <v>1440</v>
          </cell>
          <cell r="AG275">
            <v>1367</v>
          </cell>
          <cell r="AH275">
            <v>73</v>
          </cell>
          <cell r="AI275">
            <v>278.90909090909088</v>
          </cell>
          <cell r="AK275">
            <v>5757</v>
          </cell>
        </row>
        <row r="276">
          <cell r="F276">
            <v>0</v>
          </cell>
          <cell r="P276">
            <v>0</v>
          </cell>
          <cell r="Q276">
            <v>0</v>
          </cell>
          <cell r="R276">
            <v>0</v>
          </cell>
          <cell r="S276">
            <v>16.8</v>
          </cell>
          <cell r="T276">
            <v>16.8</v>
          </cell>
          <cell r="U276">
            <v>0</v>
          </cell>
          <cell r="V276">
            <v>0</v>
          </cell>
          <cell r="W276">
            <v>0</v>
          </cell>
          <cell r="X276">
            <v>777.6</v>
          </cell>
          <cell r="Y276">
            <v>241</v>
          </cell>
          <cell r="Z276">
            <v>536.6</v>
          </cell>
          <cell r="AA276">
            <v>0</v>
          </cell>
          <cell r="AB276">
            <v>0</v>
          </cell>
          <cell r="AC276">
            <v>-2.7999999999999989</v>
          </cell>
          <cell r="AD276">
            <v>4</v>
          </cell>
          <cell r="AE276">
            <v>7.2000000000000011</v>
          </cell>
          <cell r="AF276">
            <v>0</v>
          </cell>
          <cell r="AG276">
            <v>0</v>
          </cell>
          <cell r="AH276">
            <v>0</v>
          </cell>
          <cell r="AI276">
            <v>0</v>
          </cell>
          <cell r="AK276">
            <v>791.6</v>
          </cell>
        </row>
        <row r="277">
          <cell r="F277">
            <v>1048.4000000000001</v>
          </cell>
          <cell r="P277">
            <v>321</v>
          </cell>
          <cell r="Q277">
            <v>0</v>
          </cell>
          <cell r="R277">
            <v>0</v>
          </cell>
          <cell r="S277">
            <v>1363</v>
          </cell>
          <cell r="T277">
            <v>0</v>
          </cell>
          <cell r="U277">
            <v>0</v>
          </cell>
          <cell r="V277">
            <v>0</v>
          </cell>
          <cell r="W277">
            <v>0</v>
          </cell>
          <cell r="X277">
            <v>176</v>
          </cell>
          <cell r="Y277">
            <v>0</v>
          </cell>
          <cell r="Z277">
            <v>0</v>
          </cell>
          <cell r="AA277">
            <v>0</v>
          </cell>
          <cell r="AB277">
            <v>0</v>
          </cell>
          <cell r="AC277">
            <v>163</v>
          </cell>
          <cell r="AD277">
            <v>0</v>
          </cell>
          <cell r="AE277">
            <v>0</v>
          </cell>
          <cell r="AF277">
            <v>961.8</v>
          </cell>
          <cell r="AG277">
            <v>961.8</v>
          </cell>
          <cell r="AH277">
            <v>0</v>
          </cell>
          <cell r="AI277">
            <v>0</v>
          </cell>
          <cell r="AK277">
            <v>4067.2</v>
          </cell>
        </row>
        <row r="278">
          <cell r="F278">
            <v>158</v>
          </cell>
          <cell r="G278">
            <v>0</v>
          </cell>
          <cell r="H278">
            <v>0</v>
          </cell>
          <cell r="P278">
            <v>56</v>
          </cell>
          <cell r="S278">
            <v>625</v>
          </cell>
          <cell r="T278">
            <v>0</v>
          </cell>
          <cell r="U278">
            <v>0</v>
          </cell>
          <cell r="X278">
            <v>75</v>
          </cell>
          <cell r="Y278">
            <v>0</v>
          </cell>
          <cell r="Z278">
            <v>0</v>
          </cell>
          <cell r="AC278">
            <v>40</v>
          </cell>
          <cell r="AD278">
            <v>0</v>
          </cell>
          <cell r="AE278">
            <v>0</v>
          </cell>
          <cell r="AF278">
            <v>436</v>
          </cell>
          <cell r="AG278">
            <v>436</v>
          </cell>
          <cell r="AH278">
            <v>0</v>
          </cell>
          <cell r="AI278">
            <v>0</v>
          </cell>
          <cell r="AK278">
            <v>1424</v>
          </cell>
        </row>
        <row r="279">
          <cell r="F279">
            <v>246.8</v>
          </cell>
          <cell r="P279">
            <v>10</v>
          </cell>
          <cell r="Q279" t="e">
            <v>#REF!</v>
          </cell>
          <cell r="R279" t="e">
            <v>#REF!</v>
          </cell>
          <cell r="S279">
            <v>0</v>
          </cell>
          <cell r="T279" t="e">
            <v>#REF!</v>
          </cell>
          <cell r="U279" t="e">
            <v>#REF!</v>
          </cell>
          <cell r="V279" t="e">
            <v>#REF!</v>
          </cell>
          <cell r="W279" t="e">
            <v>#REF!</v>
          </cell>
          <cell r="X279">
            <v>0</v>
          </cell>
          <cell r="Y279" t="e">
            <v>#REF!</v>
          </cell>
          <cell r="Z279" t="e">
            <v>#REF!</v>
          </cell>
          <cell r="AA279" t="e">
            <v>#REF!</v>
          </cell>
          <cell r="AB279" t="e">
            <v>#REF!</v>
          </cell>
          <cell r="AC279">
            <v>20</v>
          </cell>
          <cell r="AD279" t="e">
            <v>#REF!</v>
          </cell>
          <cell r="AE279" t="e">
            <v>#REF!</v>
          </cell>
          <cell r="AF279">
            <v>25.6</v>
          </cell>
          <cell r="AG279">
            <v>25.6</v>
          </cell>
          <cell r="AH279">
            <v>0</v>
          </cell>
          <cell r="AI279">
            <v>0</v>
          </cell>
          <cell r="AK279">
            <v>302.40000000000003</v>
          </cell>
        </row>
        <row r="280">
          <cell r="F280">
            <v>60</v>
          </cell>
          <cell r="P280">
            <v>190</v>
          </cell>
          <cell r="Q280">
            <v>0</v>
          </cell>
          <cell r="R280">
            <v>0</v>
          </cell>
          <cell r="S280">
            <v>690</v>
          </cell>
          <cell r="T280">
            <v>0</v>
          </cell>
          <cell r="U280">
            <v>0</v>
          </cell>
          <cell r="V280">
            <v>0</v>
          </cell>
          <cell r="W280">
            <v>0</v>
          </cell>
          <cell r="X280">
            <v>0</v>
          </cell>
          <cell r="Y280">
            <v>0</v>
          </cell>
          <cell r="Z280">
            <v>0</v>
          </cell>
          <cell r="AA280">
            <v>0</v>
          </cell>
          <cell r="AB280">
            <v>0</v>
          </cell>
          <cell r="AC280">
            <v>60</v>
          </cell>
          <cell r="AD280">
            <v>0</v>
          </cell>
          <cell r="AE280">
            <v>0</v>
          </cell>
          <cell r="AF280">
            <v>444.2</v>
          </cell>
          <cell r="AG280">
            <v>444.2</v>
          </cell>
          <cell r="AH280" t="e">
            <v>#REF!</v>
          </cell>
          <cell r="AK280">
            <v>1444.2</v>
          </cell>
        </row>
        <row r="281">
          <cell r="F281">
            <v>583.6</v>
          </cell>
          <cell r="P281">
            <v>65</v>
          </cell>
          <cell r="S281">
            <v>48</v>
          </cell>
          <cell r="X281">
            <v>101</v>
          </cell>
          <cell r="AC281">
            <v>43</v>
          </cell>
          <cell r="AF281">
            <v>56</v>
          </cell>
          <cell r="AG281">
            <v>56</v>
          </cell>
          <cell r="AH281">
            <v>0</v>
          </cell>
          <cell r="AK281">
            <v>896.6</v>
          </cell>
        </row>
        <row r="282">
          <cell r="F282">
            <v>2.4000000000000004</v>
          </cell>
          <cell r="P282">
            <v>73.8</v>
          </cell>
          <cell r="Q282">
            <v>0</v>
          </cell>
          <cell r="R282">
            <v>0</v>
          </cell>
          <cell r="S282">
            <v>2599.8000000000002</v>
          </cell>
          <cell r="T282">
            <v>0</v>
          </cell>
          <cell r="U282">
            <v>0</v>
          </cell>
          <cell r="V282">
            <v>0</v>
          </cell>
          <cell r="W282">
            <v>0</v>
          </cell>
          <cell r="X282">
            <v>18</v>
          </cell>
          <cell r="Y282">
            <v>0</v>
          </cell>
          <cell r="Z282">
            <v>0</v>
          </cell>
          <cell r="AA282">
            <v>0</v>
          </cell>
          <cell r="AB282">
            <v>0</v>
          </cell>
          <cell r="AC282">
            <v>47</v>
          </cell>
          <cell r="AD282">
            <v>0</v>
          </cell>
          <cell r="AE282">
            <v>0</v>
          </cell>
          <cell r="AF282">
            <v>723.2</v>
          </cell>
          <cell r="AG282">
            <v>253.12</v>
          </cell>
          <cell r="AH282">
            <v>470.08000000000004</v>
          </cell>
          <cell r="AI282">
            <v>0</v>
          </cell>
          <cell r="AK282">
            <v>3827.8666666666668</v>
          </cell>
        </row>
        <row r="283">
          <cell r="F283">
            <v>0</v>
          </cell>
          <cell r="P283">
            <v>1</v>
          </cell>
          <cell r="S283">
            <v>0</v>
          </cell>
          <cell r="X283">
            <v>18</v>
          </cell>
          <cell r="AC283">
            <v>47</v>
          </cell>
          <cell r="AF283">
            <v>0</v>
          </cell>
          <cell r="AG283">
            <v>0</v>
          </cell>
          <cell r="AH283">
            <v>0</v>
          </cell>
          <cell r="AI283">
            <v>0</v>
          </cell>
          <cell r="AK283">
            <v>66</v>
          </cell>
        </row>
        <row r="284">
          <cell r="F284">
            <v>2.4000000000000004</v>
          </cell>
          <cell r="P284">
            <v>72.8</v>
          </cell>
          <cell r="Q284">
            <v>0</v>
          </cell>
          <cell r="R284">
            <v>0</v>
          </cell>
          <cell r="S284">
            <v>2599.8000000000002</v>
          </cell>
          <cell r="T284">
            <v>0</v>
          </cell>
          <cell r="U284">
            <v>0</v>
          </cell>
          <cell r="V284">
            <v>0</v>
          </cell>
          <cell r="W284">
            <v>0</v>
          </cell>
          <cell r="X284">
            <v>0</v>
          </cell>
          <cell r="Y284">
            <v>0</v>
          </cell>
          <cell r="Z284">
            <v>0</v>
          </cell>
          <cell r="AA284">
            <v>0</v>
          </cell>
          <cell r="AB284">
            <v>0</v>
          </cell>
          <cell r="AC284">
            <v>0</v>
          </cell>
          <cell r="AD284">
            <v>0</v>
          </cell>
          <cell r="AE284">
            <v>0</v>
          </cell>
          <cell r="AF284">
            <v>723.2</v>
          </cell>
          <cell r="AG284">
            <v>253.12</v>
          </cell>
          <cell r="AH284">
            <v>470.08000000000004</v>
          </cell>
          <cell r="AI284">
            <v>0</v>
          </cell>
          <cell r="AJ284">
            <v>0</v>
          </cell>
          <cell r="AK284">
            <v>3398.2</v>
          </cell>
        </row>
        <row r="285">
          <cell r="F285" t="e">
            <v>#REF!</v>
          </cell>
          <cell r="P285" t="e">
            <v>#REF!</v>
          </cell>
          <cell r="Q285">
            <v>0</v>
          </cell>
          <cell r="R285">
            <v>0</v>
          </cell>
          <cell r="S285" t="e">
            <v>#REF!</v>
          </cell>
          <cell r="T285">
            <v>0</v>
          </cell>
          <cell r="U285">
            <v>0</v>
          </cell>
          <cell r="V285">
            <v>0</v>
          </cell>
          <cell r="W285">
            <v>0</v>
          </cell>
          <cell r="X285" t="e">
            <v>#REF!</v>
          </cell>
          <cell r="Y285">
            <v>0</v>
          </cell>
          <cell r="Z285">
            <v>0</v>
          </cell>
          <cell r="AA285">
            <v>0</v>
          </cell>
          <cell r="AB285">
            <v>0</v>
          </cell>
          <cell r="AC285" t="e">
            <v>#REF!</v>
          </cell>
          <cell r="AD285">
            <v>0</v>
          </cell>
          <cell r="AE285">
            <v>0</v>
          </cell>
          <cell r="AF285" t="e">
            <v>#REF!</v>
          </cell>
          <cell r="AG285" t="e">
            <v>#REF!</v>
          </cell>
          <cell r="AH285" t="e">
            <v>#REF!</v>
          </cell>
          <cell r="AK285">
            <v>363.66666666666663</v>
          </cell>
        </row>
        <row r="286">
          <cell r="F286" t="e">
            <v>#REF!</v>
          </cell>
          <cell r="P286" t="e">
            <v>#REF!</v>
          </cell>
          <cell r="S286">
            <v>250</v>
          </cell>
          <cell r="X286" t="e">
            <v>#REF!</v>
          </cell>
          <cell r="AC286" t="e">
            <v>#REF!</v>
          </cell>
          <cell r="AF286" t="e">
            <v>#REF!</v>
          </cell>
          <cell r="AG286" t="e">
            <v>#REF!</v>
          </cell>
          <cell r="AH286">
            <v>0</v>
          </cell>
          <cell r="AI286">
            <v>0</v>
          </cell>
          <cell r="AK286">
            <v>250</v>
          </cell>
        </row>
        <row r="287">
          <cell r="F287">
            <v>94697.184761904777</v>
          </cell>
          <cell r="P287">
            <v>1520.8000000000004</v>
          </cell>
          <cell r="Q287">
            <v>0</v>
          </cell>
          <cell r="R287">
            <v>0</v>
          </cell>
          <cell r="S287">
            <v>2126.6181818181776</v>
          </cell>
          <cell r="T287">
            <v>-642.65363636363622</v>
          </cell>
          <cell r="U287">
            <v>-650.41909090909098</v>
          </cell>
          <cell r="V287">
            <v>0</v>
          </cell>
          <cell r="W287">
            <v>0</v>
          </cell>
          <cell r="X287">
            <v>780.05454545454404</v>
          </cell>
          <cell r="Y287">
            <v>-358</v>
          </cell>
          <cell r="Z287">
            <v>-794.41818181818189</v>
          </cell>
          <cell r="AA287">
            <v>0</v>
          </cell>
          <cell r="AB287">
            <v>0</v>
          </cell>
          <cell r="AC287">
            <v>571</v>
          </cell>
          <cell r="AD287">
            <v>-112</v>
          </cell>
          <cell r="AE287">
            <v>-231.2</v>
          </cell>
          <cell r="AF287">
            <v>691.19999999999982</v>
          </cell>
          <cell r="AG287">
            <v>580.15999999999985</v>
          </cell>
          <cell r="AH287">
            <v>112.03999999999996</v>
          </cell>
          <cell r="AI287">
            <v>-278.90909090909088</v>
          </cell>
          <cell r="AK287">
            <v>100570.65748917751</v>
          </cell>
        </row>
        <row r="288">
          <cell r="AK288">
            <v>0</v>
          </cell>
        </row>
        <row r="289">
          <cell r="F289">
            <v>2621.6333333333337</v>
          </cell>
          <cell r="P289">
            <v>1520.8</v>
          </cell>
          <cell r="Q289">
            <v>0</v>
          </cell>
          <cell r="R289">
            <v>0</v>
          </cell>
          <cell r="S289">
            <v>2126.6181818181817</v>
          </cell>
          <cell r="T289">
            <v>0</v>
          </cell>
          <cell r="U289">
            <v>0</v>
          </cell>
          <cell r="V289">
            <v>0</v>
          </cell>
          <cell r="W289">
            <v>0</v>
          </cell>
          <cell r="X289">
            <v>780.05454545454552</v>
          </cell>
          <cell r="Y289">
            <v>0</v>
          </cell>
          <cell r="Z289">
            <v>0</v>
          </cell>
          <cell r="AA289">
            <v>0</v>
          </cell>
          <cell r="AB289">
            <v>0</v>
          </cell>
          <cell r="AC289">
            <v>568.20000000000005</v>
          </cell>
          <cell r="AD289">
            <v>0</v>
          </cell>
          <cell r="AE289">
            <v>0</v>
          </cell>
          <cell r="AF289">
            <v>692.2</v>
          </cell>
          <cell r="AG289">
            <v>580.16000000000008</v>
          </cell>
          <cell r="AH289">
            <v>112.03999999999999</v>
          </cell>
          <cell r="AI289">
            <v>625.6</v>
          </cell>
          <cell r="AK289">
            <v>8510.9060606060611</v>
          </cell>
        </row>
        <row r="290">
          <cell r="F290">
            <v>684.2</v>
          </cell>
          <cell r="P290">
            <v>437.20000000000005</v>
          </cell>
          <cell r="Q290" t="e">
            <v>#REF!</v>
          </cell>
          <cell r="R290" t="e">
            <v>#REF!</v>
          </cell>
          <cell r="S290">
            <v>770.19999999999982</v>
          </cell>
          <cell r="T290" t="e">
            <v>#REF!</v>
          </cell>
          <cell r="U290" t="e">
            <v>#REF!</v>
          </cell>
          <cell r="V290" t="e">
            <v>#REF!</v>
          </cell>
          <cell r="W290" t="e">
            <v>#REF!</v>
          </cell>
          <cell r="X290">
            <v>175.20000000000002</v>
          </cell>
          <cell r="Y290" t="e">
            <v>#REF!</v>
          </cell>
          <cell r="Z290" t="e">
            <v>#REF!</v>
          </cell>
          <cell r="AA290" t="e">
            <v>#REF!</v>
          </cell>
          <cell r="AB290" t="e">
            <v>#REF!</v>
          </cell>
          <cell r="AC290">
            <v>99.200000000000017</v>
          </cell>
          <cell r="AD290" t="e">
            <v>#REF!</v>
          </cell>
          <cell r="AE290" t="e">
            <v>#REF!</v>
          </cell>
          <cell r="AF290">
            <v>0</v>
          </cell>
          <cell r="AG290">
            <v>-77</v>
          </cell>
          <cell r="AH290">
            <v>77</v>
          </cell>
          <cell r="AI290">
            <v>118.4</v>
          </cell>
          <cell r="AK290">
            <v>2183.5999999999995</v>
          </cell>
        </row>
        <row r="291">
          <cell r="F291">
            <v>583.6</v>
          </cell>
          <cell r="P291">
            <v>564.4</v>
          </cell>
          <cell r="Q291">
            <v>0</v>
          </cell>
          <cell r="R291">
            <v>0</v>
          </cell>
          <cell r="S291">
            <v>834.41818181818189</v>
          </cell>
          <cell r="T291">
            <v>0</v>
          </cell>
          <cell r="U291">
            <v>0</v>
          </cell>
          <cell r="V291">
            <v>0</v>
          </cell>
          <cell r="W291">
            <v>0</v>
          </cell>
          <cell r="X291">
            <v>281.85454545454542</v>
          </cell>
          <cell r="Y291">
            <v>0</v>
          </cell>
          <cell r="Z291">
            <v>0</v>
          </cell>
          <cell r="AA291">
            <v>0</v>
          </cell>
          <cell r="AB291">
            <v>0</v>
          </cell>
          <cell r="AC291">
            <v>236.8</v>
          </cell>
          <cell r="AD291">
            <v>0</v>
          </cell>
          <cell r="AE291">
            <v>0</v>
          </cell>
          <cell r="AF291">
            <v>329</v>
          </cell>
          <cell r="AG291">
            <v>329</v>
          </cell>
          <cell r="AH291">
            <v>0</v>
          </cell>
          <cell r="AI291">
            <v>0</v>
          </cell>
          <cell r="AK291">
            <v>2830.0727272727277</v>
          </cell>
        </row>
        <row r="292">
          <cell r="F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K292">
            <v>0</v>
          </cell>
        </row>
        <row r="293">
          <cell r="F293">
            <v>0</v>
          </cell>
          <cell r="P293">
            <v>0</v>
          </cell>
          <cell r="S293">
            <v>0</v>
          </cell>
          <cell r="X293">
            <v>0</v>
          </cell>
          <cell r="AC293">
            <v>0</v>
          </cell>
          <cell r="AF293">
            <v>0</v>
          </cell>
          <cell r="AG293">
            <v>0</v>
          </cell>
          <cell r="AH293">
            <v>0</v>
          </cell>
          <cell r="AI293">
            <v>0</v>
          </cell>
          <cell r="AK293">
            <v>0</v>
          </cell>
        </row>
        <row r="294">
          <cell r="F294">
            <v>1335.1666666666667</v>
          </cell>
          <cell r="P294">
            <v>470.40000000000003</v>
          </cell>
          <cell r="Q294">
            <v>0</v>
          </cell>
          <cell r="R294">
            <v>0</v>
          </cell>
          <cell r="S294">
            <v>516.40000000000009</v>
          </cell>
          <cell r="T294">
            <v>0</v>
          </cell>
          <cell r="U294">
            <v>0</v>
          </cell>
          <cell r="V294">
            <v>0</v>
          </cell>
          <cell r="W294">
            <v>0</v>
          </cell>
          <cell r="X294">
            <v>309.40000000000003</v>
          </cell>
          <cell r="Y294">
            <v>0</v>
          </cell>
          <cell r="Z294">
            <v>0</v>
          </cell>
          <cell r="AA294">
            <v>0</v>
          </cell>
          <cell r="AB294">
            <v>0</v>
          </cell>
          <cell r="AC294">
            <v>210.60000000000002</v>
          </cell>
          <cell r="AD294">
            <v>0</v>
          </cell>
          <cell r="AE294">
            <v>0</v>
          </cell>
          <cell r="AF294">
            <v>351.20000000000005</v>
          </cell>
          <cell r="AG294">
            <v>317.16000000000003</v>
          </cell>
          <cell r="AH294">
            <v>34.039999999999992</v>
          </cell>
          <cell r="AI294">
            <v>507.20000000000005</v>
          </cell>
          <cell r="AK294">
            <v>3376.9666666666672</v>
          </cell>
        </row>
        <row r="295">
          <cell r="F295">
            <v>0</v>
          </cell>
          <cell r="P295">
            <v>334.6</v>
          </cell>
          <cell r="S295">
            <v>0.40000000000009095</v>
          </cell>
          <cell r="X295">
            <v>113.4</v>
          </cell>
          <cell r="AC295">
            <v>67.400000000000006</v>
          </cell>
          <cell r="AF295">
            <v>7.2000000000000099</v>
          </cell>
          <cell r="AG295">
            <v>7.3999999999999986</v>
          </cell>
          <cell r="AH295">
            <v>-0.19999999999998863</v>
          </cell>
          <cell r="AI295">
            <v>0</v>
          </cell>
          <cell r="AK295">
            <v>607.40000000000009</v>
          </cell>
        </row>
        <row r="296">
          <cell r="F296">
            <v>8.2666666666666675</v>
          </cell>
          <cell r="P296">
            <v>44.800000000000004</v>
          </cell>
          <cell r="S296">
            <v>290.40000000000003</v>
          </cell>
          <cell r="X296">
            <v>104</v>
          </cell>
          <cell r="AC296">
            <v>76</v>
          </cell>
          <cell r="AF296">
            <v>164</v>
          </cell>
          <cell r="AG296">
            <v>160.80000000000001</v>
          </cell>
          <cell r="AH296">
            <v>3.1999999999999886</v>
          </cell>
          <cell r="AI296">
            <v>0</v>
          </cell>
          <cell r="AK296">
            <v>691.86666666666667</v>
          </cell>
        </row>
        <row r="297">
          <cell r="F297">
            <v>1326.9</v>
          </cell>
          <cell r="P297">
            <v>91.000000000000014</v>
          </cell>
          <cell r="Q297">
            <v>0</v>
          </cell>
          <cell r="R297">
            <v>0</v>
          </cell>
          <cell r="S297">
            <v>225.60000000000002</v>
          </cell>
          <cell r="T297">
            <v>0</v>
          </cell>
          <cell r="U297">
            <v>0</v>
          </cell>
          <cell r="V297">
            <v>0</v>
          </cell>
          <cell r="W297">
            <v>0</v>
          </cell>
          <cell r="X297">
            <v>92.000000000000014</v>
          </cell>
          <cell r="Y297">
            <v>0</v>
          </cell>
          <cell r="Z297">
            <v>0</v>
          </cell>
          <cell r="AA297">
            <v>0</v>
          </cell>
          <cell r="AB297">
            <v>0</v>
          </cell>
          <cell r="AC297">
            <v>67.2</v>
          </cell>
          <cell r="AD297">
            <v>0</v>
          </cell>
          <cell r="AE297">
            <v>0</v>
          </cell>
          <cell r="AF297">
            <v>180</v>
          </cell>
          <cell r="AG297">
            <v>148.96</v>
          </cell>
          <cell r="AH297">
            <v>31.039999999999992</v>
          </cell>
          <cell r="AI297">
            <v>507.20000000000005</v>
          </cell>
          <cell r="AK297">
            <v>2077.6999999999998</v>
          </cell>
        </row>
        <row r="298">
          <cell r="F298" t="e">
            <v>#REF!</v>
          </cell>
          <cell r="P298">
            <v>0</v>
          </cell>
          <cell r="S298" t="e">
            <v>#REF!</v>
          </cell>
          <cell r="X298" t="e">
            <v>#REF!</v>
          </cell>
          <cell r="AC298" t="e">
            <v>#REF!</v>
          </cell>
          <cell r="AF298">
            <v>0</v>
          </cell>
          <cell r="AG298">
            <v>0</v>
          </cell>
          <cell r="AH298">
            <v>0</v>
          </cell>
          <cell r="AI298">
            <v>0</v>
          </cell>
          <cell r="AK298">
            <v>0</v>
          </cell>
        </row>
        <row r="299">
          <cell r="F299">
            <v>18.666666666666664</v>
          </cell>
          <cell r="P299">
            <v>48.800000000000004</v>
          </cell>
          <cell r="S299">
            <v>5.6000000000000005</v>
          </cell>
          <cell r="X299">
            <v>13.600000000000001</v>
          </cell>
          <cell r="AC299">
            <v>21.6</v>
          </cell>
          <cell r="AF299">
            <v>12</v>
          </cell>
          <cell r="AG299">
            <v>11</v>
          </cell>
          <cell r="AH299">
            <v>1</v>
          </cell>
          <cell r="AI299">
            <v>0</v>
          </cell>
          <cell r="AK299">
            <v>120.26666666666665</v>
          </cell>
        </row>
        <row r="300">
          <cell r="F300">
            <v>94697.184761904777</v>
          </cell>
          <cell r="P300">
            <v>1520.8000000000004</v>
          </cell>
          <cell r="Q300">
            <v>0</v>
          </cell>
          <cell r="R300">
            <v>0</v>
          </cell>
          <cell r="S300">
            <v>2126.6181818181776</v>
          </cell>
          <cell r="T300">
            <v>-642.65363636363622</v>
          </cell>
          <cell r="U300">
            <v>-650.41909090909098</v>
          </cell>
          <cell r="V300">
            <v>0</v>
          </cell>
          <cell r="W300">
            <v>0</v>
          </cell>
          <cell r="X300">
            <v>780.05454545454404</v>
          </cell>
          <cell r="Y300">
            <v>-358</v>
          </cell>
          <cell r="Z300">
            <v>-794.41818181818189</v>
          </cell>
          <cell r="AA300">
            <v>0</v>
          </cell>
          <cell r="AB300">
            <v>0</v>
          </cell>
          <cell r="AC300">
            <v>571</v>
          </cell>
          <cell r="AD300">
            <v>-112</v>
          </cell>
          <cell r="AE300">
            <v>-231.2</v>
          </cell>
          <cell r="AF300">
            <v>691.19999999999982</v>
          </cell>
          <cell r="AG300">
            <v>580.15999999999985</v>
          </cell>
          <cell r="AH300">
            <v>112.03999999999996</v>
          </cell>
          <cell r="AI300">
            <v>-278.90909090909088</v>
          </cell>
          <cell r="AK300">
            <v>100570.65748917751</v>
          </cell>
        </row>
        <row r="301">
          <cell r="P301">
            <v>0</v>
          </cell>
          <cell r="AF301">
            <v>0</v>
          </cell>
          <cell r="AG301">
            <v>0</v>
          </cell>
          <cell r="AH301">
            <v>191</v>
          </cell>
          <cell r="AK301">
            <v>0</v>
          </cell>
        </row>
        <row r="302">
          <cell r="F302">
            <v>0</v>
          </cell>
          <cell r="P302">
            <v>0</v>
          </cell>
          <cell r="S302">
            <v>0</v>
          </cell>
          <cell r="X302">
            <v>0</v>
          </cell>
          <cell r="AC302">
            <v>0</v>
          </cell>
          <cell r="AF302">
            <v>0</v>
          </cell>
          <cell r="AG302">
            <v>0</v>
          </cell>
          <cell r="AH302">
            <v>0</v>
          </cell>
          <cell r="AK302">
            <v>0</v>
          </cell>
        </row>
        <row r="303">
          <cell r="F303">
            <v>94697.184761904777</v>
          </cell>
          <cell r="G303">
            <v>0</v>
          </cell>
          <cell r="H303">
            <v>0</v>
          </cell>
          <cell r="P303">
            <v>1520.8000000000004</v>
          </cell>
          <cell r="Q303">
            <v>0</v>
          </cell>
          <cell r="R303">
            <v>0</v>
          </cell>
          <cell r="S303">
            <v>2126.6181818181776</v>
          </cell>
          <cell r="T303">
            <v>-642.65363636363622</v>
          </cell>
          <cell r="U303">
            <v>-650.41909090909098</v>
          </cell>
          <cell r="V303">
            <v>0</v>
          </cell>
          <cell r="W303">
            <v>0</v>
          </cell>
          <cell r="X303">
            <v>780.05454545454404</v>
          </cell>
          <cell r="Y303">
            <v>-358</v>
          </cell>
          <cell r="Z303">
            <v>-794.41818181818189</v>
          </cell>
          <cell r="AA303">
            <v>0</v>
          </cell>
          <cell r="AB303">
            <v>0</v>
          </cell>
          <cell r="AC303">
            <v>571</v>
          </cell>
          <cell r="AD303" t="e">
            <v>#REF!</v>
          </cell>
          <cell r="AE303" t="e">
            <v>#REF!</v>
          </cell>
          <cell r="AF303">
            <v>691.19999999999982</v>
          </cell>
          <cell r="AG303">
            <v>388.15999999999985</v>
          </cell>
          <cell r="AH303">
            <v>303.03999999999996</v>
          </cell>
          <cell r="AK303">
            <v>100570.65748917751</v>
          </cell>
        </row>
        <row r="304">
          <cell r="F304">
            <v>0</v>
          </cell>
          <cell r="AH304">
            <v>191</v>
          </cell>
          <cell r="AK304">
            <v>0</v>
          </cell>
        </row>
        <row r="305">
          <cell r="F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K305">
            <v>0</v>
          </cell>
        </row>
        <row r="306">
          <cell r="F306">
            <v>0</v>
          </cell>
          <cell r="G306">
            <v>0</v>
          </cell>
          <cell r="H306">
            <v>0</v>
          </cell>
          <cell r="P306">
            <v>0</v>
          </cell>
          <cell r="Q306" t="e">
            <v>#REF!</v>
          </cell>
          <cell r="R306" t="e">
            <v>#REF!</v>
          </cell>
          <cell r="S306">
            <v>0</v>
          </cell>
          <cell r="T306" t="e">
            <v>#REF!</v>
          </cell>
          <cell r="U306" t="e">
            <v>#REF!</v>
          </cell>
          <cell r="V306" t="e">
            <v>#REF!</v>
          </cell>
          <cell r="W306" t="e">
            <v>#REF!</v>
          </cell>
          <cell r="X306">
            <v>0</v>
          </cell>
          <cell r="Y306" t="e">
            <v>#REF!</v>
          </cell>
          <cell r="Z306" t="e">
            <v>#REF!</v>
          </cell>
          <cell r="AA306" t="e">
            <v>#REF!</v>
          </cell>
          <cell r="AB306" t="e">
            <v>#REF!</v>
          </cell>
          <cell r="AC306">
            <v>0</v>
          </cell>
          <cell r="AF306">
            <v>0</v>
          </cell>
          <cell r="AG306">
            <v>0</v>
          </cell>
          <cell r="AH306">
            <v>0</v>
          </cell>
          <cell r="AI306">
            <v>0</v>
          </cell>
          <cell r="AK306">
            <v>0</v>
          </cell>
        </row>
        <row r="307">
          <cell r="F307">
            <v>0</v>
          </cell>
          <cell r="AK307">
            <v>0</v>
          </cell>
        </row>
        <row r="308">
          <cell r="F308">
            <v>94697.184761904777</v>
          </cell>
          <cell r="P308">
            <v>1520.8000000000004</v>
          </cell>
          <cell r="Q308">
            <v>0</v>
          </cell>
          <cell r="R308">
            <v>0</v>
          </cell>
          <cell r="S308">
            <v>2126.6181818181776</v>
          </cell>
          <cell r="T308">
            <v>-642.65363636363622</v>
          </cell>
          <cell r="U308">
            <v>-650.41909090909098</v>
          </cell>
          <cell r="V308">
            <v>0</v>
          </cell>
          <cell r="W308">
            <v>0</v>
          </cell>
          <cell r="X308">
            <v>780.05454545454404</v>
          </cell>
          <cell r="Y308">
            <v>-358</v>
          </cell>
          <cell r="Z308">
            <v>-794.41818181818189</v>
          </cell>
          <cell r="AA308">
            <v>0</v>
          </cell>
          <cell r="AB308">
            <v>0</v>
          </cell>
          <cell r="AC308">
            <v>571</v>
          </cell>
          <cell r="AD308">
            <v>-112</v>
          </cell>
          <cell r="AE308">
            <v>-231.2</v>
          </cell>
          <cell r="AF308">
            <v>691.19999999999982</v>
          </cell>
          <cell r="AG308">
            <v>388.15999999999985</v>
          </cell>
          <cell r="AH308">
            <v>303.03999999999996</v>
          </cell>
          <cell r="AI308">
            <v>-278.90909090909088</v>
          </cell>
          <cell r="AK308">
            <v>100570.65748917751</v>
          </cell>
        </row>
        <row r="309">
          <cell r="F309">
            <v>0</v>
          </cell>
          <cell r="P309">
            <v>0</v>
          </cell>
          <cell r="S309">
            <v>0</v>
          </cell>
          <cell r="X309">
            <v>0</v>
          </cell>
          <cell r="AC309">
            <v>0</v>
          </cell>
          <cell r="AF309">
            <v>0</v>
          </cell>
          <cell r="AG309">
            <v>0</v>
          </cell>
          <cell r="AH309">
            <v>0</v>
          </cell>
          <cell r="AK309">
            <v>0</v>
          </cell>
        </row>
        <row r="310">
          <cell r="P310">
            <v>0</v>
          </cell>
          <cell r="AK310">
            <v>0</v>
          </cell>
        </row>
        <row r="311">
          <cell r="F311" t="e">
            <v>#REF!</v>
          </cell>
          <cell r="P311" t="e">
            <v>#REF!</v>
          </cell>
          <cell r="Q311" t="e">
            <v>#REF!</v>
          </cell>
          <cell r="R311" t="e">
            <v>#REF!</v>
          </cell>
          <cell r="S311">
            <v>0</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K311">
            <v>0</v>
          </cell>
        </row>
        <row r="312">
          <cell r="F312">
            <v>8992</v>
          </cell>
          <cell r="AK312">
            <v>8992</v>
          </cell>
        </row>
        <row r="313">
          <cell r="P313">
            <v>0</v>
          </cell>
          <cell r="S313">
            <v>0</v>
          </cell>
          <cell r="AK313">
            <v>0</v>
          </cell>
        </row>
        <row r="314">
          <cell r="F314">
            <v>0</v>
          </cell>
          <cell r="S314">
            <v>0</v>
          </cell>
          <cell r="AK314">
            <v>0</v>
          </cell>
        </row>
        <row r="315">
          <cell r="F315">
            <v>0</v>
          </cell>
          <cell r="AK315">
            <v>0</v>
          </cell>
        </row>
        <row r="316">
          <cell r="S316">
            <v>0</v>
          </cell>
        </row>
        <row r="317">
          <cell r="F317">
            <v>0</v>
          </cell>
          <cell r="AK317">
            <v>0</v>
          </cell>
        </row>
        <row r="318">
          <cell r="S318">
            <v>0</v>
          </cell>
          <cell r="AK318">
            <v>0</v>
          </cell>
        </row>
        <row r="319">
          <cell r="F319">
            <v>94697.184761904777</v>
          </cell>
          <cell r="P319">
            <v>1520.8000000000004</v>
          </cell>
          <cell r="Q319">
            <v>0</v>
          </cell>
          <cell r="R319">
            <v>0</v>
          </cell>
          <cell r="S319">
            <v>2126.6181818181776</v>
          </cell>
          <cell r="T319">
            <v>-642.65363636363622</v>
          </cell>
          <cell r="U319">
            <v>-650.41909090909098</v>
          </cell>
          <cell r="V319">
            <v>0</v>
          </cell>
          <cell r="W319">
            <v>0</v>
          </cell>
          <cell r="X319">
            <v>780.05454545454404</v>
          </cell>
          <cell r="Y319">
            <v>-358</v>
          </cell>
          <cell r="Z319">
            <v>-794.41818181818189</v>
          </cell>
          <cell r="AA319">
            <v>0</v>
          </cell>
          <cell r="AB319">
            <v>0</v>
          </cell>
          <cell r="AC319">
            <v>571</v>
          </cell>
          <cell r="AD319">
            <v>-112</v>
          </cell>
          <cell r="AE319">
            <v>-231.2</v>
          </cell>
          <cell r="AF319">
            <v>691.19999999999982</v>
          </cell>
          <cell r="AG319">
            <v>388.15999999999985</v>
          </cell>
          <cell r="AH319">
            <v>303.03999999999996</v>
          </cell>
          <cell r="AI319">
            <v>-278.90909090909088</v>
          </cell>
          <cell r="AK319">
            <v>100570.65748917751</v>
          </cell>
        </row>
        <row r="320">
          <cell r="AK320">
            <v>0</v>
          </cell>
        </row>
        <row r="321">
          <cell r="S321">
            <v>0</v>
          </cell>
        </row>
        <row r="322">
          <cell r="F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K322" t="e">
            <v>#REF!</v>
          </cell>
        </row>
        <row r="328">
          <cell r="AJ328">
            <v>2455</v>
          </cell>
          <cell r="AK328">
            <v>5757</v>
          </cell>
          <cell r="AM328">
            <v>4595.909090909091</v>
          </cell>
        </row>
        <row r="329">
          <cell r="F329">
            <v>103</v>
          </cell>
          <cell r="P329">
            <v>198</v>
          </cell>
          <cell r="S329">
            <v>460</v>
          </cell>
          <cell r="X329">
            <v>178</v>
          </cell>
          <cell r="AC329">
            <v>146</v>
          </cell>
          <cell r="AF329">
            <v>393</v>
          </cell>
          <cell r="AG329">
            <v>373</v>
          </cell>
          <cell r="AH329">
            <v>20</v>
          </cell>
          <cell r="AI329">
            <v>76</v>
          </cell>
          <cell r="AK329">
            <v>1570</v>
          </cell>
          <cell r="AM329">
            <v>1253</v>
          </cell>
        </row>
        <row r="330">
          <cell r="AJ330">
            <v>36</v>
          </cell>
          <cell r="AK330">
            <v>10408.151428571429</v>
          </cell>
          <cell r="AM330">
            <v>10408.151428571429</v>
          </cell>
        </row>
        <row r="331">
          <cell r="AJ331">
            <v>2455</v>
          </cell>
          <cell r="AK331">
            <v>791.6</v>
          </cell>
          <cell r="AL331">
            <v>0</v>
          </cell>
          <cell r="AM331">
            <v>791.6</v>
          </cell>
        </row>
        <row r="332">
          <cell r="F332">
            <v>0</v>
          </cell>
          <cell r="P332">
            <v>0</v>
          </cell>
          <cell r="S332">
            <v>0</v>
          </cell>
          <cell r="X332">
            <v>0</v>
          </cell>
          <cell r="AC332">
            <v>0</v>
          </cell>
          <cell r="AF332">
            <v>0</v>
          </cell>
          <cell r="AG332">
            <v>0</v>
          </cell>
          <cell r="AH332">
            <v>0</v>
          </cell>
          <cell r="AJ332">
            <v>36</v>
          </cell>
          <cell r="AK332">
            <v>120.26666666666665</v>
          </cell>
          <cell r="AL332">
            <v>0</v>
          </cell>
          <cell r="AM332">
            <v>108.26666666666667</v>
          </cell>
        </row>
        <row r="333">
          <cell r="AJ333">
            <v>36</v>
          </cell>
          <cell r="AK333">
            <v>4126.5514285714289</v>
          </cell>
          <cell r="AL333" t="e">
            <v>#REF!</v>
          </cell>
          <cell r="AM333">
            <v>4126.5514285714289</v>
          </cell>
        </row>
        <row r="334">
          <cell r="AK334">
            <v>3500</v>
          </cell>
          <cell r="AL334" t="e">
            <v>#REF!</v>
          </cell>
          <cell r="AM334">
            <v>3500</v>
          </cell>
        </row>
        <row r="335">
          <cell r="AJ335">
            <v>36</v>
          </cell>
          <cell r="AK335">
            <v>0</v>
          </cell>
          <cell r="AL335">
            <v>0</v>
          </cell>
        </row>
        <row r="336">
          <cell r="AK336">
            <v>1990</v>
          </cell>
          <cell r="AL336">
            <v>0</v>
          </cell>
          <cell r="AM336">
            <v>1990</v>
          </cell>
        </row>
        <row r="337">
          <cell r="AK337">
            <v>9242.6666666666661</v>
          </cell>
          <cell r="AL337">
            <v>3500</v>
          </cell>
        </row>
        <row r="338">
          <cell r="AK338">
            <v>0</v>
          </cell>
          <cell r="AM338">
            <v>0</v>
          </cell>
        </row>
        <row r="339">
          <cell r="AK339">
            <v>2183.5999999999995</v>
          </cell>
          <cell r="AL339">
            <v>0</v>
          </cell>
          <cell r="AM339">
            <v>2302</v>
          </cell>
        </row>
        <row r="340">
          <cell r="AK340">
            <v>2830.0727272727277</v>
          </cell>
          <cell r="AM340">
            <v>2501.0727272727272</v>
          </cell>
        </row>
        <row r="341">
          <cell r="AK341">
            <v>0</v>
          </cell>
          <cell r="AL341">
            <v>0</v>
          </cell>
          <cell r="AM341">
            <v>0</v>
          </cell>
        </row>
        <row r="342">
          <cell r="AK342">
            <v>0</v>
          </cell>
          <cell r="AL342">
            <v>-1300</v>
          </cell>
          <cell r="AM342">
            <v>0</v>
          </cell>
        </row>
        <row r="343">
          <cell r="AK343">
            <v>0</v>
          </cell>
          <cell r="AL343">
            <v>0</v>
          </cell>
          <cell r="AM343">
            <v>0</v>
          </cell>
        </row>
        <row r="344">
          <cell r="AK344">
            <v>4067.2</v>
          </cell>
          <cell r="AL344">
            <v>0</v>
          </cell>
          <cell r="AM344">
            <v>3105.4</v>
          </cell>
        </row>
        <row r="345">
          <cell r="AK345">
            <v>1424</v>
          </cell>
          <cell r="AL345">
            <v>0</v>
          </cell>
          <cell r="AM345">
            <v>988</v>
          </cell>
        </row>
        <row r="346">
          <cell r="AK346">
            <v>302.40000000000003</v>
          </cell>
          <cell r="AL346">
            <v>0</v>
          </cell>
          <cell r="AM346">
            <v>276.8</v>
          </cell>
        </row>
        <row r="347">
          <cell r="AK347">
            <v>1444.2</v>
          </cell>
          <cell r="AL347" t="e">
            <v>#REF!</v>
          </cell>
        </row>
        <row r="348">
          <cell r="AK348">
            <v>896.6</v>
          </cell>
          <cell r="AL348" t="e">
            <v>#REF!</v>
          </cell>
        </row>
        <row r="349">
          <cell r="AK349">
            <v>0</v>
          </cell>
          <cell r="AL349" t="e">
            <v>#REF!</v>
          </cell>
          <cell r="AM349">
            <v>0</v>
          </cell>
        </row>
        <row r="350">
          <cell r="AK350">
            <v>66</v>
          </cell>
          <cell r="AM350">
            <v>66</v>
          </cell>
        </row>
        <row r="351">
          <cell r="AK351">
            <v>3398.2</v>
          </cell>
          <cell r="AM351">
            <v>2675</v>
          </cell>
        </row>
        <row r="352">
          <cell r="P352">
            <v>225</v>
          </cell>
          <cell r="S352">
            <v>296</v>
          </cell>
          <cell r="X352">
            <v>56</v>
          </cell>
          <cell r="AC352">
            <v>95</v>
          </cell>
          <cell r="AF352">
            <v>317.8</v>
          </cell>
          <cell r="AG352">
            <v>317.8</v>
          </cell>
          <cell r="AH352">
            <v>0</v>
          </cell>
          <cell r="AK352">
            <v>989.8</v>
          </cell>
          <cell r="AL352">
            <v>0</v>
          </cell>
        </row>
        <row r="353">
          <cell r="AK353">
            <v>0</v>
          </cell>
          <cell r="AL353" t="e">
            <v>#REF!</v>
          </cell>
        </row>
        <row r="354">
          <cell r="F354">
            <v>0</v>
          </cell>
          <cell r="P354">
            <v>0</v>
          </cell>
          <cell r="S354">
            <v>0</v>
          </cell>
          <cell r="X354">
            <v>0</v>
          </cell>
          <cell r="AC354">
            <v>0</v>
          </cell>
          <cell r="AF354">
            <v>0</v>
          </cell>
          <cell r="AG354">
            <v>0</v>
          </cell>
          <cell r="AH354">
            <v>0</v>
          </cell>
          <cell r="AI354">
            <v>0</v>
          </cell>
          <cell r="AK354">
            <v>363.66666666666663</v>
          </cell>
          <cell r="AL354">
            <v>0</v>
          </cell>
          <cell r="AM354">
            <v>363.66666666666663</v>
          </cell>
        </row>
        <row r="355">
          <cell r="P355">
            <v>225</v>
          </cell>
          <cell r="S355">
            <v>296</v>
          </cell>
          <cell r="X355">
            <v>56</v>
          </cell>
          <cell r="AC355">
            <v>0</v>
          </cell>
          <cell r="AF355">
            <v>0</v>
          </cell>
          <cell r="AG355">
            <v>0</v>
          </cell>
          <cell r="AH355">
            <v>0</v>
          </cell>
          <cell r="AK355">
            <v>105</v>
          </cell>
          <cell r="AM355">
            <v>105</v>
          </cell>
        </row>
        <row r="356">
          <cell r="AK356">
            <v>0</v>
          </cell>
          <cell r="AM356">
            <v>0</v>
          </cell>
        </row>
        <row r="357">
          <cell r="F357">
            <v>0</v>
          </cell>
          <cell r="P357">
            <v>0</v>
          </cell>
          <cell r="S357">
            <v>0</v>
          </cell>
          <cell r="X357">
            <v>0</v>
          </cell>
          <cell r="AC357">
            <v>0</v>
          </cell>
          <cell r="AF357">
            <v>0</v>
          </cell>
          <cell r="AG357">
            <v>0</v>
          </cell>
          <cell r="AH357">
            <v>0</v>
          </cell>
          <cell r="AK357">
            <v>0</v>
          </cell>
          <cell r="AL357">
            <v>0</v>
          </cell>
          <cell r="AM357">
            <v>0</v>
          </cell>
        </row>
        <row r="358">
          <cell r="AJ358">
            <v>-2491</v>
          </cell>
          <cell r="AK358">
            <v>3376.9666666666672</v>
          </cell>
          <cell r="AL358">
            <v>0</v>
          </cell>
          <cell r="AM358" t="e">
            <v>#REF!</v>
          </cell>
        </row>
        <row r="359">
          <cell r="AK359">
            <v>607.40000000000009</v>
          </cell>
          <cell r="AL359">
            <v>0</v>
          </cell>
        </row>
        <row r="360">
          <cell r="AK360">
            <v>691.86666666666667</v>
          </cell>
          <cell r="AL360">
            <v>0</v>
          </cell>
        </row>
        <row r="361">
          <cell r="AJ361">
            <v>-2491</v>
          </cell>
          <cell r="AK361">
            <v>2077.6999999999998</v>
          </cell>
          <cell r="AL361" t="e">
            <v>#REF!</v>
          </cell>
        </row>
        <row r="362">
          <cell r="F362">
            <v>0</v>
          </cell>
          <cell r="P362">
            <v>-41.200000000000045</v>
          </cell>
          <cell r="S362">
            <v>-70.599999999999909</v>
          </cell>
          <cell r="T362">
            <v>207.20000000000002</v>
          </cell>
          <cell r="U362">
            <v>1087.8</v>
          </cell>
          <cell r="X362">
            <v>576.79999999999995</v>
          </cell>
          <cell r="Y362">
            <v>233</v>
          </cell>
          <cell r="Z362">
            <v>519</v>
          </cell>
          <cell r="AC362">
            <v>574.79999999999995</v>
          </cell>
          <cell r="AD362">
            <v>240</v>
          </cell>
          <cell r="AE362">
            <v>494</v>
          </cell>
          <cell r="AF362">
            <v>108.80000000000001</v>
          </cell>
          <cell r="AG362">
            <v>170.8</v>
          </cell>
          <cell r="AH362">
            <v>-62</v>
          </cell>
          <cell r="AI362">
            <v>0</v>
          </cell>
          <cell r="AK362">
            <v>1158.5999999999999</v>
          </cell>
          <cell r="AM362">
            <v>1049.8</v>
          </cell>
        </row>
        <row r="363">
          <cell r="AK363" t="e">
            <v>#REF!</v>
          </cell>
        </row>
        <row r="364">
          <cell r="AK364">
            <v>0</v>
          </cell>
        </row>
        <row r="365">
          <cell r="F365">
            <v>0</v>
          </cell>
          <cell r="P365">
            <v>0</v>
          </cell>
          <cell r="S365">
            <v>0</v>
          </cell>
          <cell r="T365">
            <v>0</v>
          </cell>
          <cell r="U365">
            <v>0</v>
          </cell>
          <cell r="X365">
            <v>0</v>
          </cell>
          <cell r="Y365">
            <v>0</v>
          </cell>
          <cell r="Z365">
            <v>0</v>
          </cell>
          <cell r="AC365">
            <v>0</v>
          </cell>
          <cell r="AD365">
            <v>0</v>
          </cell>
          <cell r="AE365">
            <v>0</v>
          </cell>
          <cell r="AF365">
            <v>0</v>
          </cell>
          <cell r="AG365">
            <v>0</v>
          </cell>
          <cell r="AH365">
            <v>0</v>
          </cell>
          <cell r="AK365">
            <v>0</v>
          </cell>
          <cell r="AL365">
            <v>0</v>
          </cell>
        </row>
        <row r="371">
          <cell r="F371">
            <v>-4642</v>
          </cell>
        </row>
        <row r="374">
          <cell r="F374">
            <v>0</v>
          </cell>
        </row>
        <row r="383">
          <cell r="F383" t="str">
            <v>лютий</v>
          </cell>
          <cell r="P383" t="str">
            <v>лютий</v>
          </cell>
          <cell r="X383" t="str">
            <v>лютий</v>
          </cell>
          <cell r="AC383" t="str">
            <v>лютий</v>
          </cell>
        </row>
        <row r="384">
          <cell r="F384" t="str">
            <v>АППАРАТ</v>
          </cell>
          <cell r="P384" t="str">
            <v>ККМ</v>
          </cell>
          <cell r="X384" t="str">
            <v>ТЕЦ5</v>
          </cell>
          <cell r="AC384" t="str">
            <v>ТЕЦ6</v>
          </cell>
          <cell r="AK384" t="str">
            <v>АК "КЕ"</v>
          </cell>
          <cell r="AL384" t="str">
            <v>Е/Е</v>
          </cell>
        </row>
        <row r="385">
          <cell r="F385" t="str">
            <v>ПЛАН</v>
          </cell>
          <cell r="P385" t="str">
            <v>ПЛАН</v>
          </cell>
          <cell r="X385" t="str">
            <v>ПЛАН</v>
          </cell>
          <cell r="AC385" t="str">
            <v>ПЛАН</v>
          </cell>
          <cell r="AK385" t="str">
            <v>ПЛАН</v>
          </cell>
          <cell r="AL385" t="str">
            <v>ПЛАН</v>
          </cell>
        </row>
        <row r="386">
          <cell r="F386">
            <v>164.3</v>
          </cell>
          <cell r="G386">
            <v>35</v>
          </cell>
          <cell r="H386">
            <v>35</v>
          </cell>
          <cell r="P386">
            <v>14.333333333333332</v>
          </cell>
          <cell r="S386">
            <v>14.333333333333332</v>
          </cell>
          <cell r="X386">
            <v>182</v>
          </cell>
          <cell r="Y386">
            <v>56</v>
          </cell>
          <cell r="Z386">
            <v>56</v>
          </cell>
          <cell r="AC386">
            <v>323.66666666666674</v>
          </cell>
          <cell r="AD386">
            <v>106</v>
          </cell>
          <cell r="AE386">
            <v>105</v>
          </cell>
          <cell r="AK386">
            <v>735.30000000000018</v>
          </cell>
          <cell r="AL386">
            <v>305.73333333333335</v>
          </cell>
          <cell r="AM386">
            <v>226.33333333333334</v>
          </cell>
        </row>
        <row r="387">
          <cell r="F387">
            <v>29</v>
          </cell>
          <cell r="G387">
            <v>6</v>
          </cell>
          <cell r="P387">
            <v>0</v>
          </cell>
          <cell r="X387">
            <v>0</v>
          </cell>
          <cell r="Y387">
            <v>0</v>
          </cell>
          <cell r="AC387">
            <v>3.6666666666666665</v>
          </cell>
          <cell r="AD387">
            <v>1</v>
          </cell>
          <cell r="AK387">
            <v>46</v>
          </cell>
          <cell r="AL387">
            <v>10</v>
          </cell>
        </row>
        <row r="388">
          <cell r="F388">
            <v>0</v>
          </cell>
          <cell r="G388">
            <v>0</v>
          </cell>
          <cell r="P388">
            <v>0.66666666666666663</v>
          </cell>
          <cell r="X388">
            <v>146.66666666666666</v>
          </cell>
          <cell r="Y388">
            <v>45</v>
          </cell>
          <cell r="AC388">
            <v>280.66666666666669</v>
          </cell>
          <cell r="AD388">
            <v>92</v>
          </cell>
          <cell r="AK388">
            <v>428</v>
          </cell>
          <cell r="AL388">
            <v>137.66666666666666</v>
          </cell>
        </row>
        <row r="389">
          <cell r="F389">
            <v>0</v>
          </cell>
          <cell r="G389">
            <v>0</v>
          </cell>
          <cell r="H389" t="e">
            <v>#REF!</v>
          </cell>
          <cell r="P389">
            <v>2</v>
          </cell>
          <cell r="S389">
            <v>14.333333333333332</v>
          </cell>
          <cell r="X389">
            <v>0</v>
          </cell>
          <cell r="Y389">
            <v>0</v>
          </cell>
          <cell r="Z389">
            <v>76</v>
          </cell>
          <cell r="AC389">
            <v>25</v>
          </cell>
          <cell r="AD389">
            <v>8</v>
          </cell>
          <cell r="AE389">
            <v>147</v>
          </cell>
          <cell r="AK389">
            <v>33.666666666666671</v>
          </cell>
          <cell r="AL389">
            <v>13</v>
          </cell>
        </row>
        <row r="390">
          <cell r="F390">
            <v>0</v>
          </cell>
          <cell r="G390">
            <v>0</v>
          </cell>
          <cell r="P390">
            <v>0</v>
          </cell>
          <cell r="X390">
            <v>25.333333333333332</v>
          </cell>
          <cell r="Y390">
            <v>8</v>
          </cell>
          <cell r="AC390">
            <v>0.66666666666666663</v>
          </cell>
          <cell r="AD390">
            <v>0</v>
          </cell>
          <cell r="AK390">
            <v>26</v>
          </cell>
          <cell r="AL390">
            <v>8</v>
          </cell>
        </row>
        <row r="391">
          <cell r="F391">
            <v>120.63333333333333</v>
          </cell>
          <cell r="G391">
            <v>26</v>
          </cell>
          <cell r="P391">
            <v>0</v>
          </cell>
          <cell r="X391">
            <v>0</v>
          </cell>
          <cell r="Y391">
            <v>0</v>
          </cell>
          <cell r="AC391">
            <v>0</v>
          </cell>
          <cell r="AD391">
            <v>0</v>
          </cell>
          <cell r="AK391">
            <v>120.63333333333333</v>
          </cell>
          <cell r="AL391">
            <v>28</v>
          </cell>
        </row>
        <row r="392">
          <cell r="F392">
            <v>8.6666666666666661</v>
          </cell>
          <cell r="G392">
            <v>2</v>
          </cell>
          <cell r="P392">
            <v>0</v>
          </cell>
          <cell r="X392">
            <v>0</v>
          </cell>
          <cell r="Y392">
            <v>0</v>
          </cell>
          <cell r="AC392">
            <v>0</v>
          </cell>
          <cell r="AD392">
            <v>0</v>
          </cell>
          <cell r="AK392">
            <v>8.6666666666666661</v>
          </cell>
          <cell r="AL392">
            <v>0</v>
          </cell>
        </row>
        <row r="393">
          <cell r="F393">
            <v>0</v>
          </cell>
          <cell r="G393">
            <v>0</v>
          </cell>
          <cell r="P393">
            <v>5.333333333333333</v>
          </cell>
          <cell r="X393">
            <v>0</v>
          </cell>
          <cell r="Y393">
            <v>0</v>
          </cell>
          <cell r="AC393">
            <v>0</v>
          </cell>
          <cell r="AD393">
            <v>0</v>
          </cell>
          <cell r="AK393">
            <v>22</v>
          </cell>
          <cell r="AL393">
            <v>15.333333333333332</v>
          </cell>
        </row>
        <row r="394">
          <cell r="F394">
            <v>5.333333333333333</v>
          </cell>
          <cell r="G394">
            <v>1</v>
          </cell>
          <cell r="P394">
            <v>0</v>
          </cell>
          <cell r="X394">
            <v>0</v>
          </cell>
          <cell r="Y394">
            <v>0</v>
          </cell>
          <cell r="AC394">
            <v>0</v>
          </cell>
          <cell r="AD394">
            <v>0</v>
          </cell>
          <cell r="AK394">
            <v>5.333333333333333</v>
          </cell>
          <cell r="AL394">
            <v>1</v>
          </cell>
        </row>
        <row r="395">
          <cell r="F395">
            <v>0.33333333333333331</v>
          </cell>
          <cell r="G395">
            <v>0</v>
          </cell>
          <cell r="P395">
            <v>4.333333333333333</v>
          </cell>
          <cell r="X395">
            <v>0</v>
          </cell>
          <cell r="Y395">
            <v>0</v>
          </cell>
          <cell r="AC395">
            <v>0</v>
          </cell>
          <cell r="AD395">
            <v>0</v>
          </cell>
          <cell r="AK395">
            <v>4.6666666666666661</v>
          </cell>
          <cell r="AL395">
            <v>4.333333333333333</v>
          </cell>
        </row>
        <row r="396">
          <cell r="F396">
            <v>0.33333333333333331</v>
          </cell>
          <cell r="G396">
            <v>0</v>
          </cell>
          <cell r="P396">
            <v>2</v>
          </cell>
          <cell r="X396">
            <v>10</v>
          </cell>
          <cell r="Y396">
            <v>3</v>
          </cell>
          <cell r="AC396">
            <v>13.666666666666666</v>
          </cell>
          <cell r="AD396">
            <v>4</v>
          </cell>
          <cell r="AK396">
            <v>26</v>
          </cell>
          <cell r="AL396">
            <v>9</v>
          </cell>
        </row>
        <row r="397">
          <cell r="F397">
            <v>0</v>
          </cell>
          <cell r="G397">
            <v>0</v>
          </cell>
          <cell r="P397">
            <v>0</v>
          </cell>
          <cell r="X397">
            <v>0</v>
          </cell>
          <cell r="Y397">
            <v>0</v>
          </cell>
          <cell r="AC397">
            <v>0</v>
          </cell>
          <cell r="AD397">
            <v>0</v>
          </cell>
          <cell r="AK397">
            <v>0</v>
          </cell>
        </row>
        <row r="398">
          <cell r="F398">
            <v>1.1666666666666667</v>
          </cell>
          <cell r="G398">
            <v>0</v>
          </cell>
          <cell r="P398">
            <v>20.5</v>
          </cell>
          <cell r="X398">
            <v>522.33333333333337</v>
          </cell>
          <cell r="Y398">
            <v>162</v>
          </cell>
          <cell r="AC398">
            <v>43</v>
          </cell>
          <cell r="AD398">
            <v>14</v>
          </cell>
          <cell r="AK398">
            <v>587.33333333333337</v>
          </cell>
          <cell r="AL398">
            <v>196.5</v>
          </cell>
          <cell r="AM398">
            <v>196.83333333333334</v>
          </cell>
        </row>
        <row r="399">
          <cell r="F399">
            <v>0</v>
          </cell>
          <cell r="G399">
            <v>0</v>
          </cell>
          <cell r="P399">
            <v>0</v>
          </cell>
          <cell r="X399">
            <v>0</v>
          </cell>
          <cell r="Y399">
            <v>0</v>
          </cell>
          <cell r="AC399">
            <v>0</v>
          </cell>
          <cell r="AD399">
            <v>0</v>
          </cell>
          <cell r="AK399">
            <v>0</v>
          </cell>
          <cell r="AL399">
            <v>0</v>
          </cell>
        </row>
        <row r="400">
          <cell r="F400">
            <v>0</v>
          </cell>
          <cell r="G400">
            <v>0</v>
          </cell>
          <cell r="P400">
            <v>0</v>
          </cell>
          <cell r="X400">
            <v>480.66666666666669</v>
          </cell>
          <cell r="Y400">
            <v>149</v>
          </cell>
          <cell r="AC400">
            <v>11</v>
          </cell>
          <cell r="AD400">
            <v>4</v>
          </cell>
          <cell r="AK400">
            <v>491.66666666666669</v>
          </cell>
          <cell r="AL400">
            <v>153</v>
          </cell>
        </row>
        <row r="401">
          <cell r="F401">
            <v>0</v>
          </cell>
          <cell r="G401">
            <v>0</v>
          </cell>
          <cell r="P401">
            <v>0</v>
          </cell>
          <cell r="X401">
            <v>0</v>
          </cell>
          <cell r="Y401">
            <v>0</v>
          </cell>
          <cell r="AC401">
            <v>0</v>
          </cell>
          <cell r="AD401">
            <v>0</v>
          </cell>
          <cell r="AK401">
            <v>0</v>
          </cell>
          <cell r="AL401">
            <v>0</v>
          </cell>
        </row>
        <row r="402">
          <cell r="F402">
            <v>1.1666666666666667</v>
          </cell>
          <cell r="G402">
            <v>0</v>
          </cell>
          <cell r="P402">
            <v>15.833333333333334</v>
          </cell>
          <cell r="X402">
            <v>41.666666666666664</v>
          </cell>
          <cell r="Y402">
            <v>13</v>
          </cell>
          <cell r="AC402">
            <v>32</v>
          </cell>
          <cell r="AD402">
            <v>10</v>
          </cell>
          <cell r="AK402">
            <v>91</v>
          </cell>
          <cell r="AL402">
            <v>43.833333333333336</v>
          </cell>
        </row>
        <row r="403">
          <cell r="F403">
            <v>0</v>
          </cell>
          <cell r="G403">
            <v>0</v>
          </cell>
          <cell r="P403">
            <v>4.666666666666667</v>
          </cell>
          <cell r="X403">
            <v>0</v>
          </cell>
          <cell r="Y403">
            <v>0</v>
          </cell>
          <cell r="AC403">
            <v>0</v>
          </cell>
          <cell r="AD403">
            <v>0</v>
          </cell>
          <cell r="AK403">
            <v>4.666666666666667</v>
          </cell>
          <cell r="AL403">
            <v>0</v>
          </cell>
        </row>
        <row r="404">
          <cell r="F404">
            <v>0</v>
          </cell>
          <cell r="G404">
            <v>0</v>
          </cell>
          <cell r="P404">
            <v>0</v>
          </cell>
          <cell r="X404">
            <v>0</v>
          </cell>
          <cell r="Y404">
            <v>0</v>
          </cell>
          <cell r="AC404">
            <v>0</v>
          </cell>
          <cell r="AD404">
            <v>0</v>
          </cell>
          <cell r="AK404">
            <v>0</v>
          </cell>
        </row>
        <row r="405">
          <cell r="F405">
            <v>10</v>
          </cell>
          <cell r="G405">
            <v>2</v>
          </cell>
          <cell r="P405">
            <v>39</v>
          </cell>
          <cell r="X405">
            <v>0</v>
          </cell>
          <cell r="Y405">
            <v>0</v>
          </cell>
          <cell r="AC405">
            <v>0</v>
          </cell>
          <cell r="AD405">
            <v>0</v>
          </cell>
          <cell r="AK405">
            <v>49</v>
          </cell>
          <cell r="AL405">
            <v>41</v>
          </cell>
          <cell r="AM405">
            <v>42</v>
          </cell>
        </row>
        <row r="406">
          <cell r="F406">
            <v>2.6666666666666665</v>
          </cell>
          <cell r="G406">
            <v>1</v>
          </cell>
          <cell r="P406">
            <v>3.3333333333333335</v>
          </cell>
          <cell r="X406">
            <v>0</v>
          </cell>
          <cell r="Y406">
            <v>0</v>
          </cell>
          <cell r="AC406">
            <v>0</v>
          </cell>
          <cell r="AD406">
            <v>0</v>
          </cell>
          <cell r="AK406">
            <v>6</v>
          </cell>
          <cell r="AL406">
            <v>4.3333333333333339</v>
          </cell>
        </row>
        <row r="407">
          <cell r="F407">
            <v>7.333333333333333</v>
          </cell>
          <cell r="G407">
            <v>2</v>
          </cell>
          <cell r="P407">
            <v>35.666666666666664</v>
          </cell>
          <cell r="X407">
            <v>0</v>
          </cell>
          <cell r="Y407">
            <v>0</v>
          </cell>
          <cell r="AC407">
            <v>0</v>
          </cell>
          <cell r="AD407">
            <v>0</v>
          </cell>
          <cell r="AK407">
            <v>43</v>
          </cell>
          <cell r="AL407">
            <v>37.666666666666664</v>
          </cell>
        </row>
        <row r="408">
          <cell r="F408">
            <v>0</v>
          </cell>
          <cell r="G408">
            <v>0</v>
          </cell>
          <cell r="P408">
            <v>0</v>
          </cell>
          <cell r="X408">
            <v>0</v>
          </cell>
          <cell r="Y408">
            <v>0</v>
          </cell>
          <cell r="AC408">
            <v>0</v>
          </cell>
          <cell r="AD408">
            <v>0</v>
          </cell>
          <cell r="AK408">
            <v>0</v>
          </cell>
          <cell r="AL408" t="e">
            <v>#REF!</v>
          </cell>
        </row>
        <row r="409">
          <cell r="F409">
            <v>206.33333333333329</v>
          </cell>
          <cell r="G409">
            <v>44</v>
          </cell>
          <cell r="H409">
            <v>43</v>
          </cell>
          <cell r="P409">
            <v>50.166666666666671</v>
          </cell>
          <cell r="S409">
            <v>50.166666666666671</v>
          </cell>
          <cell r="X409">
            <v>37.833333333333343</v>
          </cell>
          <cell r="Y409">
            <v>12</v>
          </cell>
          <cell r="AC409">
            <v>26.000000000000004</v>
          </cell>
          <cell r="AD409">
            <v>9</v>
          </cell>
          <cell r="AK409">
            <v>1965.0000000000002</v>
          </cell>
          <cell r="AL409">
            <v>373.16666666666663</v>
          </cell>
          <cell r="AM409">
            <v>373.16666666666663</v>
          </cell>
        </row>
        <row r="410">
          <cell r="F410">
            <v>0</v>
          </cell>
          <cell r="G410">
            <v>0</v>
          </cell>
          <cell r="P410">
            <v>0</v>
          </cell>
          <cell r="X410">
            <v>0</v>
          </cell>
          <cell r="Y410">
            <v>0</v>
          </cell>
          <cell r="AC410">
            <v>0</v>
          </cell>
          <cell r="AD410">
            <v>0</v>
          </cell>
          <cell r="AK410">
            <v>1350</v>
          </cell>
          <cell r="AL410">
            <v>0</v>
          </cell>
        </row>
        <row r="411">
          <cell r="F411">
            <v>0</v>
          </cell>
          <cell r="G411">
            <v>0</v>
          </cell>
          <cell r="P411">
            <v>0</v>
          </cell>
          <cell r="X411">
            <v>0</v>
          </cell>
          <cell r="Y411">
            <v>0</v>
          </cell>
          <cell r="AC411">
            <v>0</v>
          </cell>
          <cell r="AD411">
            <v>0</v>
          </cell>
          <cell r="AK411">
            <v>95</v>
          </cell>
          <cell r="AL411">
            <v>95</v>
          </cell>
        </row>
        <row r="412">
          <cell r="F412">
            <v>0</v>
          </cell>
          <cell r="G412">
            <v>0</v>
          </cell>
          <cell r="H412" t="e">
            <v>#REF!</v>
          </cell>
          <cell r="P412">
            <v>0</v>
          </cell>
          <cell r="S412">
            <v>50.166666666666671</v>
          </cell>
          <cell r="X412">
            <v>0</v>
          </cell>
          <cell r="Y412">
            <v>0</v>
          </cell>
          <cell r="AC412">
            <v>0</v>
          </cell>
          <cell r="AD412">
            <v>0</v>
          </cell>
          <cell r="AK412">
            <v>0</v>
          </cell>
          <cell r="AL412">
            <v>0</v>
          </cell>
        </row>
        <row r="413">
          <cell r="F413">
            <v>0</v>
          </cell>
          <cell r="G413">
            <v>0</v>
          </cell>
          <cell r="P413">
            <v>12.333333333333334</v>
          </cell>
          <cell r="X413">
            <v>0</v>
          </cell>
          <cell r="Y413">
            <v>0</v>
          </cell>
          <cell r="AC413">
            <v>0</v>
          </cell>
          <cell r="AD413">
            <v>0</v>
          </cell>
          <cell r="AK413">
            <v>12.333333333333334</v>
          </cell>
          <cell r="AL413">
            <v>12.333333333333334</v>
          </cell>
        </row>
        <row r="414">
          <cell r="F414">
            <v>0</v>
          </cell>
          <cell r="G414">
            <v>0</v>
          </cell>
          <cell r="P414">
            <v>0</v>
          </cell>
          <cell r="X414">
            <v>0</v>
          </cell>
          <cell r="Y414">
            <v>0</v>
          </cell>
          <cell r="AC414">
            <v>0</v>
          </cell>
          <cell r="AD414">
            <v>0</v>
          </cell>
          <cell r="AK414">
            <v>0</v>
          </cell>
          <cell r="AL414">
            <v>0</v>
          </cell>
        </row>
        <row r="415">
          <cell r="F415">
            <v>1.6666666666666667</v>
          </cell>
          <cell r="G415">
            <v>0</v>
          </cell>
          <cell r="P415">
            <v>5</v>
          </cell>
          <cell r="X415">
            <v>3</v>
          </cell>
          <cell r="Y415">
            <v>1</v>
          </cell>
          <cell r="AC415">
            <v>3</v>
          </cell>
          <cell r="AD415">
            <v>1</v>
          </cell>
          <cell r="AK415">
            <v>57.666666666666664</v>
          </cell>
          <cell r="AL415">
            <v>47</v>
          </cell>
        </row>
        <row r="416">
          <cell r="F416">
            <v>0</v>
          </cell>
          <cell r="G416">
            <v>0</v>
          </cell>
          <cell r="P416">
            <v>0</v>
          </cell>
          <cell r="X416">
            <v>0</v>
          </cell>
          <cell r="Y416">
            <v>0</v>
          </cell>
          <cell r="AC416">
            <v>0</v>
          </cell>
          <cell r="AD416">
            <v>0</v>
          </cell>
          <cell r="AK416">
            <v>4</v>
          </cell>
          <cell r="AL416">
            <v>0</v>
          </cell>
        </row>
        <row r="417">
          <cell r="F417">
            <v>0</v>
          </cell>
          <cell r="G417">
            <v>0</v>
          </cell>
          <cell r="P417">
            <v>0</v>
          </cell>
          <cell r="X417">
            <v>0</v>
          </cell>
          <cell r="Y417">
            <v>0</v>
          </cell>
          <cell r="AC417">
            <v>0</v>
          </cell>
          <cell r="AD417">
            <v>0</v>
          </cell>
          <cell r="AK417">
            <v>0</v>
          </cell>
          <cell r="AL417">
            <v>0</v>
          </cell>
        </row>
        <row r="418">
          <cell r="F418">
            <v>0</v>
          </cell>
          <cell r="G418">
            <v>0</v>
          </cell>
          <cell r="P418">
            <v>18.5</v>
          </cell>
          <cell r="X418">
            <v>4.5</v>
          </cell>
          <cell r="Y418">
            <v>1</v>
          </cell>
          <cell r="AC418">
            <v>1.3333333333333333</v>
          </cell>
          <cell r="AD418">
            <v>0</v>
          </cell>
          <cell r="AK418">
            <v>28.5</v>
          </cell>
          <cell r="AL418">
            <v>23.5</v>
          </cell>
        </row>
        <row r="419">
          <cell r="F419">
            <v>0</v>
          </cell>
          <cell r="G419">
            <v>0</v>
          </cell>
          <cell r="P419">
            <v>1.3333333333333333</v>
          </cell>
          <cell r="X419">
            <v>0</v>
          </cell>
          <cell r="Y419">
            <v>0</v>
          </cell>
          <cell r="AC419">
            <v>1.6666666666666667</v>
          </cell>
          <cell r="AD419">
            <v>1</v>
          </cell>
          <cell r="AK419">
            <v>69</v>
          </cell>
          <cell r="AL419">
            <v>52.333333333333336</v>
          </cell>
        </row>
        <row r="420">
          <cell r="F420">
            <v>177</v>
          </cell>
          <cell r="G420">
            <v>38</v>
          </cell>
          <cell r="P420">
            <v>0</v>
          </cell>
          <cell r="X420">
            <v>0</v>
          </cell>
          <cell r="Y420">
            <v>0</v>
          </cell>
          <cell r="AC420">
            <v>0</v>
          </cell>
          <cell r="AD420">
            <v>0</v>
          </cell>
          <cell r="AK420">
            <v>177</v>
          </cell>
          <cell r="AL420">
            <v>38</v>
          </cell>
        </row>
        <row r="421">
          <cell r="F421">
            <v>0</v>
          </cell>
          <cell r="G421">
            <v>0</v>
          </cell>
          <cell r="P421">
            <v>0</v>
          </cell>
          <cell r="X421">
            <v>10</v>
          </cell>
          <cell r="Y421">
            <v>3</v>
          </cell>
          <cell r="AC421">
            <v>7.666666666666667</v>
          </cell>
          <cell r="AD421">
            <v>3</v>
          </cell>
          <cell r="AK421">
            <v>17.666666666666668</v>
          </cell>
          <cell r="AL421">
            <v>6</v>
          </cell>
        </row>
        <row r="422">
          <cell r="F422">
            <v>0.66666666666666663</v>
          </cell>
          <cell r="G422">
            <v>0</v>
          </cell>
          <cell r="P422">
            <v>2</v>
          </cell>
          <cell r="X422">
            <v>1.3333333333333333</v>
          </cell>
          <cell r="Y422">
            <v>0</v>
          </cell>
          <cell r="AC422">
            <v>1</v>
          </cell>
          <cell r="AD422">
            <v>0</v>
          </cell>
          <cell r="AK422">
            <v>6</v>
          </cell>
          <cell r="AL422">
            <v>2</v>
          </cell>
        </row>
        <row r="423">
          <cell r="F423">
            <v>2.6666666666666665</v>
          </cell>
          <cell r="G423">
            <v>1</v>
          </cell>
          <cell r="P423">
            <v>0.33333333333333331</v>
          </cell>
          <cell r="X423">
            <v>1</v>
          </cell>
          <cell r="Y423">
            <v>0</v>
          </cell>
          <cell r="AC423">
            <v>0.66666666666666663</v>
          </cell>
          <cell r="AD423">
            <v>0</v>
          </cell>
          <cell r="AK423">
            <v>9.3333333333333339</v>
          </cell>
          <cell r="AL423">
            <v>3.3333333333333335</v>
          </cell>
        </row>
        <row r="424">
          <cell r="F424">
            <v>0</v>
          </cell>
          <cell r="G424">
            <v>0</v>
          </cell>
          <cell r="P424">
            <v>2.3333333333333335</v>
          </cell>
          <cell r="X424">
            <v>6</v>
          </cell>
          <cell r="Y424">
            <v>2</v>
          </cell>
          <cell r="AC424">
            <v>5</v>
          </cell>
          <cell r="AD424">
            <v>2</v>
          </cell>
          <cell r="AK424">
            <v>13.333333333333334</v>
          </cell>
          <cell r="AL424">
            <v>6.3333333333333339</v>
          </cell>
        </row>
        <row r="425">
          <cell r="F425">
            <v>0</v>
          </cell>
          <cell r="G425">
            <v>0</v>
          </cell>
          <cell r="P425">
            <v>0</v>
          </cell>
          <cell r="X425">
            <v>0</v>
          </cell>
          <cell r="Y425">
            <v>0</v>
          </cell>
          <cell r="AC425">
            <v>0</v>
          </cell>
          <cell r="AD425">
            <v>0</v>
          </cell>
          <cell r="AK425">
            <v>0</v>
          </cell>
          <cell r="AL425">
            <v>0</v>
          </cell>
        </row>
        <row r="426">
          <cell r="F426">
            <v>0</v>
          </cell>
          <cell r="G426">
            <v>0</v>
          </cell>
          <cell r="P426">
            <v>0</v>
          </cell>
          <cell r="X426">
            <v>0</v>
          </cell>
          <cell r="Y426">
            <v>0</v>
          </cell>
          <cell r="AC426">
            <v>0</v>
          </cell>
          <cell r="AD426">
            <v>0</v>
          </cell>
          <cell r="AK426">
            <v>0</v>
          </cell>
          <cell r="AL426">
            <v>0</v>
          </cell>
        </row>
        <row r="427">
          <cell r="F427">
            <v>9.6666666666666661</v>
          </cell>
          <cell r="G427">
            <v>2</v>
          </cell>
          <cell r="P427">
            <v>1</v>
          </cell>
          <cell r="X427">
            <v>0</v>
          </cell>
          <cell r="Y427">
            <v>0</v>
          </cell>
          <cell r="AC427">
            <v>0</v>
          </cell>
          <cell r="AD427">
            <v>0</v>
          </cell>
          <cell r="AK427">
            <v>12</v>
          </cell>
          <cell r="AL427">
            <v>4</v>
          </cell>
        </row>
        <row r="428">
          <cell r="F428">
            <v>0</v>
          </cell>
          <cell r="G428">
            <v>0</v>
          </cell>
          <cell r="P428">
            <v>0</v>
          </cell>
          <cell r="X428">
            <v>0</v>
          </cell>
          <cell r="Y428">
            <v>0</v>
          </cell>
          <cell r="AC428">
            <v>0</v>
          </cell>
          <cell r="AD428">
            <v>0</v>
          </cell>
          <cell r="AK428">
            <v>0</v>
          </cell>
          <cell r="AL428">
            <v>0</v>
          </cell>
        </row>
        <row r="429">
          <cell r="F429">
            <v>2.3333333333333335</v>
          </cell>
          <cell r="G429">
            <v>0</v>
          </cell>
          <cell r="P429">
            <v>0.66666666666666663</v>
          </cell>
          <cell r="X429">
            <v>0.66666666666666663</v>
          </cell>
          <cell r="Y429">
            <v>0</v>
          </cell>
          <cell r="AC429">
            <v>0.66666666666666663</v>
          </cell>
          <cell r="AD429">
            <v>0</v>
          </cell>
          <cell r="AK429">
            <v>4.333333333333333</v>
          </cell>
          <cell r="AL429">
            <v>0.66666666666666663</v>
          </cell>
        </row>
        <row r="430">
          <cell r="F430">
            <v>1.6666666666666667</v>
          </cell>
          <cell r="G430">
            <v>0</v>
          </cell>
          <cell r="P430">
            <v>0.66666666666666663</v>
          </cell>
          <cell r="X430">
            <v>0.66666666666666663</v>
          </cell>
          <cell r="Y430">
            <v>0</v>
          </cell>
          <cell r="AC430">
            <v>0.66666666666666663</v>
          </cell>
          <cell r="AD430">
            <v>0</v>
          </cell>
          <cell r="AK430">
            <v>3.6666666666666665</v>
          </cell>
          <cell r="AL430">
            <v>0.66666666666666663</v>
          </cell>
        </row>
        <row r="431">
          <cell r="F431">
            <v>6.666666666666667</v>
          </cell>
          <cell r="G431">
            <v>1</v>
          </cell>
          <cell r="P431">
            <v>4.666666666666667</v>
          </cell>
          <cell r="X431">
            <v>3</v>
          </cell>
          <cell r="Y431">
            <v>1</v>
          </cell>
          <cell r="AC431">
            <v>2</v>
          </cell>
          <cell r="AD431">
            <v>1</v>
          </cell>
          <cell r="AK431">
            <v>33</v>
          </cell>
          <cell r="AL431">
            <v>17.666666666666668</v>
          </cell>
        </row>
        <row r="432">
          <cell r="F432">
            <v>0</v>
          </cell>
          <cell r="G432">
            <v>0</v>
          </cell>
          <cell r="P432">
            <v>0</v>
          </cell>
          <cell r="X432">
            <v>0</v>
          </cell>
          <cell r="Y432">
            <v>0</v>
          </cell>
          <cell r="AC432">
            <v>0</v>
          </cell>
          <cell r="AD432">
            <v>0</v>
          </cell>
          <cell r="AK432">
            <v>0</v>
          </cell>
          <cell r="AL432">
            <v>0</v>
          </cell>
        </row>
        <row r="433">
          <cell r="F433">
            <v>0</v>
          </cell>
          <cell r="G433">
            <v>0</v>
          </cell>
          <cell r="P433">
            <v>0</v>
          </cell>
          <cell r="X433">
            <v>0</v>
          </cell>
          <cell r="Y433">
            <v>0</v>
          </cell>
          <cell r="AC433">
            <v>0</v>
          </cell>
          <cell r="AD433">
            <v>0</v>
          </cell>
          <cell r="AK433">
            <v>0</v>
          </cell>
          <cell r="AL433">
            <v>53</v>
          </cell>
        </row>
        <row r="434">
          <cell r="F434">
            <v>1</v>
          </cell>
          <cell r="G434">
            <v>0</v>
          </cell>
          <cell r="P434">
            <v>0</v>
          </cell>
          <cell r="X434">
            <v>0</v>
          </cell>
          <cell r="Y434">
            <v>0</v>
          </cell>
          <cell r="AC434">
            <v>0</v>
          </cell>
          <cell r="AD434">
            <v>0</v>
          </cell>
          <cell r="AK434">
            <v>1</v>
          </cell>
          <cell r="AL434">
            <v>1</v>
          </cell>
        </row>
        <row r="435">
          <cell r="F435">
            <v>0</v>
          </cell>
          <cell r="G435">
            <v>0</v>
          </cell>
          <cell r="P435">
            <v>0</v>
          </cell>
          <cell r="X435">
            <v>0</v>
          </cell>
          <cell r="Y435">
            <v>0</v>
          </cell>
          <cell r="AC435">
            <v>0</v>
          </cell>
          <cell r="AD435">
            <v>0</v>
          </cell>
          <cell r="AK435">
            <v>0</v>
          </cell>
          <cell r="AL435">
            <v>0</v>
          </cell>
        </row>
        <row r="436">
          <cell r="F436">
            <v>0</v>
          </cell>
          <cell r="G436">
            <v>0</v>
          </cell>
          <cell r="P436">
            <v>0</v>
          </cell>
          <cell r="X436">
            <v>0</v>
          </cell>
          <cell r="Y436">
            <v>0</v>
          </cell>
          <cell r="AC436">
            <v>0</v>
          </cell>
          <cell r="AD436">
            <v>0</v>
          </cell>
          <cell r="AK436">
            <v>0</v>
          </cell>
          <cell r="AL436">
            <v>0</v>
          </cell>
        </row>
        <row r="437">
          <cell r="F437">
            <v>2.6666666666666665</v>
          </cell>
          <cell r="G437">
            <v>1</v>
          </cell>
          <cell r="P437">
            <v>1</v>
          </cell>
          <cell r="X437">
            <v>4</v>
          </cell>
          <cell r="Y437">
            <v>1</v>
          </cell>
          <cell r="AC437">
            <v>2</v>
          </cell>
          <cell r="AD437">
            <v>1</v>
          </cell>
          <cell r="AK437">
            <v>15.666666666666666</v>
          </cell>
          <cell r="AL437">
            <v>7</v>
          </cell>
        </row>
        <row r="438">
          <cell r="F438">
            <v>0</v>
          </cell>
          <cell r="G438">
            <v>0</v>
          </cell>
          <cell r="P438">
            <v>0</v>
          </cell>
          <cell r="X438">
            <v>0</v>
          </cell>
          <cell r="Y438">
            <v>0</v>
          </cell>
          <cell r="AC438">
            <v>0</v>
          </cell>
          <cell r="AD438">
            <v>0</v>
          </cell>
          <cell r="AK438">
            <v>0</v>
          </cell>
          <cell r="AL438">
            <v>0</v>
          </cell>
        </row>
        <row r="439">
          <cell r="F439">
            <v>0</v>
          </cell>
          <cell r="G439">
            <v>0</v>
          </cell>
          <cell r="P439">
            <v>0</v>
          </cell>
          <cell r="X439">
            <v>3.3333333333333335</v>
          </cell>
          <cell r="Y439">
            <v>1</v>
          </cell>
          <cell r="AC439">
            <v>0</v>
          </cell>
          <cell r="AD439">
            <v>0</v>
          </cell>
          <cell r="AK439">
            <v>3.3333333333333335</v>
          </cell>
          <cell r="AL439">
            <v>1</v>
          </cell>
        </row>
        <row r="440">
          <cell r="F440">
            <v>0.33333333333333331</v>
          </cell>
          <cell r="G440">
            <v>0</v>
          </cell>
          <cell r="P440">
            <v>0.33333333333333331</v>
          </cell>
          <cell r="X440">
            <v>0.33333333333333331</v>
          </cell>
          <cell r="Y440">
            <v>0</v>
          </cell>
          <cell r="AC440">
            <v>0.33333333333333331</v>
          </cell>
          <cell r="AD440">
            <v>0</v>
          </cell>
          <cell r="AK440">
            <v>1.9999999999999998</v>
          </cell>
          <cell r="AL440">
            <v>0.33333333333333331</v>
          </cell>
        </row>
        <row r="441">
          <cell r="F441">
            <v>0</v>
          </cell>
          <cell r="G441">
            <v>0</v>
          </cell>
          <cell r="P441">
            <v>0</v>
          </cell>
          <cell r="X441">
            <v>0</v>
          </cell>
          <cell r="Y441">
            <v>0</v>
          </cell>
          <cell r="AC441">
            <v>0</v>
          </cell>
          <cell r="AD441">
            <v>0</v>
          </cell>
          <cell r="AK441">
            <v>0</v>
          </cell>
          <cell r="AL441">
            <v>0</v>
          </cell>
        </row>
        <row r="442">
          <cell r="F442">
            <v>0</v>
          </cell>
          <cell r="G442">
            <v>0</v>
          </cell>
          <cell r="P442">
            <v>0</v>
          </cell>
          <cell r="X442">
            <v>0</v>
          </cell>
          <cell r="Y442">
            <v>0</v>
          </cell>
          <cell r="AC442">
            <v>0</v>
          </cell>
          <cell r="AD442">
            <v>0</v>
          </cell>
          <cell r="AK442">
            <v>0</v>
          </cell>
          <cell r="AL442">
            <v>0</v>
          </cell>
        </row>
        <row r="443">
          <cell r="F443">
            <v>0</v>
          </cell>
          <cell r="G443">
            <v>0</v>
          </cell>
          <cell r="P443">
            <v>0</v>
          </cell>
          <cell r="X443">
            <v>0</v>
          </cell>
          <cell r="Y443">
            <v>0</v>
          </cell>
          <cell r="AC443">
            <v>0</v>
          </cell>
          <cell r="AD443">
            <v>0</v>
          </cell>
          <cell r="AK443">
            <v>0</v>
          </cell>
          <cell r="AL443">
            <v>0</v>
          </cell>
        </row>
        <row r="444">
          <cell r="F444">
            <v>0</v>
          </cell>
          <cell r="G444">
            <v>0</v>
          </cell>
          <cell r="P444">
            <v>0</v>
          </cell>
          <cell r="X444">
            <v>0</v>
          </cell>
          <cell r="Y444">
            <v>0</v>
          </cell>
          <cell r="AC444">
            <v>0</v>
          </cell>
          <cell r="AD444">
            <v>0</v>
          </cell>
          <cell r="AK444">
            <v>0</v>
          </cell>
          <cell r="AL444">
            <v>0</v>
          </cell>
        </row>
        <row r="445">
          <cell r="F445">
            <v>0</v>
          </cell>
          <cell r="G445">
            <v>0</v>
          </cell>
          <cell r="P445">
            <v>0</v>
          </cell>
          <cell r="X445">
            <v>0</v>
          </cell>
          <cell r="Y445">
            <v>0</v>
          </cell>
          <cell r="AC445">
            <v>0</v>
          </cell>
          <cell r="AD445">
            <v>0</v>
          </cell>
          <cell r="AK445">
            <v>0</v>
          </cell>
          <cell r="AL445">
            <v>0</v>
          </cell>
        </row>
        <row r="446">
          <cell r="F446">
            <v>0</v>
          </cell>
          <cell r="G446">
            <v>0</v>
          </cell>
          <cell r="P446">
            <v>0</v>
          </cell>
          <cell r="X446">
            <v>0</v>
          </cell>
          <cell r="Y446">
            <v>0</v>
          </cell>
          <cell r="AC446">
            <v>0</v>
          </cell>
          <cell r="AD446">
            <v>0</v>
          </cell>
          <cell r="AK446">
            <v>0</v>
          </cell>
          <cell r="AL446">
            <v>0</v>
          </cell>
        </row>
        <row r="447">
          <cell r="F447">
            <v>0</v>
          </cell>
          <cell r="G447">
            <v>0</v>
          </cell>
          <cell r="P447">
            <v>0</v>
          </cell>
          <cell r="X447">
            <v>0</v>
          </cell>
          <cell r="Y447">
            <v>0</v>
          </cell>
          <cell r="AC447">
            <v>0</v>
          </cell>
          <cell r="AD447">
            <v>0</v>
          </cell>
          <cell r="AK447">
            <v>0</v>
          </cell>
          <cell r="AL447">
            <v>2</v>
          </cell>
        </row>
        <row r="448">
          <cell r="F448">
            <v>0</v>
          </cell>
          <cell r="G448" t="e">
            <v>#REF!</v>
          </cell>
          <cell r="P448">
            <v>0</v>
          </cell>
          <cell r="X448">
            <v>0</v>
          </cell>
          <cell r="Y448">
            <v>0</v>
          </cell>
          <cell r="AC448">
            <v>0</v>
          </cell>
          <cell r="AD448">
            <v>0</v>
          </cell>
          <cell r="AK448">
            <v>0</v>
          </cell>
          <cell r="AL448">
            <v>0</v>
          </cell>
        </row>
        <row r="449">
          <cell r="F449">
            <v>0</v>
          </cell>
          <cell r="G449" t="e">
            <v>#REF!</v>
          </cell>
          <cell r="P449">
            <v>0</v>
          </cell>
          <cell r="X449">
            <v>0</v>
          </cell>
          <cell r="Y449">
            <v>0</v>
          </cell>
          <cell r="AC449">
            <v>0</v>
          </cell>
          <cell r="AD449">
            <v>0</v>
          </cell>
          <cell r="AK449">
            <v>0</v>
          </cell>
        </row>
        <row r="450">
          <cell r="G450" t="e">
            <v>#REF!</v>
          </cell>
          <cell r="P450">
            <v>0</v>
          </cell>
          <cell r="X450">
            <v>0</v>
          </cell>
          <cell r="Y450">
            <v>0</v>
          </cell>
          <cell r="AC450">
            <v>0</v>
          </cell>
          <cell r="AD450">
            <v>0</v>
          </cell>
          <cell r="AK450">
            <v>0</v>
          </cell>
        </row>
        <row r="451">
          <cell r="P451">
            <v>0</v>
          </cell>
          <cell r="X451">
            <v>0</v>
          </cell>
          <cell r="Y451">
            <v>0</v>
          </cell>
          <cell r="AC451">
            <v>0</v>
          </cell>
          <cell r="AD451">
            <v>0</v>
          </cell>
          <cell r="AK451">
            <v>0</v>
          </cell>
        </row>
      </sheetData>
      <sheetData sheetId="7" refreshError="1">
        <row r="21">
          <cell r="AI21" t="str">
            <v xml:space="preserve">         Затверджую</v>
          </cell>
        </row>
        <row r="22">
          <cell r="AI22" t="str">
            <v xml:space="preserve"> Голова правління -</v>
          </cell>
        </row>
        <row r="23">
          <cell r="AI23" t="str">
            <v xml:space="preserve"> генеральний директор</v>
          </cell>
        </row>
        <row r="25">
          <cell r="AI25" t="str">
            <v xml:space="preserve">                        І.В.Плачков</v>
          </cell>
        </row>
        <row r="26">
          <cell r="AI26" t="str">
            <v xml:space="preserve">   "_____" ________2000 р.</v>
          </cell>
        </row>
        <row r="32">
          <cell r="Q32" t="str">
            <v>КТМ</v>
          </cell>
          <cell r="V32" t="str">
            <v xml:space="preserve">ТЕЦ-5 </v>
          </cell>
          <cell r="AA32" t="str">
            <v xml:space="preserve">ТЕЦ-6 </v>
          </cell>
        </row>
        <row r="34">
          <cell r="F34" t="str">
            <v>ВИКОН.ДИР.</v>
          </cell>
          <cell r="G34" t="str">
            <v>Е/Е</v>
          </cell>
          <cell r="H34" t="str">
            <v xml:space="preserve"> Т/Е</v>
          </cell>
          <cell r="P34" t="str">
            <v xml:space="preserve">КМ </v>
          </cell>
          <cell r="S34" t="str">
            <v xml:space="preserve">ТМ </v>
          </cell>
          <cell r="T34" t="str">
            <v>ВИРОБН</v>
          </cell>
          <cell r="U34" t="str">
            <v>ПЕРЕД</v>
          </cell>
          <cell r="X34" t="str">
            <v>ТЕЦ-5 ВСЬОГО</v>
          </cell>
          <cell r="Y34" t="str">
            <v>Е/Е</v>
          </cell>
          <cell r="Z34" t="str">
            <v xml:space="preserve"> Т/Е</v>
          </cell>
          <cell r="AC34" t="str">
            <v>ТЕЦ-6 ВСЬОГО</v>
          </cell>
          <cell r="AD34" t="str">
            <v>Е/Е</v>
          </cell>
          <cell r="AE34" t="str">
            <v xml:space="preserve"> Т/Е</v>
          </cell>
          <cell r="AF34" t="str">
            <v>ТРМ ВСЬОГО</v>
          </cell>
          <cell r="AG34" t="str">
            <v>ТРМ  АК КЕ</v>
          </cell>
          <cell r="AH34" t="str">
            <v>ТРМ СТОР</v>
          </cell>
          <cell r="AI34" t="str">
            <v xml:space="preserve">ДОП.ВИР. </v>
          </cell>
          <cell r="AJ34" t="str">
            <v>ДОП.ВИР. СТ.ОРГ.</v>
          </cell>
          <cell r="AK34" t="str">
            <v>АК КЕ ВСЬОГО</v>
          </cell>
          <cell r="AL34" t="str">
            <v xml:space="preserve"> Е/Е</v>
          </cell>
          <cell r="AM34" t="str">
            <v xml:space="preserve"> Т/Е</v>
          </cell>
          <cell r="AN34" t="str">
            <v>СТАНЦІї ЕЛЕКТРО</v>
          </cell>
          <cell r="AO34" t="str">
            <v>СТАНЦІІ ТЕПЛОВІ</v>
          </cell>
          <cell r="AP34" t="str">
            <v>МЕРЕЖІ ЕЛЕКТРО</v>
          </cell>
          <cell r="AQ34" t="str">
            <v>МЕРЕЖІ ТЕПЛОВІ</v>
          </cell>
        </row>
        <row r="35">
          <cell r="AL35">
            <v>395</v>
          </cell>
        </row>
        <row r="36">
          <cell r="AL36">
            <v>336</v>
          </cell>
        </row>
        <row r="37">
          <cell r="AL37">
            <v>0</v>
          </cell>
        </row>
        <row r="39">
          <cell r="AL39">
            <v>0</v>
          </cell>
        </row>
        <row r="40">
          <cell r="AL40">
            <v>0</v>
          </cell>
        </row>
        <row r="41">
          <cell r="AL41">
            <v>395.6</v>
          </cell>
        </row>
        <row r="42">
          <cell r="P42">
            <v>0</v>
          </cell>
          <cell r="AL42">
            <v>395.6</v>
          </cell>
        </row>
        <row r="43">
          <cell r="AM43">
            <v>1580</v>
          </cell>
        </row>
        <row r="44">
          <cell r="AM44">
            <v>0</v>
          </cell>
        </row>
        <row r="45">
          <cell r="AM45">
            <v>1580</v>
          </cell>
        </row>
        <row r="46">
          <cell r="F46">
            <v>3281.3333333333321</v>
          </cell>
          <cell r="P46">
            <v>2113</v>
          </cell>
          <cell r="S46">
            <v>9843.2727272727279</v>
          </cell>
          <cell r="T46">
            <v>4622.9436363636387</v>
          </cell>
          <cell r="U46">
            <v>1761.3290909090908</v>
          </cell>
          <cell r="X46">
            <v>2228.8181818181802</v>
          </cell>
          <cell r="AC46">
            <v>1415</v>
          </cell>
          <cell r="AF46">
            <v>3580.2</v>
          </cell>
          <cell r="AG46">
            <v>2592.2999999999997</v>
          </cell>
          <cell r="AH46">
            <v>987.90000000000009</v>
          </cell>
        </row>
        <row r="47">
          <cell r="F47">
            <v>1</v>
          </cell>
          <cell r="P47">
            <v>1</v>
          </cell>
          <cell r="S47">
            <v>1</v>
          </cell>
          <cell r="X47">
            <v>1</v>
          </cell>
          <cell r="AC47">
            <v>1</v>
          </cell>
          <cell r="AF47">
            <v>1</v>
          </cell>
          <cell r="AG47">
            <v>1</v>
          </cell>
          <cell r="AH47">
            <v>1</v>
          </cell>
        </row>
        <row r="49">
          <cell r="F49">
            <v>256</v>
          </cell>
          <cell r="G49">
            <v>71</v>
          </cell>
          <cell r="H49">
            <v>185</v>
          </cell>
          <cell r="P49">
            <v>502</v>
          </cell>
          <cell r="S49">
            <v>413</v>
          </cell>
          <cell r="T49">
            <v>206.5</v>
          </cell>
          <cell r="U49">
            <v>206.5</v>
          </cell>
          <cell r="X49">
            <v>258</v>
          </cell>
          <cell r="Y49">
            <v>80</v>
          </cell>
          <cell r="Z49">
            <v>178</v>
          </cell>
          <cell r="AC49">
            <v>218</v>
          </cell>
          <cell r="AD49">
            <v>71</v>
          </cell>
          <cell r="AE49">
            <v>147</v>
          </cell>
          <cell r="AF49">
            <v>336</v>
          </cell>
          <cell r="AG49">
            <v>300</v>
          </cell>
          <cell r="AH49">
            <v>36</v>
          </cell>
          <cell r="AK49">
            <v>2095</v>
          </cell>
          <cell r="AL49">
            <v>842</v>
          </cell>
          <cell r="AM49">
            <v>1253</v>
          </cell>
          <cell r="AN49">
            <v>151</v>
          </cell>
          <cell r="AO49">
            <v>465</v>
          </cell>
          <cell r="AP49">
            <v>691</v>
          </cell>
          <cell r="AQ49">
            <v>788</v>
          </cell>
        </row>
        <row r="50">
          <cell r="F50">
            <v>158</v>
          </cell>
          <cell r="G50">
            <v>44</v>
          </cell>
          <cell r="P50">
            <v>56</v>
          </cell>
          <cell r="S50">
            <v>400.83333333333331</v>
          </cell>
          <cell r="X50">
            <v>75</v>
          </cell>
          <cell r="Y50">
            <v>23</v>
          </cell>
          <cell r="Z50">
            <v>52</v>
          </cell>
          <cell r="AC50">
            <v>40</v>
          </cell>
          <cell r="AD50">
            <v>13</v>
          </cell>
          <cell r="AE50">
            <v>27</v>
          </cell>
          <cell r="AF50">
            <v>295</v>
          </cell>
          <cell r="AG50">
            <v>263</v>
          </cell>
          <cell r="AH50">
            <v>32</v>
          </cell>
          <cell r="AK50">
            <v>1026.8333333333333</v>
          </cell>
          <cell r="AL50">
            <v>167</v>
          </cell>
          <cell r="AM50">
            <v>859.83333333333326</v>
          </cell>
        </row>
        <row r="51">
          <cell r="G51">
            <v>0</v>
          </cell>
          <cell r="P51">
            <v>1</v>
          </cell>
          <cell r="X51">
            <v>18</v>
          </cell>
          <cell r="Y51">
            <v>6</v>
          </cell>
          <cell r="Z51">
            <v>12</v>
          </cell>
          <cell r="AC51">
            <v>47</v>
          </cell>
          <cell r="AD51">
            <v>15</v>
          </cell>
          <cell r="AE51">
            <v>32</v>
          </cell>
          <cell r="AH51">
            <v>0</v>
          </cell>
          <cell r="AK51">
            <v>66</v>
          </cell>
          <cell r="AL51">
            <v>22</v>
          </cell>
          <cell r="AM51">
            <v>44</v>
          </cell>
        </row>
        <row r="52">
          <cell r="F52">
            <v>98</v>
          </cell>
          <cell r="G52">
            <v>27</v>
          </cell>
          <cell r="P52">
            <v>10</v>
          </cell>
          <cell r="X52">
            <v>0</v>
          </cell>
          <cell r="Y52">
            <v>0</v>
          </cell>
          <cell r="Z52">
            <v>0</v>
          </cell>
          <cell r="AC52">
            <v>20</v>
          </cell>
          <cell r="AD52">
            <v>7</v>
          </cell>
          <cell r="AE52">
            <v>13</v>
          </cell>
          <cell r="AF52">
            <v>32</v>
          </cell>
          <cell r="AG52">
            <v>32</v>
          </cell>
          <cell r="AH52">
            <v>0</v>
          </cell>
          <cell r="AK52">
            <v>160</v>
          </cell>
          <cell r="AL52">
            <v>44</v>
          </cell>
          <cell r="AM52">
            <v>116</v>
          </cell>
        </row>
        <row r="53">
          <cell r="F53">
            <v>10.333333333333334</v>
          </cell>
          <cell r="G53">
            <v>3</v>
          </cell>
          <cell r="H53">
            <v>7.3333333333333339</v>
          </cell>
          <cell r="P53">
            <v>56</v>
          </cell>
          <cell r="S53">
            <v>384</v>
          </cell>
          <cell r="T53">
            <v>299.52</v>
          </cell>
          <cell r="U53">
            <v>84.480000000000018</v>
          </cell>
          <cell r="X53">
            <v>607</v>
          </cell>
          <cell r="Y53">
            <v>188</v>
          </cell>
          <cell r="Z53">
            <v>419</v>
          </cell>
          <cell r="AC53">
            <v>95</v>
          </cell>
          <cell r="AD53">
            <v>31</v>
          </cell>
          <cell r="AE53">
            <v>64</v>
          </cell>
          <cell r="AF53">
            <v>205</v>
          </cell>
          <cell r="AG53">
            <v>201</v>
          </cell>
          <cell r="AH53">
            <v>4</v>
          </cell>
          <cell r="AK53">
            <v>1358.3333333333333</v>
          </cell>
          <cell r="AL53">
            <v>281</v>
          </cell>
          <cell r="AM53">
            <v>1077.3333333333333</v>
          </cell>
          <cell r="AN53">
            <v>219</v>
          </cell>
          <cell r="AO53">
            <v>614</v>
          </cell>
          <cell r="AP53">
            <v>62</v>
          </cell>
          <cell r="AQ53">
            <v>463.33333333333326</v>
          </cell>
        </row>
        <row r="54">
          <cell r="F54">
            <v>0</v>
          </cell>
          <cell r="G54">
            <v>0</v>
          </cell>
          <cell r="H54">
            <v>0</v>
          </cell>
          <cell r="S54">
            <v>21</v>
          </cell>
          <cell r="T54">
            <v>21</v>
          </cell>
          <cell r="U54">
            <v>0</v>
          </cell>
          <cell r="X54">
            <v>477</v>
          </cell>
          <cell r="Y54">
            <v>148</v>
          </cell>
          <cell r="Z54">
            <v>329</v>
          </cell>
          <cell r="AC54">
            <v>14</v>
          </cell>
          <cell r="AD54">
            <v>5</v>
          </cell>
          <cell r="AE54">
            <v>9</v>
          </cell>
          <cell r="AH54">
            <v>0</v>
          </cell>
          <cell r="AK54">
            <v>512</v>
          </cell>
          <cell r="AL54">
            <v>153</v>
          </cell>
          <cell r="AM54">
            <v>359</v>
          </cell>
          <cell r="AN54">
            <v>153</v>
          </cell>
          <cell r="AO54">
            <v>345</v>
          </cell>
          <cell r="AP54">
            <v>0</v>
          </cell>
          <cell r="AQ54">
            <v>14</v>
          </cell>
        </row>
        <row r="55">
          <cell r="F55">
            <v>0</v>
          </cell>
          <cell r="G55">
            <v>0</v>
          </cell>
          <cell r="H55">
            <v>0</v>
          </cell>
          <cell r="S55">
            <v>18925</v>
          </cell>
          <cell r="T55">
            <v>18925</v>
          </cell>
          <cell r="U55">
            <v>0</v>
          </cell>
          <cell r="X55">
            <v>26100</v>
          </cell>
          <cell r="Y55">
            <v>11966.09756097561</v>
          </cell>
          <cell r="Z55">
            <v>14133.90243902439</v>
          </cell>
          <cell r="AC55">
            <v>24751</v>
          </cell>
          <cell r="AD55">
            <v>12644.477434679333</v>
          </cell>
          <cell r="AE55">
            <v>12106.522565320667</v>
          </cell>
          <cell r="AH55">
            <v>0</v>
          </cell>
          <cell r="AK55">
            <v>69776</v>
          </cell>
          <cell r="AL55">
            <v>24610.574995654941</v>
          </cell>
          <cell r="AM55">
            <v>45165.425004345059</v>
          </cell>
          <cell r="AN55">
            <v>24610.574995654941</v>
          </cell>
          <cell r="AO55">
            <v>45165</v>
          </cell>
          <cell r="AP55">
            <v>0</v>
          </cell>
          <cell r="AQ55">
            <v>0.42500434505927842</v>
          </cell>
        </row>
        <row r="56">
          <cell r="F56">
            <v>0</v>
          </cell>
          <cell r="G56">
            <v>0</v>
          </cell>
          <cell r="H56">
            <v>0</v>
          </cell>
          <cell r="P56">
            <v>0</v>
          </cell>
          <cell r="S56">
            <v>18925</v>
          </cell>
          <cell r="T56">
            <v>18925</v>
          </cell>
          <cell r="U56">
            <v>0</v>
          </cell>
          <cell r="X56">
            <v>26100</v>
          </cell>
          <cell r="Y56">
            <v>11966.09756097561</v>
          </cell>
          <cell r="Z56">
            <v>14133.90243902439</v>
          </cell>
          <cell r="AC56">
            <v>24751</v>
          </cell>
          <cell r="AD56">
            <v>12644.477434679333</v>
          </cell>
          <cell r="AE56">
            <v>12106.522565320667</v>
          </cell>
          <cell r="AF56">
            <v>0</v>
          </cell>
          <cell r="AG56">
            <v>0</v>
          </cell>
          <cell r="AH56">
            <v>0</v>
          </cell>
          <cell r="AI56">
            <v>0</v>
          </cell>
          <cell r="AK56">
            <v>69776</v>
          </cell>
          <cell r="AL56">
            <v>24610.574995654941</v>
          </cell>
          <cell r="AM56">
            <v>45165.425004345059</v>
          </cell>
          <cell r="AN56">
            <v>24610.574995654941</v>
          </cell>
          <cell r="AO56">
            <v>45165</v>
          </cell>
          <cell r="AP56">
            <v>0</v>
          </cell>
          <cell r="AQ56">
            <v>0.42500434505927842</v>
          </cell>
        </row>
        <row r="57">
          <cell r="F57">
            <v>0</v>
          </cell>
          <cell r="G57">
            <v>0</v>
          </cell>
          <cell r="H57">
            <v>0</v>
          </cell>
          <cell r="T57">
            <v>0</v>
          </cell>
          <cell r="U57">
            <v>0</v>
          </cell>
          <cell r="AF57">
            <v>0</v>
          </cell>
          <cell r="AH57">
            <v>0</v>
          </cell>
          <cell r="AK57">
            <v>0</v>
          </cell>
          <cell r="AL57">
            <v>0</v>
          </cell>
          <cell r="AM57">
            <v>0</v>
          </cell>
          <cell r="AO57">
            <v>0</v>
          </cell>
        </row>
        <row r="58">
          <cell r="F58">
            <v>3</v>
          </cell>
          <cell r="G58">
            <v>1</v>
          </cell>
          <cell r="H58">
            <v>2</v>
          </cell>
          <cell r="P58">
            <v>91</v>
          </cell>
          <cell r="S58">
            <v>3156</v>
          </cell>
          <cell r="T58">
            <v>3156</v>
          </cell>
          <cell r="U58">
            <v>0</v>
          </cell>
          <cell r="X58">
            <v>0</v>
          </cell>
          <cell r="Y58">
            <v>0</v>
          </cell>
          <cell r="Z58">
            <v>0</v>
          </cell>
          <cell r="AC58">
            <v>0</v>
          </cell>
          <cell r="AD58">
            <v>0</v>
          </cell>
          <cell r="AE58">
            <v>0</v>
          </cell>
          <cell r="AF58">
            <v>1154</v>
          </cell>
          <cell r="AG58">
            <v>403.9</v>
          </cell>
          <cell r="AH58">
            <v>750.1</v>
          </cell>
          <cell r="AK58">
            <v>3653.9</v>
          </cell>
          <cell r="AL58">
            <v>92</v>
          </cell>
          <cell r="AM58">
            <v>3561.9</v>
          </cell>
          <cell r="AN58">
            <v>0</v>
          </cell>
          <cell r="AO58">
            <v>1073</v>
          </cell>
          <cell r="AP58">
            <v>92</v>
          </cell>
          <cell r="AQ58">
            <v>2488.9</v>
          </cell>
        </row>
        <row r="59">
          <cell r="F59">
            <v>281</v>
          </cell>
          <cell r="G59">
            <v>78</v>
          </cell>
          <cell r="H59">
            <v>203</v>
          </cell>
          <cell r="P59">
            <v>477</v>
          </cell>
          <cell r="S59">
            <v>928.27272727272725</v>
          </cell>
          <cell r="T59">
            <v>454.85363636363633</v>
          </cell>
          <cell r="U59">
            <v>473.41909090909093</v>
          </cell>
          <cell r="X59">
            <v>272.81818181818181</v>
          </cell>
          <cell r="Y59">
            <v>85</v>
          </cell>
          <cell r="Z59">
            <v>187.81818181818181</v>
          </cell>
          <cell r="AC59">
            <v>249</v>
          </cell>
          <cell r="AD59">
            <v>81</v>
          </cell>
          <cell r="AE59">
            <v>168</v>
          </cell>
          <cell r="AF59">
            <v>959</v>
          </cell>
          <cell r="AG59">
            <v>844</v>
          </cell>
          <cell r="AH59">
            <v>115</v>
          </cell>
          <cell r="AI59">
            <v>279</v>
          </cell>
          <cell r="AK59">
            <v>3573.090909090909</v>
          </cell>
          <cell r="AL59">
            <v>992.13269689737467</v>
          </cell>
          <cell r="AM59">
            <v>2580.9582121935346</v>
          </cell>
          <cell r="AN59">
            <v>166</v>
          </cell>
          <cell r="AO59">
            <v>671</v>
          </cell>
          <cell r="AP59">
            <v>826.13269689737467</v>
          </cell>
          <cell r="AQ59">
            <v>1909.9582121935346</v>
          </cell>
        </row>
        <row r="60">
          <cell r="F60">
            <v>15</v>
          </cell>
          <cell r="G60">
            <v>4</v>
          </cell>
          <cell r="H60">
            <v>11</v>
          </cell>
          <cell r="P60">
            <v>26</v>
          </cell>
          <cell r="S60">
            <v>51</v>
          </cell>
          <cell r="T60">
            <v>25</v>
          </cell>
          <cell r="U60">
            <v>26</v>
          </cell>
          <cell r="X60">
            <v>15</v>
          </cell>
          <cell r="Y60">
            <v>5</v>
          </cell>
          <cell r="Z60">
            <v>10</v>
          </cell>
          <cell r="AC60">
            <v>14</v>
          </cell>
          <cell r="AD60">
            <v>5</v>
          </cell>
          <cell r="AE60">
            <v>9</v>
          </cell>
          <cell r="AF60">
            <v>53</v>
          </cell>
          <cell r="AG60">
            <v>46</v>
          </cell>
          <cell r="AH60">
            <v>7</v>
          </cell>
          <cell r="AK60">
            <v>181</v>
          </cell>
          <cell r="AL60">
            <v>55</v>
          </cell>
          <cell r="AM60">
            <v>126</v>
          </cell>
          <cell r="AN60">
            <v>10</v>
          </cell>
          <cell r="AO60">
            <v>28</v>
          </cell>
          <cell r="AP60">
            <v>45</v>
          </cell>
          <cell r="AQ60">
            <v>98</v>
          </cell>
        </row>
        <row r="61">
          <cell r="F61">
            <v>88</v>
          </cell>
          <cell r="G61">
            <v>24</v>
          </cell>
          <cell r="H61">
            <v>64</v>
          </cell>
          <cell r="P61">
            <v>153</v>
          </cell>
          <cell r="S61">
            <v>297</v>
          </cell>
          <cell r="T61">
            <v>146</v>
          </cell>
          <cell r="U61">
            <v>151</v>
          </cell>
          <cell r="X61">
            <v>87</v>
          </cell>
          <cell r="Y61">
            <v>27</v>
          </cell>
          <cell r="Z61">
            <v>60</v>
          </cell>
          <cell r="AC61">
            <v>80</v>
          </cell>
          <cell r="AD61">
            <v>26</v>
          </cell>
          <cell r="AE61">
            <v>54</v>
          </cell>
          <cell r="AF61">
            <v>307</v>
          </cell>
          <cell r="AG61">
            <v>270</v>
          </cell>
          <cell r="AH61">
            <v>37</v>
          </cell>
          <cell r="AI61">
            <v>0</v>
          </cell>
          <cell r="AK61">
            <v>1053</v>
          </cell>
          <cell r="AL61">
            <v>317</v>
          </cell>
          <cell r="AM61">
            <v>736</v>
          </cell>
          <cell r="AN61">
            <v>0</v>
          </cell>
          <cell r="AO61">
            <v>0</v>
          </cell>
          <cell r="AP61">
            <v>0</v>
          </cell>
          <cell r="AQ61">
            <v>0</v>
          </cell>
        </row>
        <row r="62">
          <cell r="F62">
            <v>0</v>
          </cell>
          <cell r="G62">
            <v>0</v>
          </cell>
          <cell r="P62">
            <v>0</v>
          </cell>
          <cell r="X62">
            <v>0</v>
          </cell>
          <cell r="AH62">
            <v>0</v>
          </cell>
          <cell r="AK62">
            <v>0</v>
          </cell>
        </row>
        <row r="63">
          <cell r="F63">
            <v>87.333333333333329</v>
          </cell>
          <cell r="G63">
            <v>24</v>
          </cell>
          <cell r="H63">
            <v>63.333333333333329</v>
          </cell>
          <cell r="P63">
            <v>586</v>
          </cell>
          <cell r="S63">
            <v>1295</v>
          </cell>
          <cell r="T63">
            <v>207.20000000000002</v>
          </cell>
          <cell r="U63">
            <v>1087.8</v>
          </cell>
          <cell r="X63">
            <v>615</v>
          </cell>
          <cell r="Y63">
            <v>191</v>
          </cell>
          <cell r="Z63">
            <v>424</v>
          </cell>
          <cell r="AC63">
            <v>734</v>
          </cell>
          <cell r="AD63">
            <v>240</v>
          </cell>
          <cell r="AE63">
            <v>494</v>
          </cell>
          <cell r="AF63">
            <v>553</v>
          </cell>
          <cell r="AG63">
            <v>538</v>
          </cell>
          <cell r="AH63">
            <v>15</v>
          </cell>
          <cell r="AK63">
            <v>3865.3333333333335</v>
          </cell>
          <cell r="AL63">
            <v>1049</v>
          </cell>
          <cell r="AM63">
            <v>2816.3333333333335</v>
          </cell>
          <cell r="AN63">
            <v>431</v>
          </cell>
          <cell r="AO63">
            <v>1358</v>
          </cell>
          <cell r="AP63">
            <v>618</v>
          </cell>
          <cell r="AQ63">
            <v>1458.3333333333335</v>
          </cell>
        </row>
        <row r="64">
          <cell r="G64">
            <v>0</v>
          </cell>
          <cell r="T64">
            <v>21</v>
          </cell>
          <cell r="U64">
            <v>109</v>
          </cell>
          <cell r="AH64">
            <v>0</v>
          </cell>
          <cell r="AI64">
            <v>0</v>
          </cell>
          <cell r="AJ64">
            <v>0</v>
          </cell>
          <cell r="AK64">
            <v>0</v>
          </cell>
          <cell r="AN64">
            <v>43</v>
          </cell>
          <cell r="AO64">
            <v>136</v>
          </cell>
          <cell r="AP64">
            <v>62</v>
          </cell>
          <cell r="AQ64">
            <v>146</v>
          </cell>
        </row>
        <row r="65">
          <cell r="F65">
            <v>87</v>
          </cell>
          <cell r="G65">
            <v>24</v>
          </cell>
          <cell r="H65">
            <v>63</v>
          </cell>
          <cell r="P65">
            <v>284</v>
          </cell>
          <cell r="S65">
            <v>2905</v>
          </cell>
          <cell r="X65">
            <v>219</v>
          </cell>
          <cell r="AC65">
            <v>199</v>
          </cell>
          <cell r="AF65">
            <v>67.2</v>
          </cell>
          <cell r="AG65">
            <v>67.2</v>
          </cell>
          <cell r="AH65">
            <v>0</v>
          </cell>
          <cell r="AK65">
            <v>3783.2</v>
          </cell>
          <cell r="AL65">
            <v>308</v>
          </cell>
          <cell r="AM65">
            <v>3475.2</v>
          </cell>
          <cell r="AO65">
            <v>799</v>
          </cell>
        </row>
        <row r="66">
          <cell r="F66">
            <v>0</v>
          </cell>
          <cell r="G66">
            <v>0</v>
          </cell>
          <cell r="P66">
            <v>0</v>
          </cell>
          <cell r="S66">
            <v>0</v>
          </cell>
          <cell r="X66">
            <v>0</v>
          </cell>
          <cell r="AC66">
            <v>0</v>
          </cell>
          <cell r="AD66">
            <v>0</v>
          </cell>
          <cell r="AH66">
            <v>0</v>
          </cell>
          <cell r="AK66">
            <v>0</v>
          </cell>
          <cell r="AL66">
            <v>0</v>
          </cell>
          <cell r="AM66">
            <v>0</v>
          </cell>
          <cell r="AO66">
            <v>0</v>
          </cell>
        </row>
        <row r="67">
          <cell r="G67">
            <v>0</v>
          </cell>
          <cell r="H67">
            <v>0.3333333333333286</v>
          </cell>
          <cell r="P67">
            <v>302</v>
          </cell>
          <cell r="S67">
            <v>-1610</v>
          </cell>
          <cell r="T67">
            <v>186.20000000000002</v>
          </cell>
          <cell r="U67">
            <v>978.8</v>
          </cell>
          <cell r="X67">
            <v>396</v>
          </cell>
          <cell r="Y67">
            <v>191</v>
          </cell>
          <cell r="Z67">
            <v>424</v>
          </cell>
          <cell r="AC67">
            <v>535</v>
          </cell>
          <cell r="AD67">
            <v>240</v>
          </cell>
          <cell r="AE67">
            <v>494</v>
          </cell>
          <cell r="AF67">
            <v>485.8</v>
          </cell>
          <cell r="AG67">
            <v>470.8</v>
          </cell>
          <cell r="AH67">
            <v>15</v>
          </cell>
          <cell r="AI67">
            <v>0</v>
          </cell>
          <cell r="AJ67">
            <v>0</v>
          </cell>
          <cell r="AK67">
            <v>81.800000000000011</v>
          </cell>
          <cell r="AN67">
            <v>388</v>
          </cell>
          <cell r="AO67">
            <v>423</v>
          </cell>
          <cell r="AP67">
            <v>556</v>
          </cell>
          <cell r="AQ67">
            <v>1312.3333333333335</v>
          </cell>
        </row>
        <row r="68">
          <cell r="F68">
            <v>92</v>
          </cell>
          <cell r="G68">
            <v>26</v>
          </cell>
          <cell r="H68">
            <v>66</v>
          </cell>
          <cell r="P68">
            <v>353</v>
          </cell>
          <cell r="S68">
            <v>873</v>
          </cell>
          <cell r="T68">
            <v>218.25</v>
          </cell>
          <cell r="U68">
            <v>654.75</v>
          </cell>
          <cell r="X68">
            <v>638</v>
          </cell>
          <cell r="Y68">
            <v>198</v>
          </cell>
          <cell r="Z68">
            <v>440</v>
          </cell>
          <cell r="AC68">
            <v>449</v>
          </cell>
          <cell r="AD68">
            <v>147</v>
          </cell>
          <cell r="AE68">
            <v>302</v>
          </cell>
          <cell r="AF68">
            <v>260</v>
          </cell>
          <cell r="AG68">
            <v>260</v>
          </cell>
          <cell r="AH68">
            <v>0</v>
          </cell>
          <cell r="AK68">
            <v>2665</v>
          </cell>
          <cell r="AL68">
            <v>724</v>
          </cell>
          <cell r="AM68">
            <v>1941</v>
          </cell>
          <cell r="AN68">
            <v>345</v>
          </cell>
          <cell r="AO68">
            <v>1039</v>
          </cell>
          <cell r="AP68">
            <v>379</v>
          </cell>
          <cell r="AQ68">
            <v>902</v>
          </cell>
        </row>
        <row r="69">
          <cell r="G69">
            <v>0</v>
          </cell>
          <cell r="H69">
            <v>0</v>
          </cell>
          <cell r="P69">
            <v>51</v>
          </cell>
          <cell r="S69">
            <v>296.72727272727275</v>
          </cell>
          <cell r="X69">
            <v>202.18181818181819</v>
          </cell>
          <cell r="Y69">
            <v>63</v>
          </cell>
          <cell r="Z69">
            <v>139.18181818181819</v>
          </cell>
          <cell r="AC69">
            <v>144</v>
          </cell>
          <cell r="AD69">
            <v>47</v>
          </cell>
          <cell r="AE69">
            <v>97</v>
          </cell>
          <cell r="AF69">
            <v>88</v>
          </cell>
          <cell r="AG69">
            <v>88</v>
          </cell>
          <cell r="AH69">
            <v>0</v>
          </cell>
          <cell r="AK69">
            <v>781.90909090909099</v>
          </cell>
          <cell r="AL69">
            <v>161</v>
          </cell>
          <cell r="AM69">
            <v>620.90909090909099</v>
          </cell>
        </row>
        <row r="70">
          <cell r="F70">
            <v>0</v>
          </cell>
          <cell r="G70">
            <v>0</v>
          </cell>
          <cell r="H70">
            <v>0</v>
          </cell>
          <cell r="P70">
            <v>3</v>
          </cell>
          <cell r="S70">
            <v>17</v>
          </cell>
          <cell r="X70">
            <v>11</v>
          </cell>
          <cell r="Y70">
            <v>3</v>
          </cell>
          <cell r="Z70">
            <v>8</v>
          </cell>
          <cell r="AC70">
            <v>8</v>
          </cell>
          <cell r="AD70">
            <v>3</v>
          </cell>
          <cell r="AE70">
            <v>5</v>
          </cell>
          <cell r="AF70">
            <v>5</v>
          </cell>
          <cell r="AG70">
            <v>5</v>
          </cell>
          <cell r="AH70">
            <v>0</v>
          </cell>
          <cell r="AK70">
            <v>44</v>
          </cell>
          <cell r="AL70">
            <v>9</v>
          </cell>
          <cell r="AM70">
            <v>35</v>
          </cell>
        </row>
        <row r="71">
          <cell r="F71">
            <v>0</v>
          </cell>
          <cell r="G71">
            <v>0</v>
          </cell>
          <cell r="H71">
            <v>0</v>
          </cell>
          <cell r="P71">
            <v>16</v>
          </cell>
          <cell r="S71">
            <v>95</v>
          </cell>
          <cell r="X71">
            <v>65</v>
          </cell>
          <cell r="Y71">
            <v>20</v>
          </cell>
          <cell r="Z71">
            <v>45</v>
          </cell>
          <cell r="AC71">
            <v>47</v>
          </cell>
          <cell r="AD71">
            <v>15</v>
          </cell>
          <cell r="AE71">
            <v>32</v>
          </cell>
          <cell r="AF71">
            <v>28</v>
          </cell>
          <cell r="AG71">
            <v>28</v>
          </cell>
          <cell r="AH71">
            <v>0</v>
          </cell>
          <cell r="AK71">
            <v>251</v>
          </cell>
          <cell r="AL71">
            <v>51</v>
          </cell>
          <cell r="AM71">
            <v>200</v>
          </cell>
        </row>
        <row r="72">
          <cell r="F72">
            <v>0</v>
          </cell>
          <cell r="G72">
            <v>0</v>
          </cell>
          <cell r="X72">
            <v>0</v>
          </cell>
          <cell r="AC72">
            <v>0</v>
          </cell>
          <cell r="AF72">
            <v>0</v>
          </cell>
          <cell r="AG72">
            <v>0</v>
          </cell>
          <cell r="AH72">
            <v>0</v>
          </cell>
          <cell r="AK72">
            <v>0</v>
          </cell>
          <cell r="AL72">
            <v>0</v>
          </cell>
          <cell r="AM72">
            <v>0</v>
          </cell>
        </row>
        <row r="73">
          <cell r="G73">
            <v>0</v>
          </cell>
          <cell r="P73">
            <v>353</v>
          </cell>
          <cell r="S73">
            <v>0</v>
          </cell>
          <cell r="X73">
            <v>0</v>
          </cell>
          <cell r="Y73">
            <v>0</v>
          </cell>
          <cell r="Z73">
            <v>0</v>
          </cell>
          <cell r="AC73">
            <v>0</v>
          </cell>
          <cell r="AD73">
            <v>0</v>
          </cell>
          <cell r="AE73">
            <v>0</v>
          </cell>
          <cell r="AF73">
            <v>0</v>
          </cell>
          <cell r="AG73">
            <v>0</v>
          </cell>
          <cell r="AH73">
            <v>0</v>
          </cell>
          <cell r="AK73">
            <v>353</v>
          </cell>
          <cell r="AL73">
            <v>353</v>
          </cell>
          <cell r="AM73">
            <v>0</v>
          </cell>
        </row>
        <row r="74">
          <cell r="G74">
            <v>0</v>
          </cell>
          <cell r="P74">
            <v>0</v>
          </cell>
          <cell r="S74">
            <v>0</v>
          </cell>
          <cell r="X74">
            <v>0</v>
          </cell>
          <cell r="Z74">
            <v>0</v>
          </cell>
          <cell r="AC74">
            <v>0</v>
          </cell>
          <cell r="AD74">
            <v>0</v>
          </cell>
          <cell r="AE74">
            <v>0</v>
          </cell>
          <cell r="AH74">
            <v>0</v>
          </cell>
          <cell r="AK74">
            <v>0</v>
          </cell>
          <cell r="AL74">
            <v>0</v>
          </cell>
          <cell r="AM74">
            <v>0</v>
          </cell>
        </row>
        <row r="75">
          <cell r="F75">
            <v>1748</v>
          </cell>
          <cell r="G75">
            <v>484</v>
          </cell>
          <cell r="H75">
            <v>1264</v>
          </cell>
          <cell r="P75">
            <v>110</v>
          </cell>
          <cell r="S75">
            <v>282</v>
          </cell>
          <cell r="T75">
            <v>116.82000000000001</v>
          </cell>
          <cell r="U75">
            <v>165.18</v>
          </cell>
          <cell r="X75">
            <v>115</v>
          </cell>
          <cell r="Y75">
            <v>36</v>
          </cell>
          <cell r="Z75">
            <v>79</v>
          </cell>
          <cell r="AC75">
            <v>84</v>
          </cell>
          <cell r="AD75">
            <v>27</v>
          </cell>
          <cell r="AE75">
            <v>57</v>
          </cell>
          <cell r="AF75">
            <v>225</v>
          </cell>
          <cell r="AG75">
            <v>186.2</v>
          </cell>
          <cell r="AH75">
            <v>38.800000000000011</v>
          </cell>
          <cell r="AI75">
            <v>633.66666666666663</v>
          </cell>
          <cell r="AK75">
            <v>3637.5333333333328</v>
          </cell>
          <cell r="AL75">
            <v>1134.6765314240254</v>
          </cell>
          <cell r="AM75">
            <v>2502.8568019093073</v>
          </cell>
          <cell r="AN75">
            <v>63</v>
          </cell>
          <cell r="AO75">
            <v>232</v>
          </cell>
          <cell r="AP75">
            <v>1071.6765314240254</v>
          </cell>
          <cell r="AQ75">
            <v>2270.8568019093073</v>
          </cell>
        </row>
        <row r="76">
          <cell r="F76">
            <v>105</v>
          </cell>
          <cell r="G76">
            <v>29</v>
          </cell>
          <cell r="H76">
            <v>76</v>
          </cell>
          <cell r="T76">
            <v>0</v>
          </cell>
          <cell r="U76">
            <v>0</v>
          </cell>
          <cell r="Y76">
            <v>0</v>
          </cell>
          <cell r="Z76">
            <v>0</v>
          </cell>
          <cell r="AE76">
            <v>0</v>
          </cell>
          <cell r="AH76">
            <v>0</v>
          </cell>
          <cell r="AK76">
            <v>105</v>
          </cell>
          <cell r="AL76">
            <v>29</v>
          </cell>
          <cell r="AM76">
            <v>76</v>
          </cell>
          <cell r="AN76">
            <v>0</v>
          </cell>
          <cell r="AO76">
            <v>0</v>
          </cell>
          <cell r="AP76">
            <v>29</v>
          </cell>
          <cell r="AQ76">
            <v>76</v>
          </cell>
        </row>
        <row r="77">
          <cell r="F77">
            <v>1643</v>
          </cell>
          <cell r="G77">
            <v>455</v>
          </cell>
          <cell r="H77">
            <v>1188</v>
          </cell>
          <cell r="P77">
            <v>110</v>
          </cell>
          <cell r="S77">
            <v>282</v>
          </cell>
          <cell r="T77">
            <v>116.82000000000001</v>
          </cell>
          <cell r="U77">
            <v>165.18</v>
          </cell>
          <cell r="X77">
            <v>115</v>
          </cell>
          <cell r="Y77">
            <v>36</v>
          </cell>
          <cell r="Z77">
            <v>79</v>
          </cell>
          <cell r="AC77">
            <v>84</v>
          </cell>
          <cell r="AD77">
            <v>27</v>
          </cell>
          <cell r="AE77">
            <v>57</v>
          </cell>
          <cell r="AF77">
            <v>225</v>
          </cell>
          <cell r="AG77">
            <v>186.2</v>
          </cell>
          <cell r="AH77">
            <v>38.800000000000011</v>
          </cell>
          <cell r="AI77">
            <v>633.66666666666663</v>
          </cell>
          <cell r="AK77">
            <v>2898.8666666666663</v>
          </cell>
          <cell r="AL77">
            <v>1105.6765314240254</v>
          </cell>
          <cell r="AM77">
            <v>1793.190135242641</v>
          </cell>
          <cell r="AN77">
            <v>63</v>
          </cell>
          <cell r="AO77">
            <v>232</v>
          </cell>
          <cell r="AP77">
            <v>1042.6765314240254</v>
          </cell>
          <cell r="AQ77">
            <v>1561.190135242641</v>
          </cell>
        </row>
        <row r="78">
          <cell r="F78">
            <v>591</v>
          </cell>
          <cell r="G78">
            <v>164</v>
          </cell>
          <cell r="H78">
            <v>427</v>
          </cell>
          <cell r="P78">
            <v>66</v>
          </cell>
          <cell r="S78">
            <v>177</v>
          </cell>
          <cell r="T78">
            <v>116.82000000000001</v>
          </cell>
          <cell r="U78">
            <v>60.179999999999993</v>
          </cell>
          <cell r="X78">
            <v>56</v>
          </cell>
          <cell r="Y78">
            <v>17</v>
          </cell>
          <cell r="Z78">
            <v>39</v>
          </cell>
          <cell r="AC78">
            <v>43</v>
          </cell>
          <cell r="AD78">
            <v>27</v>
          </cell>
          <cell r="AE78">
            <v>16</v>
          </cell>
          <cell r="AF78">
            <v>163</v>
          </cell>
          <cell r="AG78">
            <v>149</v>
          </cell>
          <cell r="AH78">
            <v>14</v>
          </cell>
          <cell r="AK78">
            <v>1182</v>
          </cell>
          <cell r="AL78">
            <v>331</v>
          </cell>
          <cell r="AM78">
            <v>851</v>
          </cell>
          <cell r="AQ78">
            <v>851</v>
          </cell>
        </row>
        <row r="79">
          <cell r="H79">
            <v>0</v>
          </cell>
          <cell r="S79">
            <v>0</v>
          </cell>
          <cell r="AK79">
            <v>363.66666666666663</v>
          </cell>
          <cell r="AL79">
            <v>158</v>
          </cell>
          <cell r="AM79">
            <v>205.66666666666663</v>
          </cell>
          <cell r="AQ79">
            <v>205.66666666666663</v>
          </cell>
        </row>
        <row r="80">
          <cell r="F80">
            <v>442</v>
          </cell>
          <cell r="G80">
            <v>123</v>
          </cell>
          <cell r="H80">
            <v>319</v>
          </cell>
          <cell r="P80">
            <v>20</v>
          </cell>
          <cell r="S80">
            <v>46</v>
          </cell>
          <cell r="X80">
            <v>48</v>
          </cell>
          <cell r="Y80">
            <v>15</v>
          </cell>
          <cell r="Z80">
            <v>33</v>
          </cell>
          <cell r="AC80">
            <v>9</v>
          </cell>
          <cell r="AD80">
            <v>3</v>
          </cell>
          <cell r="AE80">
            <v>6</v>
          </cell>
          <cell r="AF80">
            <v>12</v>
          </cell>
          <cell r="AG80">
            <v>7.1999999999999993</v>
          </cell>
          <cell r="AH80">
            <v>4.8000000000000007</v>
          </cell>
          <cell r="AI80">
            <v>39</v>
          </cell>
          <cell r="AK80">
            <v>615.20000000000005</v>
          </cell>
          <cell r="AL80">
            <v>178.67446300715991</v>
          </cell>
          <cell r="AM80">
            <v>436.5255369928401</v>
          </cell>
        </row>
        <row r="81">
          <cell r="F81">
            <v>610</v>
          </cell>
          <cell r="G81">
            <v>169</v>
          </cell>
          <cell r="H81">
            <v>441</v>
          </cell>
          <cell r="P81">
            <v>24</v>
          </cell>
          <cell r="S81">
            <v>59</v>
          </cell>
          <cell r="X81">
            <v>11</v>
          </cell>
          <cell r="Y81">
            <v>3</v>
          </cell>
          <cell r="Z81">
            <v>8</v>
          </cell>
          <cell r="AC81">
            <v>32</v>
          </cell>
          <cell r="AD81">
            <v>10</v>
          </cell>
          <cell r="AE81">
            <v>22</v>
          </cell>
          <cell r="AF81">
            <v>50</v>
          </cell>
          <cell r="AG81">
            <v>30</v>
          </cell>
          <cell r="AH81">
            <v>20</v>
          </cell>
          <cell r="AI81">
            <v>594.66666666666663</v>
          </cell>
          <cell r="AK81">
            <v>1371.6666666666665</v>
          </cell>
          <cell r="AL81">
            <v>451.00206841686554</v>
          </cell>
          <cell r="AM81">
            <v>920.66459824980097</v>
          </cell>
        </row>
        <row r="82">
          <cell r="H82">
            <v>0</v>
          </cell>
          <cell r="Y82">
            <v>0</v>
          </cell>
          <cell r="Z82">
            <v>0</v>
          </cell>
          <cell r="AK82">
            <v>0</v>
          </cell>
          <cell r="AL82">
            <v>0</v>
          </cell>
          <cell r="AM82">
            <v>0</v>
          </cell>
        </row>
        <row r="83">
          <cell r="F83">
            <v>19.399999999999999</v>
          </cell>
          <cell r="G83">
            <v>0</v>
          </cell>
          <cell r="H83">
            <v>19.399999999999999</v>
          </cell>
          <cell r="P83">
            <v>3.1</v>
          </cell>
          <cell r="S83">
            <v>7.5</v>
          </cell>
          <cell r="X83">
            <v>3.1</v>
          </cell>
          <cell r="Y83">
            <v>1</v>
          </cell>
          <cell r="Z83">
            <v>2.1</v>
          </cell>
          <cell r="AC83">
            <v>1.7</v>
          </cell>
          <cell r="AD83">
            <v>1</v>
          </cell>
          <cell r="AE83">
            <v>0.7</v>
          </cell>
          <cell r="AF83">
            <v>4.8</v>
          </cell>
          <cell r="AH83">
            <v>4.8</v>
          </cell>
          <cell r="AK83">
            <v>35.800000000000004</v>
          </cell>
          <cell r="AL83">
            <v>6.1</v>
          </cell>
          <cell r="AM83">
            <v>29.700000000000003</v>
          </cell>
        </row>
        <row r="84">
          <cell r="F84">
            <v>2580.6666666666665</v>
          </cell>
          <cell r="G84">
            <v>715</v>
          </cell>
          <cell r="H84">
            <v>1865.6666666666667</v>
          </cell>
          <cell r="P84">
            <v>2354</v>
          </cell>
          <cell r="Q84">
            <v>0</v>
          </cell>
          <cell r="R84">
            <v>0</v>
          </cell>
          <cell r="S84">
            <v>26604.272727272728</v>
          </cell>
          <cell r="T84">
            <v>23755.143636363639</v>
          </cell>
          <cell r="U84">
            <v>2849.1290909090908</v>
          </cell>
          <cell r="X84">
            <v>28707.81818181818</v>
          </cell>
          <cell r="Y84">
            <v>12776.09756097561</v>
          </cell>
          <cell r="Z84">
            <v>15931.720620842572</v>
          </cell>
          <cell r="AA84">
            <v>0</v>
          </cell>
          <cell r="AB84">
            <v>0</v>
          </cell>
          <cell r="AC84">
            <v>26674</v>
          </cell>
          <cell r="AD84">
            <v>13272.477434679333</v>
          </cell>
          <cell r="AE84">
            <v>13401.522565320667</v>
          </cell>
          <cell r="AF84">
            <v>4052</v>
          </cell>
          <cell r="AG84">
            <v>3049.1</v>
          </cell>
          <cell r="AH84">
            <v>1002.9000000000001</v>
          </cell>
          <cell r="AI84">
            <v>912.66666666666663</v>
          </cell>
          <cell r="AK84">
            <v>91858.190909090888</v>
          </cell>
          <cell r="AL84">
            <v>30097.38422397634</v>
          </cell>
          <cell r="AM84">
            <v>61760.806685114578</v>
          </cell>
          <cell r="AN84">
            <v>25995.574995654941</v>
          </cell>
          <cell r="AO84">
            <v>50645</v>
          </cell>
          <cell r="AP84">
            <v>3784.8092283214</v>
          </cell>
          <cell r="AQ84">
            <v>10379.806685114569</v>
          </cell>
        </row>
        <row r="85">
          <cell r="F85">
            <v>281</v>
          </cell>
          <cell r="G85">
            <v>78</v>
          </cell>
          <cell r="H85">
            <v>203</v>
          </cell>
          <cell r="P85">
            <v>528</v>
          </cell>
          <cell r="Q85">
            <v>0</v>
          </cell>
          <cell r="R85">
            <v>0</v>
          </cell>
          <cell r="T85">
            <v>454.85363636363633</v>
          </cell>
          <cell r="U85">
            <v>473.41909090909093</v>
          </cell>
          <cell r="V85">
            <v>0</v>
          </cell>
          <cell r="W85">
            <v>0</v>
          </cell>
          <cell r="Y85">
            <v>148</v>
          </cell>
          <cell r="Z85">
            <v>327</v>
          </cell>
          <cell r="AA85">
            <v>0</v>
          </cell>
          <cell r="AB85">
            <v>0</v>
          </cell>
          <cell r="AD85">
            <v>128</v>
          </cell>
          <cell r="AE85">
            <v>265</v>
          </cell>
          <cell r="AH85">
            <v>115</v>
          </cell>
          <cell r="AI85">
            <v>279</v>
          </cell>
          <cell r="AK85">
            <v>4355</v>
          </cell>
          <cell r="AL85">
            <v>1153.1326968973747</v>
          </cell>
          <cell r="AM85">
            <v>3201.8673031026256</v>
          </cell>
        </row>
        <row r="86">
          <cell r="AL86">
            <v>29644.574995654941</v>
          </cell>
        </row>
        <row r="87">
          <cell r="F87">
            <v>11292</v>
          </cell>
          <cell r="G87">
            <v>11292</v>
          </cell>
          <cell r="AK87">
            <v>11292</v>
          </cell>
          <cell r="AL87">
            <v>11292</v>
          </cell>
          <cell r="AM87">
            <v>0</v>
          </cell>
          <cell r="AN87">
            <v>0</v>
          </cell>
          <cell r="AO87">
            <v>0</v>
          </cell>
          <cell r="AP87">
            <v>0</v>
          </cell>
          <cell r="AQ87">
            <v>0</v>
          </cell>
        </row>
        <row r="88">
          <cell r="F88">
            <v>13872.666666666666</v>
          </cell>
          <cell r="G88">
            <v>12007</v>
          </cell>
          <cell r="H88">
            <v>1865.6666666666667</v>
          </cell>
          <cell r="P88">
            <v>2354</v>
          </cell>
          <cell r="Q88">
            <v>0</v>
          </cell>
          <cell r="R88">
            <v>0</v>
          </cell>
          <cell r="S88">
            <v>26604.272727272728</v>
          </cell>
          <cell r="T88">
            <v>23755.143636363639</v>
          </cell>
          <cell r="U88">
            <v>2849.1290909090908</v>
          </cell>
          <cell r="V88">
            <v>0</v>
          </cell>
          <cell r="W88">
            <v>0</v>
          </cell>
          <cell r="X88">
            <v>28707.81818181818</v>
          </cell>
          <cell r="Y88">
            <v>12776.09756097561</v>
          </cell>
          <cell r="Z88">
            <v>15931.720620842572</v>
          </cell>
          <cell r="AA88">
            <v>0</v>
          </cell>
          <cell r="AB88">
            <v>0</v>
          </cell>
          <cell r="AC88">
            <v>26674</v>
          </cell>
          <cell r="AD88">
            <v>13272.477434679333</v>
          </cell>
          <cell r="AE88">
            <v>13401.522565320667</v>
          </cell>
          <cell r="AF88">
            <v>4052</v>
          </cell>
          <cell r="AG88">
            <v>3049.1</v>
          </cell>
          <cell r="AH88">
            <v>1002.9000000000001</v>
          </cell>
          <cell r="AI88">
            <v>912.66666666666663</v>
          </cell>
          <cell r="AK88">
            <v>103150.19090909089</v>
          </cell>
          <cell r="AL88">
            <v>41389.38422397634</v>
          </cell>
          <cell r="AM88">
            <v>61760.806685114578</v>
          </cell>
          <cell r="AN88">
            <v>25995.574995654941</v>
          </cell>
          <cell r="AO88">
            <v>50645</v>
          </cell>
          <cell r="AP88">
            <v>3784.8092283214</v>
          </cell>
          <cell r="AQ88">
            <v>10379.806685114569</v>
          </cell>
        </row>
        <row r="89">
          <cell r="F89">
            <v>0</v>
          </cell>
          <cell r="G89">
            <v>0</v>
          </cell>
          <cell r="H89">
            <v>0</v>
          </cell>
          <cell r="AH89">
            <v>0</v>
          </cell>
          <cell r="AM89">
            <v>0</v>
          </cell>
          <cell r="AN89">
            <v>0</v>
          </cell>
          <cell r="AO89">
            <v>0</v>
          </cell>
          <cell r="AP89">
            <v>0</v>
          </cell>
          <cell r="AQ89">
            <v>-1</v>
          </cell>
        </row>
        <row r="90">
          <cell r="F90">
            <v>1390</v>
          </cell>
          <cell r="G90">
            <v>810</v>
          </cell>
          <cell r="H90">
            <v>580</v>
          </cell>
          <cell r="AH90">
            <v>0</v>
          </cell>
          <cell r="AK90">
            <v>1390</v>
          </cell>
          <cell r="AL90">
            <v>810</v>
          </cell>
          <cell r="AM90">
            <v>580</v>
          </cell>
          <cell r="AN90">
            <v>0</v>
          </cell>
          <cell r="AO90">
            <v>0</v>
          </cell>
          <cell r="AP90">
            <v>232.62193611480285</v>
          </cell>
          <cell r="AQ90">
            <v>38.001908588179916</v>
          </cell>
        </row>
        <row r="91">
          <cell r="F91">
            <v>600</v>
          </cell>
          <cell r="G91">
            <v>128</v>
          </cell>
          <cell r="H91">
            <v>472</v>
          </cell>
          <cell r="S91">
            <v>0</v>
          </cell>
          <cell r="T91">
            <v>0</v>
          </cell>
          <cell r="U91">
            <v>0</v>
          </cell>
          <cell r="X91">
            <v>0</v>
          </cell>
          <cell r="Y91">
            <v>0</v>
          </cell>
          <cell r="Z91">
            <v>0</v>
          </cell>
          <cell r="AA91">
            <v>0</v>
          </cell>
          <cell r="AB91">
            <v>0</v>
          </cell>
          <cell r="AC91">
            <v>0</v>
          </cell>
          <cell r="AD91">
            <v>0</v>
          </cell>
          <cell r="AE91">
            <v>0</v>
          </cell>
          <cell r="AH91">
            <v>0</v>
          </cell>
          <cell r="AK91">
            <v>600</v>
          </cell>
          <cell r="AL91">
            <v>128</v>
          </cell>
          <cell r="AM91">
            <v>472</v>
          </cell>
          <cell r="AN91">
            <v>0</v>
          </cell>
          <cell r="AO91">
            <v>0</v>
          </cell>
          <cell r="AP91">
            <v>0</v>
          </cell>
          <cell r="AQ91">
            <v>0</v>
          </cell>
        </row>
        <row r="92">
          <cell r="F92">
            <v>18.666666666666664</v>
          </cell>
          <cell r="G92">
            <v>4</v>
          </cell>
          <cell r="H92">
            <v>14.666666666666664</v>
          </cell>
          <cell r="P92">
            <v>61</v>
          </cell>
          <cell r="S92">
            <v>7</v>
          </cell>
          <cell r="X92">
            <v>17</v>
          </cell>
          <cell r="Y92">
            <v>5</v>
          </cell>
          <cell r="Z92">
            <v>12</v>
          </cell>
          <cell r="AC92">
            <v>27</v>
          </cell>
          <cell r="AD92">
            <v>14</v>
          </cell>
          <cell r="AE92">
            <v>13</v>
          </cell>
          <cell r="AF92">
            <v>15</v>
          </cell>
          <cell r="AG92">
            <v>14</v>
          </cell>
          <cell r="AH92">
            <v>1</v>
          </cell>
          <cell r="AK92">
            <v>144.66666666666666</v>
          </cell>
          <cell r="AL92">
            <v>84</v>
          </cell>
          <cell r="AM92">
            <v>60.666666666666657</v>
          </cell>
          <cell r="AN92">
            <v>19</v>
          </cell>
          <cell r="AO92">
            <v>27</v>
          </cell>
          <cell r="AP92">
            <v>65</v>
          </cell>
          <cell r="AQ92">
            <v>33.666666666666657</v>
          </cell>
        </row>
        <row r="95">
          <cell r="F95">
            <v>15881.333333333332</v>
          </cell>
          <cell r="G95">
            <v>12949</v>
          </cell>
          <cell r="H95">
            <v>2932.3333333333335</v>
          </cell>
          <cell r="P95">
            <v>2415</v>
          </cell>
          <cell r="Q95">
            <v>0</v>
          </cell>
          <cell r="R95">
            <v>0</v>
          </cell>
          <cell r="S95">
            <v>26611.272727272728</v>
          </cell>
          <cell r="T95">
            <v>23755.143636363639</v>
          </cell>
          <cell r="U95">
            <v>2849.1290909090908</v>
          </cell>
          <cell r="V95">
            <v>0</v>
          </cell>
          <cell r="W95">
            <v>0</v>
          </cell>
          <cell r="X95">
            <v>28724.81818181818</v>
          </cell>
          <cell r="Y95">
            <v>12781.09756097561</v>
          </cell>
          <cell r="Z95">
            <v>15943.720620842572</v>
          </cell>
          <cell r="AA95">
            <v>0</v>
          </cell>
          <cell r="AB95">
            <v>0</v>
          </cell>
          <cell r="AC95">
            <v>26701</v>
          </cell>
          <cell r="AD95">
            <v>13286.477434679333</v>
          </cell>
          <cell r="AE95">
            <v>13414.522565320667</v>
          </cell>
          <cell r="AF95">
            <v>4066</v>
          </cell>
          <cell r="AG95">
            <v>3063.1</v>
          </cell>
          <cell r="AH95">
            <v>1003.9000000000001</v>
          </cell>
          <cell r="AI95">
            <v>912.66666666666663</v>
          </cell>
          <cell r="AJ95">
            <v>0</v>
          </cell>
          <cell r="AK95">
            <v>105284.85757575756</v>
          </cell>
          <cell r="AL95">
            <v>42411.38422397634</v>
          </cell>
          <cell r="AM95">
            <v>62873.473351781242</v>
          </cell>
          <cell r="AN95">
            <v>26014.574995654941</v>
          </cell>
          <cell r="AO95">
            <v>50672</v>
          </cell>
          <cell r="AP95">
            <v>4082.4311644362028</v>
          </cell>
          <cell r="AQ95">
            <v>10450.475260369414</v>
          </cell>
        </row>
        <row r="96">
          <cell r="F96">
            <v>4589.3333333333321</v>
          </cell>
          <cell r="G96">
            <v>1657</v>
          </cell>
          <cell r="H96">
            <v>2932.3333333333335</v>
          </cell>
          <cell r="P96">
            <v>2415</v>
          </cell>
          <cell r="Q96">
            <v>0</v>
          </cell>
          <cell r="R96">
            <v>0</v>
          </cell>
          <cell r="S96">
            <v>7686.2727272727279</v>
          </cell>
          <cell r="T96">
            <v>4830.1436363636385</v>
          </cell>
          <cell r="U96">
            <v>2849.1290909090908</v>
          </cell>
          <cell r="V96">
            <v>0</v>
          </cell>
          <cell r="W96">
            <v>0</v>
          </cell>
          <cell r="X96">
            <v>2624.8181818181802</v>
          </cell>
          <cell r="Y96">
            <v>815</v>
          </cell>
          <cell r="Z96">
            <v>1809.818181818182</v>
          </cell>
          <cell r="AA96">
            <v>0</v>
          </cell>
          <cell r="AB96">
            <v>0</v>
          </cell>
          <cell r="AC96">
            <v>1950</v>
          </cell>
          <cell r="AD96">
            <v>642</v>
          </cell>
          <cell r="AE96">
            <v>1308</v>
          </cell>
          <cell r="AF96">
            <v>4066</v>
          </cell>
          <cell r="AG96">
            <v>3063.1</v>
          </cell>
          <cell r="AH96">
            <v>1003.9000000000001</v>
          </cell>
          <cell r="AI96">
            <v>912.66666666666663</v>
          </cell>
          <cell r="AJ96">
            <v>0</v>
          </cell>
          <cell r="AK96">
            <v>24216.85757575756</v>
          </cell>
          <cell r="AL96">
            <v>6508.8092283213991</v>
          </cell>
          <cell r="AM96">
            <v>17708.048347436183</v>
          </cell>
          <cell r="AN96">
            <v>1404</v>
          </cell>
          <cell r="AO96">
            <v>5507</v>
          </cell>
          <cell r="AP96">
            <v>4082.4311644362028</v>
          </cell>
          <cell r="AQ96">
            <v>10450.050256024355</v>
          </cell>
        </row>
        <row r="97">
          <cell r="F97">
            <v>424</v>
          </cell>
          <cell r="G97">
            <v>15881.333333333334</v>
          </cell>
          <cell r="P97">
            <v>284</v>
          </cell>
          <cell r="S97">
            <v>2905</v>
          </cell>
          <cell r="X97">
            <v>219</v>
          </cell>
          <cell r="Y97">
            <v>28724.818181818184</v>
          </cell>
          <cell r="AC97">
            <v>199</v>
          </cell>
          <cell r="AD97">
            <v>26701</v>
          </cell>
          <cell r="AF97">
            <v>67.2</v>
          </cell>
          <cell r="AG97">
            <v>67.2</v>
          </cell>
          <cell r="AH97">
            <v>0</v>
          </cell>
          <cell r="AI97">
            <v>54.400000000000006</v>
          </cell>
          <cell r="AJ97">
            <v>0</v>
          </cell>
          <cell r="AK97">
            <v>4174.5999999999995</v>
          </cell>
          <cell r="AL97">
            <v>105284.85757575759</v>
          </cell>
        </row>
        <row r="98">
          <cell r="F98">
            <v>87</v>
          </cell>
          <cell r="P98">
            <v>284</v>
          </cell>
          <cell r="S98">
            <v>2905</v>
          </cell>
          <cell r="X98">
            <v>219</v>
          </cell>
          <cell r="AC98">
            <v>199</v>
          </cell>
          <cell r="AF98">
            <v>67.2</v>
          </cell>
          <cell r="AG98">
            <v>67.2</v>
          </cell>
          <cell r="AH98">
            <v>0</v>
          </cell>
          <cell r="AI98">
            <v>54.400000000000006</v>
          </cell>
          <cell r="AK98">
            <v>3837.6</v>
          </cell>
          <cell r="AL98">
            <v>105284.85757575757</v>
          </cell>
          <cell r="AM98">
            <v>42403.574995654941</v>
          </cell>
        </row>
        <row r="99">
          <cell r="F99">
            <v>0</v>
          </cell>
          <cell r="P99">
            <v>0</v>
          </cell>
          <cell r="X99">
            <v>0</v>
          </cell>
          <cell r="AK99">
            <v>0</v>
          </cell>
        </row>
        <row r="100">
          <cell r="F100">
            <v>337</v>
          </cell>
          <cell r="P100">
            <v>0</v>
          </cell>
          <cell r="S100">
            <v>0</v>
          </cell>
          <cell r="X100">
            <v>0</v>
          </cell>
          <cell r="AC100">
            <v>0</v>
          </cell>
          <cell r="AF100">
            <v>0</v>
          </cell>
          <cell r="AG100">
            <v>0</v>
          </cell>
          <cell r="AH100">
            <v>0</v>
          </cell>
          <cell r="AI100">
            <v>0</v>
          </cell>
          <cell r="AK100">
            <v>337</v>
          </cell>
        </row>
        <row r="101">
          <cell r="P101">
            <v>0</v>
          </cell>
          <cell r="S101">
            <v>0</v>
          </cell>
        </row>
        <row r="102">
          <cell r="S102">
            <v>0</v>
          </cell>
          <cell r="X102">
            <v>0</v>
          </cell>
        </row>
        <row r="104">
          <cell r="AK104">
            <v>0</v>
          </cell>
        </row>
        <row r="105">
          <cell r="AK105">
            <v>0</v>
          </cell>
        </row>
        <row r="106">
          <cell r="F106">
            <v>787</v>
          </cell>
          <cell r="P106">
            <v>0</v>
          </cell>
          <cell r="S106">
            <v>0</v>
          </cell>
          <cell r="X106">
            <v>0</v>
          </cell>
          <cell r="AC106">
            <v>0</v>
          </cell>
          <cell r="AF106">
            <v>0</v>
          </cell>
          <cell r="AG106">
            <v>0</v>
          </cell>
          <cell r="AH106">
            <v>0</v>
          </cell>
          <cell r="AI106">
            <v>0</v>
          </cell>
          <cell r="AK106">
            <v>787</v>
          </cell>
        </row>
        <row r="107">
          <cell r="F107">
            <v>337</v>
          </cell>
          <cell r="S107">
            <v>0</v>
          </cell>
          <cell r="AC107">
            <v>0</v>
          </cell>
          <cell r="AF107">
            <v>0</v>
          </cell>
          <cell r="AG107">
            <v>0</v>
          </cell>
          <cell r="AH107">
            <v>0</v>
          </cell>
          <cell r="AI107">
            <v>0</v>
          </cell>
          <cell r="AK107">
            <v>337</v>
          </cell>
        </row>
        <row r="108">
          <cell r="F108">
            <v>450</v>
          </cell>
          <cell r="P108">
            <v>0</v>
          </cell>
          <cell r="S108">
            <v>0</v>
          </cell>
          <cell r="AC108">
            <v>0</v>
          </cell>
          <cell r="AF108">
            <v>0</v>
          </cell>
          <cell r="AG108">
            <v>0</v>
          </cell>
          <cell r="AH108">
            <v>0</v>
          </cell>
          <cell r="AI108">
            <v>0</v>
          </cell>
          <cell r="AK108">
            <v>450</v>
          </cell>
        </row>
        <row r="109">
          <cell r="F109">
            <v>0</v>
          </cell>
          <cell r="P109">
            <v>0</v>
          </cell>
          <cell r="S109">
            <v>0</v>
          </cell>
          <cell r="X109">
            <v>0</v>
          </cell>
          <cell r="AC109">
            <v>0</v>
          </cell>
          <cell r="AF109">
            <v>0</v>
          </cell>
          <cell r="AG109">
            <v>0</v>
          </cell>
          <cell r="AH109">
            <v>0</v>
          </cell>
          <cell r="AK109">
            <v>0</v>
          </cell>
        </row>
        <row r="110">
          <cell r="F110">
            <v>0</v>
          </cell>
          <cell r="P110">
            <v>0</v>
          </cell>
          <cell r="S110">
            <v>216</v>
          </cell>
          <cell r="X110">
            <v>0</v>
          </cell>
          <cell r="AC110">
            <v>0</v>
          </cell>
          <cell r="AF110">
            <v>0</v>
          </cell>
          <cell r="AG110">
            <v>0</v>
          </cell>
          <cell r="AH110">
            <v>0</v>
          </cell>
          <cell r="AI110">
            <v>64</v>
          </cell>
          <cell r="AK110">
            <v>280</v>
          </cell>
        </row>
        <row r="111">
          <cell r="F111">
            <v>0</v>
          </cell>
          <cell r="P111">
            <v>0</v>
          </cell>
          <cell r="S111">
            <v>216</v>
          </cell>
          <cell r="AC111">
            <v>0</v>
          </cell>
          <cell r="AF111">
            <v>0</v>
          </cell>
          <cell r="AG111">
            <v>0</v>
          </cell>
          <cell r="AH111">
            <v>0</v>
          </cell>
          <cell r="AI111">
            <v>64</v>
          </cell>
          <cell r="AK111">
            <v>280</v>
          </cell>
        </row>
        <row r="112">
          <cell r="F112">
            <v>0</v>
          </cell>
          <cell r="P112">
            <v>0</v>
          </cell>
          <cell r="S112">
            <v>0</v>
          </cell>
          <cell r="X112">
            <v>0</v>
          </cell>
          <cell r="AC112">
            <v>0</v>
          </cell>
          <cell r="AF112">
            <v>0</v>
          </cell>
          <cell r="AG112">
            <v>0</v>
          </cell>
          <cell r="AH112">
            <v>0</v>
          </cell>
          <cell r="AK112">
            <v>0</v>
          </cell>
        </row>
        <row r="113">
          <cell r="F113">
            <v>0</v>
          </cell>
          <cell r="P113">
            <v>0</v>
          </cell>
          <cell r="S113">
            <v>331</v>
          </cell>
          <cell r="AC113">
            <v>0</v>
          </cell>
          <cell r="AG113">
            <v>0</v>
          </cell>
          <cell r="AH113">
            <v>0</v>
          </cell>
          <cell r="AK113">
            <v>331</v>
          </cell>
          <cell r="AM113">
            <v>0</v>
          </cell>
        </row>
        <row r="114">
          <cell r="F114">
            <v>0</v>
          </cell>
          <cell r="P114">
            <v>0</v>
          </cell>
          <cell r="S114">
            <v>331</v>
          </cell>
          <cell r="AH114">
            <v>0</v>
          </cell>
          <cell r="AK114">
            <v>331</v>
          </cell>
        </row>
        <row r="115">
          <cell r="F115">
            <v>0</v>
          </cell>
          <cell r="P115">
            <v>0</v>
          </cell>
          <cell r="S115">
            <v>0</v>
          </cell>
          <cell r="AC115">
            <v>0</v>
          </cell>
          <cell r="AG115">
            <v>0</v>
          </cell>
          <cell r="AH115">
            <v>0</v>
          </cell>
          <cell r="AK115">
            <v>0</v>
          </cell>
          <cell r="AL115">
            <v>0</v>
          </cell>
          <cell r="AM115">
            <v>0</v>
          </cell>
        </row>
        <row r="116">
          <cell r="P116">
            <v>0</v>
          </cell>
          <cell r="S116">
            <v>0</v>
          </cell>
          <cell r="AC116">
            <v>0</v>
          </cell>
          <cell r="AG116">
            <v>0</v>
          </cell>
          <cell r="AH116">
            <v>0</v>
          </cell>
          <cell r="AK116">
            <v>0</v>
          </cell>
        </row>
        <row r="117">
          <cell r="F117">
            <v>0</v>
          </cell>
          <cell r="P117">
            <v>0</v>
          </cell>
          <cell r="S117">
            <v>0</v>
          </cell>
          <cell r="AC117">
            <v>0</v>
          </cell>
          <cell r="AF117">
            <v>0</v>
          </cell>
          <cell r="AG117">
            <v>0</v>
          </cell>
          <cell r="AH117">
            <v>0</v>
          </cell>
          <cell r="AK117">
            <v>0</v>
          </cell>
        </row>
        <row r="118">
          <cell r="P118">
            <v>0</v>
          </cell>
          <cell r="X118">
            <v>0</v>
          </cell>
          <cell r="AC118">
            <v>0</v>
          </cell>
          <cell r="AG118">
            <v>0</v>
          </cell>
          <cell r="AH118">
            <v>0</v>
          </cell>
          <cell r="AK118">
            <v>0</v>
          </cell>
        </row>
        <row r="119">
          <cell r="F119">
            <v>250.66666666666666</v>
          </cell>
          <cell r="AK119">
            <v>250.66666666666666</v>
          </cell>
        </row>
        <row r="120">
          <cell r="S120">
            <v>0</v>
          </cell>
          <cell r="X120">
            <v>0</v>
          </cell>
          <cell r="AF120">
            <v>0</v>
          </cell>
          <cell r="AK120">
            <v>0</v>
          </cell>
        </row>
        <row r="121">
          <cell r="F121">
            <v>8992</v>
          </cell>
          <cell r="AK121">
            <v>8992</v>
          </cell>
        </row>
        <row r="122">
          <cell r="AK122">
            <v>0</v>
          </cell>
        </row>
        <row r="123">
          <cell r="AK123">
            <v>-4642</v>
          </cell>
          <cell r="AL123">
            <v>-12062.791969696958</v>
          </cell>
        </row>
        <row r="124">
          <cell r="F124">
            <v>0</v>
          </cell>
        </row>
        <row r="125">
          <cell r="F125">
            <v>10029.666666666666</v>
          </cell>
          <cell r="G125">
            <v>0</v>
          </cell>
          <cell r="H125">
            <v>0</v>
          </cell>
          <cell r="P125">
            <v>0</v>
          </cell>
          <cell r="Q125">
            <v>0</v>
          </cell>
          <cell r="R125">
            <v>0</v>
          </cell>
          <cell r="S125">
            <v>547</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64</v>
          </cell>
          <cell r="AJ125">
            <v>0</v>
          </cell>
          <cell r="AK125">
            <v>10640.666666666666</v>
          </cell>
          <cell r="AN125">
            <v>0</v>
          </cell>
          <cell r="AO125">
            <v>0</v>
          </cell>
          <cell r="AP125">
            <v>0</v>
          </cell>
          <cell r="AQ125">
            <v>0</v>
          </cell>
        </row>
        <row r="126">
          <cell r="F126">
            <v>10029.666666666666</v>
          </cell>
          <cell r="G126">
            <v>0</v>
          </cell>
          <cell r="H126">
            <v>0</v>
          </cell>
          <cell r="P126">
            <v>0</v>
          </cell>
          <cell r="S126">
            <v>547</v>
          </cell>
          <cell r="X126">
            <v>0</v>
          </cell>
          <cell r="Y126">
            <v>0</v>
          </cell>
          <cell r="Z126">
            <v>0</v>
          </cell>
          <cell r="AC126">
            <v>0</v>
          </cell>
          <cell r="AD126">
            <v>0</v>
          </cell>
          <cell r="AE126">
            <v>0</v>
          </cell>
          <cell r="AF126">
            <v>0</v>
          </cell>
          <cell r="AG126">
            <v>0</v>
          </cell>
          <cell r="AH126">
            <v>0</v>
          </cell>
          <cell r="AI126">
            <v>64</v>
          </cell>
          <cell r="AJ126">
            <v>0</v>
          </cell>
          <cell r="AK126">
            <v>5998.6666666666661</v>
          </cell>
        </row>
        <row r="127">
          <cell r="AK127">
            <v>-1422.1253030302919</v>
          </cell>
          <cell r="AL127">
            <v>10640.666666666666</v>
          </cell>
        </row>
        <row r="128">
          <cell r="AK128">
            <v>-1422.1253030302919</v>
          </cell>
        </row>
        <row r="129">
          <cell r="AK129">
            <v>-2031.60757575756</v>
          </cell>
          <cell r="AL129">
            <v>3974.6157760236601</v>
          </cell>
          <cell r="AM129">
            <v>-6871.4733517812419</v>
          </cell>
        </row>
        <row r="131">
          <cell r="AK131">
            <v>-609.48227272726797</v>
          </cell>
          <cell r="AN131">
            <v>0</v>
          </cell>
        </row>
        <row r="134">
          <cell r="AK134">
            <v>56002</v>
          </cell>
          <cell r="AM134">
            <v>56002</v>
          </cell>
          <cell r="AN134">
            <v>0</v>
          </cell>
          <cell r="AP134">
            <v>0</v>
          </cell>
        </row>
        <row r="135">
          <cell r="AK135">
            <v>-6871.4733517812419</v>
          </cell>
          <cell r="AN135">
            <v>0</v>
          </cell>
        </row>
        <row r="136">
          <cell r="AK136">
            <v>35.44</v>
          </cell>
          <cell r="AN136" t="e">
            <v>#DIV/0!</v>
          </cell>
        </row>
        <row r="137">
          <cell r="AK137">
            <v>39.79</v>
          </cell>
          <cell r="AN137" t="e">
            <v>#DIV/0!</v>
          </cell>
        </row>
        <row r="138">
          <cell r="AK138">
            <v>0</v>
          </cell>
          <cell r="AN138">
            <v>0</v>
          </cell>
        </row>
        <row r="140">
          <cell r="AK140">
            <v>10.96</v>
          </cell>
          <cell r="AN140" t="e">
            <v>#DIV/0!</v>
          </cell>
        </row>
        <row r="142">
          <cell r="AJ142">
            <v>0</v>
          </cell>
          <cell r="AK142">
            <v>10.72</v>
          </cell>
          <cell r="AN142" t="e">
            <v>#DIV/0!</v>
          </cell>
        </row>
        <row r="143">
          <cell r="AK143">
            <v>43363</v>
          </cell>
          <cell r="AL143">
            <v>43363</v>
          </cell>
        </row>
        <row r="145">
          <cell r="AJ145">
            <v>300</v>
          </cell>
        </row>
        <row r="146">
          <cell r="AK146">
            <v>15200.952380952382</v>
          </cell>
          <cell r="AL146">
            <v>-42411.38422397634</v>
          </cell>
          <cell r="AM146">
            <v>-62873.473351781242</v>
          </cell>
        </row>
        <row r="147">
          <cell r="S147">
            <v>0</v>
          </cell>
          <cell r="AK147">
            <v>865.25</v>
          </cell>
        </row>
        <row r="149">
          <cell r="AJ149">
            <v>0</v>
          </cell>
          <cell r="AK149">
            <v>99365</v>
          </cell>
          <cell r="AL149">
            <v>43363</v>
          </cell>
          <cell r="AM149">
            <v>56002</v>
          </cell>
          <cell r="AN149">
            <v>0</v>
          </cell>
        </row>
        <row r="150">
          <cell r="AK150">
            <v>0</v>
          </cell>
        </row>
        <row r="151">
          <cell r="AK151">
            <v>102388</v>
          </cell>
          <cell r="AL151">
            <v>46386</v>
          </cell>
          <cell r="AM151">
            <v>56002</v>
          </cell>
        </row>
        <row r="152">
          <cell r="AK152">
            <v>0</v>
          </cell>
          <cell r="AN152">
            <v>1404</v>
          </cell>
          <cell r="AO152">
            <v>5507</v>
          </cell>
          <cell r="AP152">
            <v>4082.4311644362028</v>
          </cell>
          <cell r="AQ152">
            <v>10450.050256024355</v>
          </cell>
        </row>
        <row r="153">
          <cell r="AK153">
            <v>-1.9</v>
          </cell>
          <cell r="AL153">
            <v>9.4</v>
          </cell>
          <cell r="AM153">
            <v>-10.9</v>
          </cell>
        </row>
        <row r="154">
          <cell r="AK154">
            <v>14.437928426710897</v>
          </cell>
          <cell r="AL154">
            <v>-100</v>
          </cell>
          <cell r="AM154">
            <v>-100</v>
          </cell>
        </row>
        <row r="155">
          <cell r="AL155">
            <v>0</v>
          </cell>
          <cell r="AM155">
            <v>0</v>
          </cell>
        </row>
        <row r="157">
          <cell r="F157">
            <v>0</v>
          </cell>
          <cell r="P157">
            <v>0</v>
          </cell>
          <cell r="S157">
            <v>0</v>
          </cell>
          <cell r="X157">
            <v>0</v>
          </cell>
          <cell r="AC157">
            <v>0</v>
          </cell>
          <cell r="AI157">
            <v>0</v>
          </cell>
          <cell r="AJ157">
            <v>142</v>
          </cell>
          <cell r="AK157">
            <v>0</v>
          </cell>
        </row>
        <row r="158">
          <cell r="F158">
            <v>542</v>
          </cell>
          <cell r="P158">
            <v>353</v>
          </cell>
          <cell r="S158">
            <v>873</v>
          </cell>
          <cell r="X158">
            <v>638</v>
          </cell>
          <cell r="AC158">
            <v>449</v>
          </cell>
          <cell r="AF158">
            <v>260</v>
          </cell>
          <cell r="AG158">
            <v>260</v>
          </cell>
          <cell r="AH158">
            <v>0</v>
          </cell>
          <cell r="AK158">
            <v>3115</v>
          </cell>
        </row>
        <row r="159">
          <cell r="F159">
            <v>542</v>
          </cell>
          <cell r="P159">
            <v>169</v>
          </cell>
          <cell r="S159">
            <v>315</v>
          </cell>
          <cell r="X159">
            <v>320</v>
          </cell>
          <cell r="AC159">
            <v>231</v>
          </cell>
          <cell r="AF159">
            <v>67.2</v>
          </cell>
          <cell r="AG159">
            <v>67.2</v>
          </cell>
          <cell r="AH159">
            <v>0</v>
          </cell>
          <cell r="AK159">
            <v>1577</v>
          </cell>
        </row>
        <row r="160">
          <cell r="F160">
            <v>542</v>
          </cell>
          <cell r="P160">
            <v>56</v>
          </cell>
          <cell r="S160">
            <v>190.4</v>
          </cell>
          <cell r="X160">
            <v>101.36000000000001</v>
          </cell>
          <cell r="AC160">
            <v>72.8</v>
          </cell>
          <cell r="AF160">
            <v>56</v>
          </cell>
          <cell r="AG160">
            <v>56</v>
          </cell>
          <cell r="AH160">
            <v>0</v>
          </cell>
          <cell r="AI160">
            <v>436.44</v>
          </cell>
          <cell r="AK160">
            <v>1455</v>
          </cell>
        </row>
        <row r="161">
          <cell r="AK161">
            <v>0</v>
          </cell>
        </row>
        <row r="162">
          <cell r="AK162">
            <v>0</v>
          </cell>
        </row>
        <row r="163">
          <cell r="F163">
            <v>14.170833333333334</v>
          </cell>
          <cell r="AK163">
            <v>14.170833333333334</v>
          </cell>
        </row>
        <row r="164">
          <cell r="P164">
            <v>70</v>
          </cell>
          <cell r="S164">
            <v>408.72727272727275</v>
          </cell>
          <cell r="X164">
            <v>278.18181818181819</v>
          </cell>
          <cell r="AC164">
            <v>199</v>
          </cell>
          <cell r="AG164">
            <v>121</v>
          </cell>
          <cell r="AK164">
            <v>955.90909090909099</v>
          </cell>
        </row>
        <row r="165">
          <cell r="F165">
            <v>83</v>
          </cell>
          <cell r="S165">
            <v>464.27272727272725</v>
          </cell>
          <cell r="X165">
            <v>359.81818181818181</v>
          </cell>
          <cell r="AC165">
            <v>250</v>
          </cell>
          <cell r="AK165">
            <v>1157.090909090909</v>
          </cell>
        </row>
        <row r="166">
          <cell r="S166">
            <v>873</v>
          </cell>
          <cell r="X166">
            <v>638</v>
          </cell>
          <cell r="AC166">
            <v>449</v>
          </cell>
        </row>
        <row r="167">
          <cell r="F167">
            <v>459</v>
          </cell>
          <cell r="P167">
            <v>0</v>
          </cell>
          <cell r="S167">
            <v>0</v>
          </cell>
          <cell r="X167">
            <v>0</v>
          </cell>
          <cell r="AC167">
            <v>0</v>
          </cell>
          <cell r="AK167">
            <v>459</v>
          </cell>
        </row>
        <row r="168">
          <cell r="S168">
            <v>0</v>
          </cell>
          <cell r="X168">
            <v>0</v>
          </cell>
          <cell r="AC168">
            <v>0</v>
          </cell>
          <cell r="AF168">
            <v>0</v>
          </cell>
          <cell r="AG168">
            <v>0</v>
          </cell>
          <cell r="AH168">
            <v>0</v>
          </cell>
          <cell r="AK168">
            <v>0</v>
          </cell>
        </row>
        <row r="169">
          <cell r="F169">
            <v>424</v>
          </cell>
          <cell r="G169">
            <v>15881.333333333334</v>
          </cell>
          <cell r="H169">
            <v>0</v>
          </cell>
          <cell r="P169">
            <v>284</v>
          </cell>
          <cell r="Q169">
            <v>0</v>
          </cell>
          <cell r="R169">
            <v>0</v>
          </cell>
          <cell r="S169">
            <v>3452</v>
          </cell>
          <cell r="T169">
            <v>0</v>
          </cell>
          <cell r="U169">
            <v>0</v>
          </cell>
          <cell r="V169">
            <v>0</v>
          </cell>
          <cell r="W169">
            <v>0</v>
          </cell>
          <cell r="X169">
            <v>219</v>
          </cell>
          <cell r="Y169">
            <v>28724.818181818184</v>
          </cell>
          <cell r="Z169">
            <v>0</v>
          </cell>
          <cell r="AA169">
            <v>0</v>
          </cell>
          <cell r="AB169">
            <v>0</v>
          </cell>
          <cell r="AC169">
            <v>199</v>
          </cell>
          <cell r="AD169">
            <v>26701</v>
          </cell>
          <cell r="AE169">
            <v>0</v>
          </cell>
          <cell r="AF169">
            <v>67.2</v>
          </cell>
          <cell r="AG169">
            <v>67.2</v>
          </cell>
          <cell r="AH169">
            <v>0</v>
          </cell>
          <cell r="AI169">
            <v>118.4</v>
          </cell>
          <cell r="AJ169">
            <v>0</v>
          </cell>
          <cell r="AK169">
            <v>4785.5999999999995</v>
          </cell>
        </row>
        <row r="170">
          <cell r="F170">
            <v>424</v>
          </cell>
          <cell r="G170">
            <v>15881.333333333334</v>
          </cell>
          <cell r="H170">
            <v>0</v>
          </cell>
          <cell r="P170">
            <v>284</v>
          </cell>
          <cell r="Q170">
            <v>0</v>
          </cell>
          <cell r="R170">
            <v>0</v>
          </cell>
          <cell r="S170">
            <v>3121</v>
          </cell>
          <cell r="T170">
            <v>0</v>
          </cell>
          <cell r="U170">
            <v>0</v>
          </cell>
          <cell r="V170">
            <v>0</v>
          </cell>
          <cell r="W170">
            <v>0</v>
          </cell>
          <cell r="X170">
            <v>219</v>
          </cell>
          <cell r="Y170">
            <v>28724.818181818184</v>
          </cell>
          <cell r="Z170">
            <v>0</v>
          </cell>
          <cell r="AA170">
            <v>0</v>
          </cell>
          <cell r="AB170">
            <v>0</v>
          </cell>
          <cell r="AC170">
            <v>199</v>
          </cell>
          <cell r="AD170">
            <v>26701</v>
          </cell>
          <cell r="AE170">
            <v>0</v>
          </cell>
          <cell r="AF170">
            <v>67.2</v>
          </cell>
          <cell r="AG170">
            <v>67.2</v>
          </cell>
          <cell r="AH170">
            <v>0</v>
          </cell>
          <cell r="AI170">
            <v>118.4</v>
          </cell>
          <cell r="AJ170">
            <v>0</v>
          </cell>
          <cell r="AK170">
            <v>4454.5999999999995</v>
          </cell>
        </row>
        <row r="171">
          <cell r="F171">
            <v>0</v>
          </cell>
          <cell r="G171">
            <v>0</v>
          </cell>
          <cell r="H171">
            <v>0</v>
          </cell>
          <cell r="P171">
            <v>0</v>
          </cell>
          <cell r="R171">
            <v>0</v>
          </cell>
          <cell r="S171">
            <v>331</v>
          </cell>
          <cell r="T171">
            <v>0</v>
          </cell>
          <cell r="U171">
            <v>0</v>
          </cell>
          <cell r="V171">
            <v>0</v>
          </cell>
          <cell r="W171">
            <v>0</v>
          </cell>
          <cell r="X171">
            <v>0</v>
          </cell>
          <cell r="Y171">
            <v>0</v>
          </cell>
          <cell r="Z171">
            <v>0</v>
          </cell>
          <cell r="AA171">
            <v>0</v>
          </cell>
          <cell r="AB171">
            <v>0</v>
          </cell>
          <cell r="AC171">
            <v>0</v>
          </cell>
          <cell r="AE171">
            <v>0</v>
          </cell>
          <cell r="AF171">
            <v>0</v>
          </cell>
          <cell r="AG171">
            <v>0</v>
          </cell>
          <cell r="AH171">
            <v>0</v>
          </cell>
          <cell r="AI171">
            <v>0</v>
          </cell>
          <cell r="AJ171">
            <v>0</v>
          </cell>
          <cell r="AK171">
            <v>331</v>
          </cell>
        </row>
        <row r="172">
          <cell r="F172">
            <v>0</v>
          </cell>
          <cell r="AG172">
            <v>0</v>
          </cell>
          <cell r="AK172">
            <v>0</v>
          </cell>
        </row>
        <row r="173">
          <cell r="AK173">
            <v>0</v>
          </cell>
        </row>
        <row r="174">
          <cell r="F174">
            <v>8992</v>
          </cell>
          <cell r="AK174">
            <v>8992</v>
          </cell>
        </row>
        <row r="175">
          <cell r="F175">
            <v>384</v>
          </cell>
          <cell r="P175">
            <v>726</v>
          </cell>
          <cell r="Q175">
            <v>0</v>
          </cell>
          <cell r="R175">
            <v>0</v>
          </cell>
          <cell r="S175">
            <v>1685</v>
          </cell>
          <cell r="T175">
            <v>625.85363636363627</v>
          </cell>
          <cell r="U175">
            <v>650.41909090909098</v>
          </cell>
          <cell r="V175">
            <v>0</v>
          </cell>
          <cell r="W175">
            <v>0</v>
          </cell>
          <cell r="X175">
            <v>653</v>
          </cell>
          <cell r="AA175">
            <v>0</v>
          </cell>
          <cell r="AB175">
            <v>0</v>
          </cell>
          <cell r="AC175">
            <v>542</v>
          </cell>
          <cell r="AF175">
            <v>1440</v>
          </cell>
          <cell r="AG175">
            <v>1281</v>
          </cell>
          <cell r="AH175">
            <v>159</v>
          </cell>
          <cell r="AJ175">
            <v>0</v>
          </cell>
          <cell r="AK175">
            <v>5605</v>
          </cell>
          <cell r="AN175">
            <v>176</v>
          </cell>
          <cell r="AO175">
            <v>699</v>
          </cell>
          <cell r="AP175">
            <v>871.13269689737467</v>
          </cell>
          <cell r="AQ175">
            <v>2007.9582121935346</v>
          </cell>
        </row>
        <row r="176">
          <cell r="F176">
            <v>0</v>
          </cell>
          <cell r="G176">
            <v>0</v>
          </cell>
          <cell r="H176">
            <v>0</v>
          </cell>
          <cell r="P176">
            <v>70</v>
          </cell>
          <cell r="Q176">
            <v>0</v>
          </cell>
          <cell r="R176">
            <v>0</v>
          </cell>
          <cell r="S176">
            <v>408.72727272727275</v>
          </cell>
          <cell r="T176">
            <v>0</v>
          </cell>
          <cell r="U176">
            <v>0</v>
          </cell>
          <cell r="V176">
            <v>0</v>
          </cell>
          <cell r="W176">
            <v>0</v>
          </cell>
          <cell r="X176">
            <v>278.18181818181819</v>
          </cell>
          <cell r="Y176">
            <v>86</v>
          </cell>
          <cell r="Z176">
            <v>192.18181818181819</v>
          </cell>
          <cell r="AA176">
            <v>0</v>
          </cell>
          <cell r="AB176">
            <v>0</v>
          </cell>
          <cell r="AC176">
            <v>199</v>
          </cell>
          <cell r="AD176">
            <v>65</v>
          </cell>
          <cell r="AE176">
            <v>134</v>
          </cell>
          <cell r="AF176">
            <v>121</v>
          </cell>
          <cell r="AG176">
            <v>121</v>
          </cell>
          <cell r="AH176">
            <v>0</v>
          </cell>
        </row>
        <row r="177">
          <cell r="F177">
            <v>18.666666666666664</v>
          </cell>
          <cell r="P177">
            <v>61</v>
          </cell>
          <cell r="Q177">
            <v>0</v>
          </cell>
          <cell r="R177">
            <v>0</v>
          </cell>
          <cell r="S177">
            <v>28</v>
          </cell>
          <cell r="T177">
            <v>21</v>
          </cell>
          <cell r="U177">
            <v>0</v>
          </cell>
          <cell r="V177">
            <v>0</v>
          </cell>
          <cell r="W177">
            <v>0</v>
          </cell>
          <cell r="X177">
            <v>494</v>
          </cell>
          <cell r="AA177">
            <v>0</v>
          </cell>
          <cell r="AB177">
            <v>0</v>
          </cell>
          <cell r="AC177">
            <v>41</v>
          </cell>
          <cell r="AF177">
            <v>15</v>
          </cell>
          <cell r="AG177">
            <v>14</v>
          </cell>
          <cell r="AH177">
            <v>1</v>
          </cell>
          <cell r="AI177">
            <v>0</v>
          </cell>
          <cell r="AJ177">
            <v>0</v>
          </cell>
          <cell r="AK177">
            <v>47.18439393939866</v>
          </cell>
          <cell r="AN177">
            <v>172</v>
          </cell>
          <cell r="AO177">
            <v>372</v>
          </cell>
          <cell r="AP177">
            <v>65</v>
          </cell>
          <cell r="AQ177">
            <v>47.666666666666657</v>
          </cell>
        </row>
        <row r="180">
          <cell r="F180">
            <v>1912.6666666666656</v>
          </cell>
          <cell r="P180">
            <v>759</v>
          </cell>
          <cell r="S180">
            <v>4214.0000000000009</v>
          </cell>
          <cell r="X180">
            <v>502.99999999999835</v>
          </cell>
          <cell r="AC180">
            <v>383</v>
          </cell>
          <cell r="AF180">
            <v>1919</v>
          </cell>
          <cell r="AG180">
            <v>1091.0999999999999</v>
          </cell>
          <cell r="AH180">
            <v>827.90000000000009</v>
          </cell>
          <cell r="AO180">
            <v>1507.2</v>
          </cell>
        </row>
        <row r="181">
          <cell r="AN181" t="str">
            <v>ОЧИК.18.02.</v>
          </cell>
        </row>
        <row r="184">
          <cell r="F184" t="str">
            <v>АПАРАТ ВСЬОГО</v>
          </cell>
          <cell r="G184" t="str">
            <v>АПАРАТ ЕЛЕКТРО</v>
          </cell>
          <cell r="H184" t="str">
            <v>АПАРАТ ТЕПЛО</v>
          </cell>
          <cell r="P184" t="str">
            <v>ККМ</v>
          </cell>
          <cell r="S184" t="str">
            <v>КТМ</v>
          </cell>
          <cell r="X184" t="str">
            <v>ТЕЦ-5 ВСЬОГО</v>
          </cell>
          <cell r="Y184" t="str">
            <v>Е/Е</v>
          </cell>
          <cell r="Z184" t="str">
            <v xml:space="preserve"> Т/Е</v>
          </cell>
          <cell r="AC184" t="str">
            <v>ТЕЦ-6 ВСЬОГО</v>
          </cell>
          <cell r="AD184" t="str">
            <v>Е/Е</v>
          </cell>
          <cell r="AE184" t="str">
            <v xml:space="preserve"> Т/Е</v>
          </cell>
          <cell r="AF184" t="str">
            <v>Е/Е</v>
          </cell>
          <cell r="AG184" t="str">
            <v xml:space="preserve"> Т/Е</v>
          </cell>
          <cell r="AI184" t="str">
            <v xml:space="preserve">ДОП.ВИР. </v>
          </cell>
          <cell r="AJ184" t="str">
            <v>ДОП.ВИР. СТ.ОРГ.</v>
          </cell>
          <cell r="AK184" t="str">
            <v>АК КЕ ВСЬОГО</v>
          </cell>
          <cell r="AL184" t="str">
            <v>Е/Е</v>
          </cell>
          <cell r="AM184" t="str">
            <v xml:space="preserve"> Т/Е</v>
          </cell>
          <cell r="AN184" t="str">
            <v>СТАНЦІї ЕЛЕКТРО</v>
          </cell>
          <cell r="AO184" t="str">
            <v>СТАНЦІІ ТЕПЛОВІ</v>
          </cell>
          <cell r="AP184" t="str">
            <v>МЕРЕЖІ ЕЛЕКТРО</v>
          </cell>
          <cell r="AQ184" t="str">
            <v>МЕРЕЖІ ТЕПЛОВІ</v>
          </cell>
        </row>
        <row r="187">
          <cell r="S187">
            <v>97.3</v>
          </cell>
          <cell r="X187">
            <v>89.2</v>
          </cell>
          <cell r="AC187">
            <v>73.2</v>
          </cell>
          <cell r="AK187">
            <v>259.7</v>
          </cell>
          <cell r="AN187">
            <v>221.49122807017542</v>
          </cell>
        </row>
        <row r="188">
          <cell r="S188">
            <v>111.9</v>
          </cell>
          <cell r="X188">
            <v>102.5</v>
          </cell>
          <cell r="AC188">
            <v>84.2</v>
          </cell>
          <cell r="AK188">
            <v>298.60000000000002</v>
          </cell>
          <cell r="AN188">
            <v>252.49999999999997</v>
          </cell>
        </row>
        <row r="189">
          <cell r="P189">
            <v>0</v>
          </cell>
          <cell r="S189">
            <v>0</v>
          </cell>
          <cell r="X189">
            <v>0</v>
          </cell>
          <cell r="AC189">
            <v>0</v>
          </cell>
          <cell r="AN189">
            <v>66</v>
          </cell>
        </row>
        <row r="190">
          <cell r="P190">
            <v>0</v>
          </cell>
          <cell r="S190">
            <v>194.5</v>
          </cell>
          <cell r="X190">
            <v>194.5</v>
          </cell>
          <cell r="AC190">
            <v>194.5</v>
          </cell>
          <cell r="AK190">
            <v>194.5</v>
          </cell>
          <cell r="AN190">
            <v>0</v>
          </cell>
        </row>
        <row r="191">
          <cell r="S191">
            <v>18925</v>
          </cell>
          <cell r="X191">
            <v>17350</v>
          </cell>
          <cell r="AC191">
            <v>14237</v>
          </cell>
          <cell r="AK191">
            <v>50512</v>
          </cell>
          <cell r="AN191">
            <v>0</v>
          </cell>
        </row>
        <row r="192">
          <cell r="AK192">
            <v>50512</v>
          </cell>
        </row>
        <row r="193">
          <cell r="X193">
            <v>0</v>
          </cell>
          <cell r="AC193">
            <v>0</v>
          </cell>
          <cell r="AK193">
            <v>0</v>
          </cell>
        </row>
        <row r="194">
          <cell r="X194">
            <v>0</v>
          </cell>
          <cell r="AC194">
            <v>0</v>
          </cell>
          <cell r="AK194">
            <v>0</v>
          </cell>
        </row>
        <row r="195">
          <cell r="X195">
            <v>82.5</v>
          </cell>
          <cell r="AC195">
            <v>82.5</v>
          </cell>
        </row>
        <row r="196">
          <cell r="X196">
            <v>0</v>
          </cell>
          <cell r="AC196">
            <v>0</v>
          </cell>
          <cell r="AK196">
            <v>0</v>
          </cell>
        </row>
        <row r="197">
          <cell r="S197">
            <v>0</v>
          </cell>
          <cell r="X197">
            <v>0</v>
          </cell>
          <cell r="AC197">
            <v>0</v>
          </cell>
          <cell r="AK197">
            <v>0</v>
          </cell>
        </row>
        <row r="199">
          <cell r="X199">
            <v>13.4</v>
          </cell>
          <cell r="AC199">
            <v>16.100000000000001</v>
          </cell>
          <cell r="AK199">
            <v>29.5</v>
          </cell>
          <cell r="AN199">
            <v>75.839416058394164</v>
          </cell>
        </row>
        <row r="200">
          <cell r="X200">
            <v>18.5</v>
          </cell>
          <cell r="AC200">
            <v>22.2</v>
          </cell>
          <cell r="AK200">
            <v>40.700000000000003</v>
          </cell>
          <cell r="AN200">
            <v>103.9</v>
          </cell>
        </row>
        <row r="201">
          <cell r="F201">
            <v>75</v>
          </cell>
          <cell r="P201">
            <v>75</v>
          </cell>
          <cell r="AJ201">
            <v>0</v>
          </cell>
          <cell r="AN201" t="e">
            <v>#DIV/0!</v>
          </cell>
          <cell r="AQ201">
            <v>75</v>
          </cell>
        </row>
        <row r="202">
          <cell r="S202">
            <v>653</v>
          </cell>
          <cell r="X202">
            <v>653</v>
          </cell>
          <cell r="AC202">
            <v>653</v>
          </cell>
          <cell r="AK202">
            <v>653</v>
          </cell>
          <cell r="AN202">
            <v>195.28</v>
          </cell>
        </row>
        <row r="203">
          <cell r="S203">
            <v>0</v>
          </cell>
          <cell r="X203">
            <v>8750</v>
          </cell>
          <cell r="AC203">
            <v>10514</v>
          </cell>
          <cell r="AK203">
            <v>19264</v>
          </cell>
          <cell r="AN203">
            <v>14810</v>
          </cell>
        </row>
        <row r="204">
          <cell r="AK204">
            <v>19264</v>
          </cell>
        </row>
        <row r="205">
          <cell r="S205">
            <v>111.9</v>
          </cell>
          <cell r="X205">
            <v>121</v>
          </cell>
          <cell r="Y205">
            <v>37.5</v>
          </cell>
          <cell r="Z205">
            <v>83.5</v>
          </cell>
          <cell r="AC205">
            <v>106.4</v>
          </cell>
          <cell r="AD205">
            <v>34.799999999999997</v>
          </cell>
          <cell r="AE205">
            <v>71.600000000000009</v>
          </cell>
          <cell r="AK205">
            <v>339.3</v>
          </cell>
          <cell r="AL205">
            <v>72.3</v>
          </cell>
          <cell r="AM205">
            <v>267</v>
          </cell>
          <cell r="AN205">
            <v>356.4</v>
          </cell>
          <cell r="AO205">
            <v>74.900000000000006</v>
          </cell>
          <cell r="AP205">
            <v>281.5</v>
          </cell>
        </row>
        <row r="206">
          <cell r="S206">
            <v>18925</v>
          </cell>
          <cell r="X206">
            <v>26100</v>
          </cell>
          <cell r="Y206">
            <v>11966.09756097561</v>
          </cell>
          <cell r="Z206">
            <v>14133.90243902439</v>
          </cell>
          <cell r="AA206">
            <v>14133.90243902439</v>
          </cell>
          <cell r="AC206">
            <v>24751</v>
          </cell>
          <cell r="AD206">
            <v>12644.477434679333</v>
          </cell>
          <cell r="AE206">
            <v>12106.522565320667</v>
          </cell>
          <cell r="AK206">
            <v>69776</v>
          </cell>
          <cell r="AL206">
            <v>24610.574995654941</v>
          </cell>
          <cell r="AM206">
            <v>45165.425004345059</v>
          </cell>
          <cell r="AN206">
            <v>14810</v>
          </cell>
          <cell r="AO206">
            <v>3112.427048260382</v>
          </cell>
          <cell r="AP206">
            <v>11697.572951739618</v>
          </cell>
        </row>
        <row r="207">
          <cell r="S207">
            <v>169.12</v>
          </cell>
          <cell r="X207">
            <v>215.7</v>
          </cell>
          <cell r="Y207">
            <v>319.10000000000002</v>
          </cell>
          <cell r="Z207">
            <v>169.27</v>
          </cell>
          <cell r="AC207">
            <v>232.62</v>
          </cell>
          <cell r="AD207">
            <v>363.35</v>
          </cell>
          <cell r="AE207">
            <v>169.09</v>
          </cell>
          <cell r="AI207">
            <v>0</v>
          </cell>
          <cell r="AJ207">
            <v>0</v>
          </cell>
          <cell r="AK207">
            <v>205.65</v>
          </cell>
          <cell r="AL207">
            <v>340.4</v>
          </cell>
          <cell r="AM207">
            <v>169.16</v>
          </cell>
          <cell r="AN207">
            <v>41.55</v>
          </cell>
          <cell r="AO207">
            <v>41.55</v>
          </cell>
          <cell r="AP207">
            <v>41.55</v>
          </cell>
          <cell r="AQ207">
            <v>0</v>
          </cell>
        </row>
        <row r="208">
          <cell r="AM208">
            <v>0</v>
          </cell>
          <cell r="AN208">
            <v>52</v>
          </cell>
          <cell r="AO208">
            <v>52</v>
          </cell>
        </row>
        <row r="209">
          <cell r="X209">
            <v>26100</v>
          </cell>
          <cell r="AC209">
            <v>24751</v>
          </cell>
          <cell r="AK209">
            <v>69776</v>
          </cell>
          <cell r="AL209">
            <v>24610.574995654941</v>
          </cell>
          <cell r="AM209">
            <v>45165.425004345059</v>
          </cell>
          <cell r="AN209">
            <v>14862</v>
          </cell>
          <cell r="AO209">
            <v>3164.427048260382</v>
          </cell>
          <cell r="AP209">
            <v>11697.572951739618</v>
          </cell>
        </row>
        <row r="211">
          <cell r="AK211">
            <v>69776</v>
          </cell>
        </row>
        <row r="218">
          <cell r="G218" t="str">
            <v>Б.В.ЯЩЕНКО</v>
          </cell>
        </row>
        <row r="219">
          <cell r="G219" t="str">
            <v>М.В.ТЕРПИЛО</v>
          </cell>
        </row>
        <row r="220">
          <cell r="G220" t="str">
            <v xml:space="preserve">В.І.МИРГОРОДСЬКИЙ                                  </v>
          </cell>
        </row>
        <row r="221">
          <cell r="G221" t="str">
            <v xml:space="preserve">М.І.ШЕВЧЕНКО                                 </v>
          </cell>
        </row>
        <row r="222">
          <cell r="G222" t="str">
            <v>В.Ю.МОНТЬЕВ</v>
          </cell>
        </row>
        <row r="223">
          <cell r="G223" t="str">
            <v xml:space="preserve">О.М.НИКОЛЕНКО      </v>
          </cell>
        </row>
        <row r="227">
          <cell r="AO227">
            <v>1507.2</v>
          </cell>
        </row>
        <row r="242">
          <cell r="AG242" t="str">
            <v xml:space="preserve">         Затверджую</v>
          </cell>
        </row>
        <row r="243">
          <cell r="AG243" t="str">
            <v xml:space="preserve"> Голова правління </v>
          </cell>
        </row>
        <row r="244">
          <cell r="AG244" t="str">
            <v xml:space="preserve">                        І.В.Плачков</v>
          </cell>
        </row>
        <row r="245">
          <cell r="AG245" t="str">
            <v xml:space="preserve">   "_____" ________2000 р.</v>
          </cell>
        </row>
        <row r="249">
          <cell r="F249" t="str">
            <v>РОЗРАХУНОК ФІНАНСОВИХ ПОТОКІВ НА   березень  2000 року</v>
          </cell>
        </row>
        <row r="250">
          <cell r="F250" t="str">
            <v>ПО ФІЛІАЛАХ АК КИЇВЕНЕРГО</v>
          </cell>
        </row>
        <row r="255">
          <cell r="AI255" t="str">
            <v>ТИС.ГРН.</v>
          </cell>
          <cell r="AK255" t="str">
            <v>тис.грн.</v>
          </cell>
        </row>
        <row r="256">
          <cell r="F256" t="str">
            <v>ВИКОН.ДИР.</v>
          </cell>
          <cell r="G256" t="str">
            <v>АПАРАТ ЕЛЕКТРО</v>
          </cell>
          <cell r="H256" t="str">
            <v>АПАРАТ ТЕПЛО</v>
          </cell>
          <cell r="P256" t="str">
            <v>КМ</v>
          </cell>
          <cell r="Q256" t="str">
            <v>ТМ</v>
          </cell>
          <cell r="S256" t="str">
            <v>КТМ</v>
          </cell>
          <cell r="T256" t="str">
            <v>ВИРОБН</v>
          </cell>
          <cell r="U256" t="str">
            <v>ПЕРЕД</v>
          </cell>
          <cell r="X256" t="str">
            <v>ТЕЦ-5 ВСЬОГО</v>
          </cell>
          <cell r="Y256" t="str">
            <v>Е/Е</v>
          </cell>
          <cell r="Z256" t="str">
            <v xml:space="preserve"> Т/Е</v>
          </cell>
          <cell r="AC256" t="str">
            <v>ТЕЦ-6 ВСЬОГО</v>
          </cell>
          <cell r="AD256" t="str">
            <v>Е/Е</v>
          </cell>
          <cell r="AE256" t="str">
            <v xml:space="preserve"> Т/Е</v>
          </cell>
          <cell r="AF256" t="str">
            <v>ТРМ ВСЬОГО</v>
          </cell>
          <cell r="AG256" t="str">
            <v>ТРМ  АК КЕ</v>
          </cell>
          <cell r="AH256" t="str">
            <v>ТРМ СТОР</v>
          </cell>
          <cell r="AI256" t="str">
            <v xml:space="preserve">ДОП.ВИР. </v>
          </cell>
          <cell r="AJ256" t="str">
            <v>ДОП.ВИР. СТ.ОРГ.</v>
          </cell>
          <cell r="AK256" t="str">
            <v>АК КЕ осн.вир.</v>
          </cell>
          <cell r="AL256" t="str">
            <v>АК КЕ ВСЬОГО</v>
          </cell>
          <cell r="AM256" t="str">
            <v xml:space="preserve"> Т/Е</v>
          </cell>
          <cell r="AN256" t="str">
            <v>СТАНЦІї ЕЛЕКТРО</v>
          </cell>
          <cell r="AO256" t="str">
            <v>СТАНЦІІ ТЕПЛОВІ</v>
          </cell>
          <cell r="AP256" t="str">
            <v>МЕРЕЖІ ЕЛЕКТРО</v>
          </cell>
          <cell r="AQ256" t="str">
            <v>МЕРЕЖІ ТЕПЛОВІ</v>
          </cell>
        </row>
        <row r="257">
          <cell r="F257">
            <v>3281.3333333333321</v>
          </cell>
          <cell r="P257">
            <v>2113</v>
          </cell>
          <cell r="S257">
            <v>9843.2727272727279</v>
          </cell>
          <cell r="X257">
            <v>2228.8181818181802</v>
          </cell>
          <cell r="AC257">
            <v>1415</v>
          </cell>
          <cell r="AF257">
            <v>3580.2</v>
          </cell>
          <cell r="AG257">
            <v>2592.2999999999997</v>
          </cell>
          <cell r="AH257">
            <v>988.90000000000009</v>
          </cell>
          <cell r="AJ257">
            <v>7599</v>
          </cell>
          <cell r="AK257">
            <v>23449.290909090909</v>
          </cell>
        </row>
        <row r="259">
          <cell r="F259">
            <v>22223.257142857143</v>
          </cell>
          <cell r="G259">
            <v>1657</v>
          </cell>
          <cell r="H259">
            <v>2932</v>
          </cell>
          <cell r="P259">
            <v>2113</v>
          </cell>
          <cell r="Q259">
            <v>0</v>
          </cell>
          <cell r="R259">
            <v>0</v>
          </cell>
          <cell r="S259">
            <v>9843.2727272727279</v>
          </cell>
          <cell r="T259">
            <v>4622.9436363636387</v>
          </cell>
          <cell r="U259">
            <v>1761.3290909090908</v>
          </cell>
          <cell r="V259">
            <v>0</v>
          </cell>
          <cell r="W259">
            <v>0</v>
          </cell>
          <cell r="X259">
            <v>2228.8181818181802</v>
          </cell>
          <cell r="Y259">
            <v>624</v>
          </cell>
          <cell r="Z259">
            <v>1385.818181818182</v>
          </cell>
          <cell r="AA259">
            <v>0</v>
          </cell>
          <cell r="AB259">
            <v>0</v>
          </cell>
          <cell r="AC259">
            <v>1415</v>
          </cell>
          <cell r="AD259">
            <v>402</v>
          </cell>
          <cell r="AE259">
            <v>814</v>
          </cell>
          <cell r="AF259">
            <v>3580.2</v>
          </cell>
          <cell r="AG259">
            <v>2592.2999999999997</v>
          </cell>
          <cell r="AH259">
            <v>988.90000000000009</v>
          </cell>
          <cell r="AI259">
            <v>976.66666666666663</v>
          </cell>
          <cell r="AJ259">
            <v>0</v>
          </cell>
          <cell r="AK259">
            <v>115402.7813852814</v>
          </cell>
          <cell r="AM259">
            <v>100230.25</v>
          </cell>
        </row>
        <row r="260">
          <cell r="F260">
            <v>11037.590476190477</v>
          </cell>
          <cell r="G260">
            <v>1551</v>
          </cell>
          <cell r="H260">
            <v>2654</v>
          </cell>
          <cell r="P260">
            <v>821</v>
          </cell>
          <cell r="S260">
            <v>3495.166666666667</v>
          </cell>
          <cell r="T260">
            <v>3789.8900000000026</v>
          </cell>
          <cell r="U260">
            <v>23.1099999999999</v>
          </cell>
          <cell r="X260">
            <v>1223.9999999999984</v>
          </cell>
          <cell r="Y260">
            <v>316</v>
          </cell>
          <cell r="Z260">
            <v>704.00000000000023</v>
          </cell>
          <cell r="AC260">
            <v>499</v>
          </cell>
          <cell r="AD260">
            <v>50</v>
          </cell>
          <cell r="AE260">
            <v>89</v>
          </cell>
          <cell r="AF260">
            <v>508.99999999999983</v>
          </cell>
          <cell r="AG260">
            <v>462.19999999999965</v>
          </cell>
          <cell r="AH260">
            <v>47.800000000000068</v>
          </cell>
          <cell r="AI260">
            <v>697.66666666666663</v>
          </cell>
          <cell r="AJ260">
            <v>-2455</v>
          </cell>
          <cell r="AK260">
            <v>101430.05714285716</v>
          </cell>
          <cell r="AM260">
            <v>18030.423809523811</v>
          </cell>
        </row>
        <row r="261">
          <cell r="F261">
            <v>100507.92380952381</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K261">
            <v>100507.92380952381</v>
          </cell>
        </row>
        <row r="262">
          <cell r="F262">
            <v>69776</v>
          </cell>
          <cell r="AK262">
            <v>69776</v>
          </cell>
        </row>
        <row r="263">
          <cell r="F263">
            <v>11292</v>
          </cell>
          <cell r="AK263">
            <v>11292</v>
          </cell>
        </row>
        <row r="264">
          <cell r="F264">
            <v>10092.257142857143</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K264">
            <v>10092.257142857143</v>
          </cell>
        </row>
        <row r="265">
          <cell r="F265">
            <v>498</v>
          </cell>
          <cell r="AK265">
            <v>498</v>
          </cell>
        </row>
        <row r="266">
          <cell r="F266">
            <v>0</v>
          </cell>
          <cell r="AK266">
            <v>0</v>
          </cell>
        </row>
        <row r="267">
          <cell r="F267">
            <v>4104.2571428571437</v>
          </cell>
          <cell r="AK267">
            <v>4104.2571428571437</v>
          </cell>
        </row>
        <row r="268">
          <cell r="F268">
            <v>3500</v>
          </cell>
          <cell r="AK268">
            <v>3500</v>
          </cell>
        </row>
        <row r="269">
          <cell r="F269">
            <v>0</v>
          </cell>
          <cell r="AK269">
            <v>0</v>
          </cell>
        </row>
        <row r="270">
          <cell r="F270">
            <v>1990</v>
          </cell>
          <cell r="P270">
            <v>0</v>
          </cell>
          <cell r="S270">
            <v>0</v>
          </cell>
          <cell r="X270">
            <v>0</v>
          </cell>
          <cell r="AC270">
            <v>0</v>
          </cell>
          <cell r="AF270">
            <v>0</v>
          </cell>
          <cell r="AG270">
            <v>0</v>
          </cell>
          <cell r="AH270">
            <v>0</v>
          </cell>
          <cell r="AI270">
            <v>0</v>
          </cell>
          <cell r="AK270">
            <v>1990</v>
          </cell>
        </row>
        <row r="271">
          <cell r="F271">
            <v>9242.6666666666661</v>
          </cell>
          <cell r="AK271">
            <v>9242.6666666666661</v>
          </cell>
        </row>
        <row r="272">
          <cell r="F272">
            <v>105</v>
          </cell>
          <cell r="P272">
            <v>0</v>
          </cell>
          <cell r="S272">
            <v>0</v>
          </cell>
          <cell r="X272">
            <v>0</v>
          </cell>
          <cell r="AC272">
            <v>0</v>
          </cell>
          <cell r="AF272">
            <v>0</v>
          </cell>
          <cell r="AG272">
            <v>0</v>
          </cell>
          <cell r="AH272">
            <v>0</v>
          </cell>
          <cell r="AI272">
            <v>0</v>
          </cell>
          <cell r="AK272">
            <v>105</v>
          </cell>
        </row>
        <row r="273">
          <cell r="F273">
            <v>103789.25714285714</v>
          </cell>
          <cell r="P273">
            <v>2113</v>
          </cell>
          <cell r="Q273">
            <v>0</v>
          </cell>
          <cell r="R273">
            <v>0</v>
          </cell>
          <cell r="S273">
            <v>9843.2727272727279</v>
          </cell>
          <cell r="T273">
            <v>0</v>
          </cell>
          <cell r="U273">
            <v>0</v>
          </cell>
          <cell r="V273">
            <v>0</v>
          </cell>
          <cell r="W273">
            <v>0</v>
          </cell>
          <cell r="X273">
            <v>2228.8181818181802</v>
          </cell>
          <cell r="Y273">
            <v>0</v>
          </cell>
          <cell r="Z273">
            <v>0</v>
          </cell>
          <cell r="AA273">
            <v>0</v>
          </cell>
          <cell r="AB273">
            <v>0</v>
          </cell>
          <cell r="AC273">
            <v>1415</v>
          </cell>
          <cell r="AD273">
            <v>0</v>
          </cell>
          <cell r="AE273">
            <v>0</v>
          </cell>
          <cell r="AF273">
            <v>3580.2</v>
          </cell>
          <cell r="AG273">
            <v>2592.2999999999997</v>
          </cell>
          <cell r="AH273">
            <v>988.90000000000009</v>
          </cell>
          <cell r="AI273">
            <v>0</v>
          </cell>
          <cell r="AK273">
            <v>123957.21471861472</v>
          </cell>
        </row>
        <row r="274">
          <cell r="F274">
            <v>1445</v>
          </cell>
          <cell r="P274">
            <v>1139</v>
          </cell>
          <cell r="Q274">
            <v>0</v>
          </cell>
          <cell r="R274">
            <v>0</v>
          </cell>
          <cell r="S274">
            <v>6250.833333333333</v>
          </cell>
          <cell r="T274">
            <v>646.85363636363627</v>
          </cell>
          <cell r="U274">
            <v>650.41909090909098</v>
          </cell>
          <cell r="V274">
            <v>0</v>
          </cell>
          <cell r="W274">
            <v>0</v>
          </cell>
          <cell r="X274">
            <v>1324</v>
          </cell>
          <cell r="Y274">
            <v>265</v>
          </cell>
          <cell r="Z274">
            <v>586.81818181818176</v>
          </cell>
          <cell r="AA274">
            <v>0</v>
          </cell>
          <cell r="AB274">
            <v>0</v>
          </cell>
          <cell r="AC274">
            <v>752</v>
          </cell>
          <cell r="AD274">
            <v>117</v>
          </cell>
          <cell r="AE274">
            <v>240</v>
          </cell>
          <cell r="AF274">
            <v>3044.2</v>
          </cell>
          <cell r="AG274">
            <v>2103.1</v>
          </cell>
          <cell r="AH274">
            <v>941.1</v>
          </cell>
          <cell r="AI274">
            <v>279</v>
          </cell>
          <cell r="AK274">
            <v>14686.7</v>
          </cell>
        </row>
        <row r="275">
          <cell r="F275">
            <v>384</v>
          </cell>
          <cell r="G275">
            <v>106</v>
          </cell>
          <cell r="H275">
            <v>278</v>
          </cell>
          <cell r="P275">
            <v>726</v>
          </cell>
          <cell r="S275">
            <v>1685</v>
          </cell>
          <cell r="T275">
            <v>625.85363636363627</v>
          </cell>
          <cell r="U275">
            <v>650.41909090909098</v>
          </cell>
          <cell r="X275">
            <v>653</v>
          </cell>
          <cell r="Y275">
            <v>117</v>
          </cell>
          <cell r="Z275">
            <v>257.81818181818181</v>
          </cell>
          <cell r="AC275">
            <v>542</v>
          </cell>
          <cell r="AD275">
            <v>112</v>
          </cell>
          <cell r="AE275">
            <v>231</v>
          </cell>
          <cell r="AF275">
            <v>1440</v>
          </cell>
          <cell r="AG275">
            <v>1281</v>
          </cell>
          <cell r="AH275">
            <v>159</v>
          </cell>
          <cell r="AI275">
            <v>279</v>
          </cell>
          <cell r="AK275">
            <v>5764</v>
          </cell>
        </row>
        <row r="276">
          <cell r="F276">
            <v>0</v>
          </cell>
          <cell r="P276">
            <v>0</v>
          </cell>
          <cell r="Q276">
            <v>0</v>
          </cell>
          <cell r="R276">
            <v>0</v>
          </cell>
          <cell r="S276">
            <v>21</v>
          </cell>
          <cell r="T276">
            <v>21</v>
          </cell>
          <cell r="U276">
            <v>0</v>
          </cell>
          <cell r="V276">
            <v>0</v>
          </cell>
          <cell r="W276">
            <v>0</v>
          </cell>
          <cell r="X276">
            <v>477</v>
          </cell>
          <cell r="Y276">
            <v>148</v>
          </cell>
          <cell r="Z276">
            <v>329</v>
          </cell>
          <cell r="AA276">
            <v>0</v>
          </cell>
          <cell r="AB276">
            <v>0</v>
          </cell>
          <cell r="AC276">
            <v>0</v>
          </cell>
          <cell r="AD276">
            <v>5</v>
          </cell>
          <cell r="AE276">
            <v>9</v>
          </cell>
          <cell r="AF276">
            <v>0</v>
          </cell>
          <cell r="AG276">
            <v>0</v>
          </cell>
          <cell r="AH276">
            <v>0</v>
          </cell>
          <cell r="AI276">
            <v>0</v>
          </cell>
          <cell r="AK276">
            <v>498</v>
          </cell>
        </row>
        <row r="277">
          <cell r="F277">
            <v>1058</v>
          </cell>
          <cell r="P277">
            <v>321</v>
          </cell>
          <cell r="Q277">
            <v>0</v>
          </cell>
          <cell r="R277">
            <v>0</v>
          </cell>
          <cell r="S277">
            <v>1138.8333333333333</v>
          </cell>
          <cell r="T277">
            <v>0</v>
          </cell>
          <cell r="U277">
            <v>0</v>
          </cell>
          <cell r="V277">
            <v>0</v>
          </cell>
          <cell r="W277">
            <v>0</v>
          </cell>
          <cell r="X277">
            <v>176</v>
          </cell>
          <cell r="Y277">
            <v>0</v>
          </cell>
          <cell r="Z277">
            <v>0</v>
          </cell>
          <cell r="AA277">
            <v>0</v>
          </cell>
          <cell r="AB277">
            <v>0</v>
          </cell>
          <cell r="AC277">
            <v>163</v>
          </cell>
          <cell r="AD277">
            <v>0</v>
          </cell>
          <cell r="AE277">
            <v>0</v>
          </cell>
          <cell r="AF277">
            <v>450.2</v>
          </cell>
          <cell r="AG277">
            <v>418.2</v>
          </cell>
          <cell r="AH277">
            <v>32</v>
          </cell>
          <cell r="AI277">
            <v>0</v>
          </cell>
          <cell r="AK277">
            <v>3341.0333333333328</v>
          </cell>
        </row>
        <row r="278">
          <cell r="F278">
            <v>158</v>
          </cell>
          <cell r="P278">
            <v>56</v>
          </cell>
          <cell r="S278">
            <v>400.83333333333331</v>
          </cell>
          <cell r="X278">
            <v>75</v>
          </cell>
          <cell r="AC278">
            <v>40</v>
          </cell>
          <cell r="AF278">
            <v>295</v>
          </cell>
          <cell r="AG278">
            <v>263</v>
          </cell>
          <cell r="AH278">
            <v>32</v>
          </cell>
          <cell r="AI278">
            <v>0</v>
          </cell>
          <cell r="AK278">
            <v>1058.8333333333333</v>
          </cell>
        </row>
        <row r="279">
          <cell r="F279">
            <v>298</v>
          </cell>
          <cell r="P279">
            <v>10</v>
          </cell>
          <cell r="S279">
            <v>0</v>
          </cell>
          <cell r="X279">
            <v>0</v>
          </cell>
          <cell r="AC279">
            <v>20</v>
          </cell>
          <cell r="AF279">
            <v>32</v>
          </cell>
          <cell r="AG279">
            <v>32</v>
          </cell>
          <cell r="AH279">
            <v>0</v>
          </cell>
          <cell r="AI279">
            <v>0</v>
          </cell>
          <cell r="AK279">
            <v>360</v>
          </cell>
        </row>
        <row r="280">
          <cell r="F280">
            <v>60</v>
          </cell>
          <cell r="P280">
            <v>190</v>
          </cell>
          <cell r="S280">
            <v>690</v>
          </cell>
          <cell r="X280">
            <v>0</v>
          </cell>
          <cell r="AC280">
            <v>60</v>
          </cell>
          <cell r="AF280">
            <v>67.2</v>
          </cell>
          <cell r="AG280">
            <v>67.2</v>
          </cell>
          <cell r="AK280">
            <v>1067.2</v>
          </cell>
        </row>
        <row r="281">
          <cell r="F281">
            <v>542</v>
          </cell>
          <cell r="P281">
            <v>65</v>
          </cell>
          <cell r="S281">
            <v>48</v>
          </cell>
          <cell r="X281">
            <v>101</v>
          </cell>
          <cell r="AC281">
            <v>43</v>
          </cell>
          <cell r="AF281">
            <v>56</v>
          </cell>
          <cell r="AG281">
            <v>56</v>
          </cell>
          <cell r="AH281">
            <v>0</v>
          </cell>
          <cell r="AK281">
            <v>855</v>
          </cell>
        </row>
        <row r="282">
          <cell r="F282">
            <v>3</v>
          </cell>
          <cell r="P282">
            <v>92</v>
          </cell>
          <cell r="Q282">
            <v>0</v>
          </cell>
          <cell r="R282">
            <v>0</v>
          </cell>
          <cell r="S282">
            <v>3156</v>
          </cell>
          <cell r="T282">
            <v>0</v>
          </cell>
          <cell r="U282">
            <v>0</v>
          </cell>
          <cell r="V282">
            <v>0</v>
          </cell>
          <cell r="W282">
            <v>0</v>
          </cell>
          <cell r="X282">
            <v>18</v>
          </cell>
          <cell r="Y282">
            <v>0</v>
          </cell>
          <cell r="Z282">
            <v>0</v>
          </cell>
          <cell r="AA282">
            <v>0</v>
          </cell>
          <cell r="AB282">
            <v>0</v>
          </cell>
          <cell r="AC282">
            <v>47</v>
          </cell>
          <cell r="AD282">
            <v>0</v>
          </cell>
          <cell r="AE282">
            <v>0</v>
          </cell>
          <cell r="AF282">
            <v>1154</v>
          </cell>
          <cell r="AG282">
            <v>403.9</v>
          </cell>
          <cell r="AH282">
            <v>750.1</v>
          </cell>
          <cell r="AI282">
            <v>0</v>
          </cell>
          <cell r="AK282">
            <v>4833.6666666666661</v>
          </cell>
        </row>
        <row r="283">
          <cell r="F283">
            <v>0</v>
          </cell>
          <cell r="P283">
            <v>1</v>
          </cell>
          <cell r="S283">
            <v>0</v>
          </cell>
          <cell r="X283">
            <v>18</v>
          </cell>
          <cell r="AC283">
            <v>47</v>
          </cell>
          <cell r="AF283">
            <v>0</v>
          </cell>
          <cell r="AG283">
            <v>0</v>
          </cell>
          <cell r="AH283">
            <v>0</v>
          </cell>
          <cell r="AI283">
            <v>0</v>
          </cell>
          <cell r="AK283">
            <v>66</v>
          </cell>
        </row>
        <row r="284">
          <cell r="F284">
            <v>3</v>
          </cell>
          <cell r="P284">
            <v>91</v>
          </cell>
          <cell r="S284">
            <v>3156</v>
          </cell>
          <cell r="X284">
            <v>0</v>
          </cell>
          <cell r="AC284">
            <v>0</v>
          </cell>
          <cell r="AF284">
            <v>1154</v>
          </cell>
          <cell r="AG284">
            <v>403.9</v>
          </cell>
          <cell r="AH284">
            <v>750.1</v>
          </cell>
          <cell r="AI284">
            <v>0</v>
          </cell>
          <cell r="AK284">
            <v>4404</v>
          </cell>
        </row>
        <row r="285">
          <cell r="AK285">
            <v>363.66666666666663</v>
          </cell>
        </row>
        <row r="286">
          <cell r="S286">
            <v>250</v>
          </cell>
          <cell r="AH286">
            <v>0</v>
          </cell>
          <cell r="AI286">
            <v>0</v>
          </cell>
          <cell r="AK286">
            <v>250</v>
          </cell>
        </row>
        <row r="287">
          <cell r="F287">
            <v>102344.25714285714</v>
          </cell>
          <cell r="P287">
            <v>974</v>
          </cell>
          <cell r="Q287">
            <v>0</v>
          </cell>
          <cell r="R287">
            <v>0</v>
          </cell>
          <cell r="S287">
            <v>3592.4393939393949</v>
          </cell>
          <cell r="T287">
            <v>-646.85363636363627</v>
          </cell>
          <cell r="U287">
            <v>-650.41909090909098</v>
          </cell>
          <cell r="V287">
            <v>0</v>
          </cell>
          <cell r="W287">
            <v>0</v>
          </cell>
          <cell r="X287">
            <v>904.81818181818016</v>
          </cell>
          <cell r="Y287">
            <v>-265</v>
          </cell>
          <cell r="Z287">
            <v>-586.81818181818176</v>
          </cell>
          <cell r="AA287">
            <v>0</v>
          </cell>
          <cell r="AB287">
            <v>0</v>
          </cell>
          <cell r="AC287">
            <v>663</v>
          </cell>
          <cell r="AD287">
            <v>-117</v>
          </cell>
          <cell r="AE287">
            <v>-240</v>
          </cell>
          <cell r="AF287">
            <v>536</v>
          </cell>
          <cell r="AG287">
            <v>489.19999999999982</v>
          </cell>
          <cell r="AH287">
            <v>47.800000000000068</v>
          </cell>
          <cell r="AI287">
            <v>-279</v>
          </cell>
          <cell r="AK287">
            <v>109270.51471861471</v>
          </cell>
        </row>
        <row r="288">
          <cell r="AK288">
            <v>0</v>
          </cell>
        </row>
        <row r="289">
          <cell r="F289">
            <v>2637.9999999999995</v>
          </cell>
          <cell r="P289">
            <v>974</v>
          </cell>
          <cell r="Q289">
            <v>0</v>
          </cell>
          <cell r="R289">
            <v>0</v>
          </cell>
          <cell r="S289">
            <v>3592.439393939394</v>
          </cell>
          <cell r="T289">
            <v>0</v>
          </cell>
          <cell r="U289">
            <v>0</v>
          </cell>
          <cell r="V289">
            <v>0</v>
          </cell>
          <cell r="W289">
            <v>0</v>
          </cell>
          <cell r="X289">
            <v>904.81818181818176</v>
          </cell>
          <cell r="Y289">
            <v>0</v>
          </cell>
          <cell r="Z289">
            <v>0</v>
          </cell>
          <cell r="AA289">
            <v>0</v>
          </cell>
          <cell r="AB289">
            <v>0</v>
          </cell>
          <cell r="AC289">
            <v>663</v>
          </cell>
          <cell r="AD289">
            <v>0</v>
          </cell>
          <cell r="AE289">
            <v>0</v>
          </cell>
          <cell r="AF289">
            <v>537</v>
          </cell>
          <cell r="AG289">
            <v>489.2</v>
          </cell>
          <cell r="AH289">
            <v>47.800000000000011</v>
          </cell>
          <cell r="AI289">
            <v>752.06666666666661</v>
          </cell>
          <cell r="AK289">
            <v>9565.257575757576</v>
          </cell>
        </row>
        <row r="290">
          <cell r="F290">
            <v>424</v>
          </cell>
          <cell r="P290">
            <v>94</v>
          </cell>
          <cell r="S290">
            <v>2512</v>
          </cell>
          <cell r="X290">
            <v>219</v>
          </cell>
          <cell r="AC290">
            <v>139</v>
          </cell>
          <cell r="AF290">
            <v>0</v>
          </cell>
          <cell r="AG290">
            <v>0</v>
          </cell>
          <cell r="AH290">
            <v>0</v>
          </cell>
          <cell r="AI290">
            <v>118.4</v>
          </cell>
          <cell r="AK290">
            <v>3410</v>
          </cell>
        </row>
        <row r="291">
          <cell r="F291">
            <v>542</v>
          </cell>
          <cell r="P291">
            <v>218</v>
          </cell>
          <cell r="Q291">
            <v>0</v>
          </cell>
          <cell r="R291">
            <v>0</v>
          </cell>
          <cell r="S291">
            <v>416.27272727272725</v>
          </cell>
          <cell r="T291">
            <v>0</v>
          </cell>
          <cell r="U291">
            <v>0</v>
          </cell>
          <cell r="V291">
            <v>0</v>
          </cell>
          <cell r="W291">
            <v>0</v>
          </cell>
          <cell r="X291">
            <v>258.81818181818181</v>
          </cell>
          <cell r="Y291">
            <v>0</v>
          </cell>
          <cell r="Z291">
            <v>0</v>
          </cell>
          <cell r="AA291">
            <v>0</v>
          </cell>
          <cell r="AB291">
            <v>0</v>
          </cell>
          <cell r="AC291">
            <v>207</v>
          </cell>
          <cell r="AD291">
            <v>0</v>
          </cell>
          <cell r="AE291">
            <v>0</v>
          </cell>
          <cell r="AF291">
            <v>83</v>
          </cell>
          <cell r="AG291">
            <v>83</v>
          </cell>
          <cell r="AH291">
            <v>0</v>
          </cell>
          <cell r="AI291">
            <v>0</v>
          </cell>
          <cell r="AK291">
            <v>1725.090909090909</v>
          </cell>
        </row>
        <row r="292">
          <cell r="F292">
            <v>0</v>
          </cell>
          <cell r="P292">
            <v>0</v>
          </cell>
          <cell r="S292">
            <v>0</v>
          </cell>
          <cell r="X292">
            <v>0</v>
          </cell>
          <cell r="AC292">
            <v>0</v>
          </cell>
          <cell r="AF292">
            <v>0</v>
          </cell>
          <cell r="AG292">
            <v>0</v>
          </cell>
          <cell r="AH292">
            <v>0</v>
          </cell>
          <cell r="AI292">
            <v>0</v>
          </cell>
          <cell r="AK292">
            <v>0</v>
          </cell>
        </row>
        <row r="293">
          <cell r="F293">
            <v>0</v>
          </cell>
          <cell r="P293">
            <v>0</v>
          </cell>
          <cell r="S293">
            <v>0</v>
          </cell>
          <cell r="X293">
            <v>0</v>
          </cell>
          <cell r="AC293">
            <v>0</v>
          </cell>
          <cell r="AF293">
            <v>0</v>
          </cell>
          <cell r="AG293">
            <v>0</v>
          </cell>
          <cell r="AH293">
            <v>0</v>
          </cell>
          <cell r="AI293">
            <v>0</v>
          </cell>
          <cell r="AK293">
            <v>0</v>
          </cell>
        </row>
        <row r="294">
          <cell r="F294">
            <v>1653.3333333333333</v>
          </cell>
          <cell r="P294">
            <v>601</v>
          </cell>
          <cell r="Q294">
            <v>0</v>
          </cell>
          <cell r="R294">
            <v>0</v>
          </cell>
          <cell r="S294">
            <v>657.16666666666674</v>
          </cell>
          <cell r="T294">
            <v>0</v>
          </cell>
          <cell r="U294">
            <v>0</v>
          </cell>
          <cell r="V294">
            <v>0</v>
          </cell>
          <cell r="W294">
            <v>0</v>
          </cell>
          <cell r="X294">
            <v>410</v>
          </cell>
          <cell r="Y294">
            <v>0</v>
          </cell>
          <cell r="Z294">
            <v>0</v>
          </cell>
          <cell r="AA294">
            <v>0</v>
          </cell>
          <cell r="AB294">
            <v>0</v>
          </cell>
          <cell r="AC294">
            <v>290</v>
          </cell>
          <cell r="AD294">
            <v>0</v>
          </cell>
          <cell r="AE294">
            <v>0</v>
          </cell>
          <cell r="AF294">
            <v>439</v>
          </cell>
          <cell r="AG294">
            <v>392.2</v>
          </cell>
          <cell r="AH294">
            <v>46.800000000000011</v>
          </cell>
          <cell r="AI294">
            <v>633.66666666666663</v>
          </cell>
          <cell r="AK294">
            <v>4284.5</v>
          </cell>
        </row>
        <row r="295">
          <cell r="F295">
            <v>0</v>
          </cell>
          <cell r="P295">
            <v>435</v>
          </cell>
          <cell r="S295">
            <v>12.166666666666686</v>
          </cell>
          <cell r="X295">
            <v>165</v>
          </cell>
          <cell r="AC295">
            <v>111</v>
          </cell>
          <cell r="AF295">
            <v>9</v>
          </cell>
          <cell r="AG295">
            <v>5</v>
          </cell>
          <cell r="AH295">
            <v>4</v>
          </cell>
          <cell r="AI295">
            <v>0</v>
          </cell>
          <cell r="AK295">
            <v>846.16666666666674</v>
          </cell>
        </row>
        <row r="296">
          <cell r="F296">
            <v>10.333333333333334</v>
          </cell>
          <cell r="P296">
            <v>56</v>
          </cell>
          <cell r="S296">
            <v>363</v>
          </cell>
          <cell r="X296">
            <v>130</v>
          </cell>
          <cell r="AC296">
            <v>95</v>
          </cell>
          <cell r="AF296">
            <v>205</v>
          </cell>
          <cell r="AG296">
            <v>201</v>
          </cell>
          <cell r="AH296">
            <v>4</v>
          </cell>
          <cell r="AI296">
            <v>0</v>
          </cell>
          <cell r="AK296">
            <v>864.33333333333326</v>
          </cell>
        </row>
        <row r="297">
          <cell r="F297">
            <v>1643</v>
          </cell>
          <cell r="P297">
            <v>110</v>
          </cell>
          <cell r="S297">
            <v>282</v>
          </cell>
          <cell r="X297">
            <v>115</v>
          </cell>
          <cell r="AC297">
            <v>84</v>
          </cell>
          <cell r="AF297">
            <v>225</v>
          </cell>
          <cell r="AG297">
            <v>186.2</v>
          </cell>
          <cell r="AH297">
            <v>38.800000000000011</v>
          </cell>
          <cell r="AI297">
            <v>633.66666666666663</v>
          </cell>
          <cell r="AK297">
            <v>2574</v>
          </cell>
        </row>
        <row r="298">
          <cell r="P298">
            <v>0</v>
          </cell>
          <cell r="AF298">
            <v>0</v>
          </cell>
          <cell r="AG298">
            <v>0</v>
          </cell>
          <cell r="AH298">
            <v>0</v>
          </cell>
          <cell r="AI298">
            <v>0</v>
          </cell>
          <cell r="AK298">
            <v>0</v>
          </cell>
        </row>
        <row r="299">
          <cell r="F299">
            <v>18.666666666666664</v>
          </cell>
          <cell r="P299">
            <v>61</v>
          </cell>
          <cell r="S299">
            <v>7</v>
          </cell>
          <cell r="X299">
            <v>17</v>
          </cell>
          <cell r="AC299">
            <v>27</v>
          </cell>
          <cell r="AF299">
            <v>15</v>
          </cell>
          <cell r="AG299">
            <v>14</v>
          </cell>
          <cell r="AH299">
            <v>1</v>
          </cell>
          <cell r="AI299">
            <v>0</v>
          </cell>
          <cell r="AK299">
            <v>145.66666666666666</v>
          </cell>
        </row>
        <row r="300">
          <cell r="F300">
            <v>102344.25714285714</v>
          </cell>
          <cell r="P300">
            <v>974</v>
          </cell>
          <cell r="Q300">
            <v>0</v>
          </cell>
          <cell r="R300">
            <v>0</v>
          </cell>
          <cell r="S300">
            <v>3592.4393939393949</v>
          </cell>
          <cell r="T300">
            <v>-646.85363636363627</v>
          </cell>
          <cell r="U300">
            <v>-650.41909090909098</v>
          </cell>
          <cell r="V300">
            <v>0</v>
          </cell>
          <cell r="W300">
            <v>0</v>
          </cell>
          <cell r="X300">
            <v>904.81818181818016</v>
          </cell>
          <cell r="Y300">
            <v>-265</v>
          </cell>
          <cell r="Z300">
            <v>-586.81818181818176</v>
          </cell>
          <cell r="AA300">
            <v>0</v>
          </cell>
          <cell r="AB300">
            <v>0</v>
          </cell>
          <cell r="AC300">
            <v>663</v>
          </cell>
          <cell r="AD300">
            <v>-117</v>
          </cell>
          <cell r="AE300">
            <v>-240</v>
          </cell>
          <cell r="AF300">
            <v>536</v>
          </cell>
          <cell r="AG300">
            <v>489.19999999999982</v>
          </cell>
          <cell r="AH300">
            <v>47.800000000000068</v>
          </cell>
          <cell r="AI300">
            <v>-279</v>
          </cell>
          <cell r="AK300">
            <v>109270.51471861471</v>
          </cell>
        </row>
        <row r="301">
          <cell r="AH301">
            <v>191</v>
          </cell>
          <cell r="AK301">
            <v>0</v>
          </cell>
        </row>
        <row r="303">
          <cell r="F303">
            <v>102344.25714285714</v>
          </cell>
          <cell r="G303">
            <v>0</v>
          </cell>
          <cell r="H303">
            <v>0</v>
          </cell>
          <cell r="P303">
            <v>974</v>
          </cell>
          <cell r="Q303">
            <v>0</v>
          </cell>
          <cell r="R303">
            <v>0</v>
          </cell>
          <cell r="S303">
            <v>3592.4393939393949</v>
          </cell>
          <cell r="T303">
            <v>-646.85363636363627</v>
          </cell>
          <cell r="U303">
            <v>-650.41909090909098</v>
          </cell>
          <cell r="V303">
            <v>0</v>
          </cell>
          <cell r="W303">
            <v>0</v>
          </cell>
          <cell r="X303">
            <v>904.81818181818016</v>
          </cell>
          <cell r="Y303">
            <v>-265</v>
          </cell>
          <cell r="Z303">
            <v>-586.81818181818176</v>
          </cell>
          <cell r="AA303">
            <v>0</v>
          </cell>
          <cell r="AB303">
            <v>0</v>
          </cell>
          <cell r="AC303">
            <v>663</v>
          </cell>
          <cell r="AF303">
            <v>536</v>
          </cell>
          <cell r="AG303">
            <v>297.19999999999993</v>
          </cell>
          <cell r="AH303">
            <v>238.80000000000007</v>
          </cell>
          <cell r="AK303">
            <v>109270.51471861471</v>
          </cell>
        </row>
        <row r="304">
          <cell r="F304">
            <v>0</v>
          </cell>
          <cell r="AK304">
            <v>0</v>
          </cell>
        </row>
        <row r="305">
          <cell r="F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K305">
            <v>0</v>
          </cell>
        </row>
        <row r="306">
          <cell r="F306">
            <v>0</v>
          </cell>
          <cell r="P306">
            <v>0</v>
          </cell>
          <cell r="S306">
            <v>0</v>
          </cell>
          <cell r="X306">
            <v>0</v>
          </cell>
          <cell r="AC306">
            <v>0</v>
          </cell>
          <cell r="AF306">
            <v>0</v>
          </cell>
          <cell r="AG306">
            <v>0</v>
          </cell>
          <cell r="AH306">
            <v>0</v>
          </cell>
          <cell r="AI306">
            <v>0</v>
          </cell>
          <cell r="AK306">
            <v>0</v>
          </cell>
        </row>
        <row r="307">
          <cell r="AK307">
            <v>0</v>
          </cell>
        </row>
        <row r="308">
          <cell r="F308">
            <v>102344.25714285714</v>
          </cell>
          <cell r="P308">
            <v>974</v>
          </cell>
          <cell r="Q308">
            <v>0</v>
          </cell>
          <cell r="R308">
            <v>0</v>
          </cell>
          <cell r="S308">
            <v>3592.4393939393949</v>
          </cell>
          <cell r="T308">
            <v>-646.85363636363627</v>
          </cell>
          <cell r="U308">
            <v>-650.41909090909098</v>
          </cell>
          <cell r="V308">
            <v>0</v>
          </cell>
          <cell r="W308">
            <v>0</v>
          </cell>
          <cell r="X308">
            <v>904.81818181818016</v>
          </cell>
          <cell r="Y308">
            <v>-265</v>
          </cell>
          <cell r="Z308">
            <v>-586.81818181818176</v>
          </cell>
          <cell r="AA308">
            <v>0</v>
          </cell>
          <cell r="AB308">
            <v>0</v>
          </cell>
          <cell r="AC308">
            <v>663</v>
          </cell>
          <cell r="AD308">
            <v>-117</v>
          </cell>
          <cell r="AE308">
            <v>-240</v>
          </cell>
          <cell r="AF308">
            <v>536</v>
          </cell>
          <cell r="AG308">
            <v>297.19999999999993</v>
          </cell>
          <cell r="AH308">
            <v>238.80000000000007</v>
          </cell>
          <cell r="AI308">
            <v>-279</v>
          </cell>
          <cell r="AK308">
            <v>109270.51471861471</v>
          </cell>
        </row>
        <row r="309">
          <cell r="AK309">
            <v>0</v>
          </cell>
        </row>
        <row r="310">
          <cell r="P310">
            <v>0</v>
          </cell>
          <cell r="AK310">
            <v>0</v>
          </cell>
        </row>
        <row r="311">
          <cell r="S311">
            <v>0</v>
          </cell>
          <cell r="AK311">
            <v>0</v>
          </cell>
        </row>
        <row r="312">
          <cell r="F312">
            <v>8992</v>
          </cell>
          <cell r="AK312">
            <v>8992</v>
          </cell>
        </row>
        <row r="313">
          <cell r="S313">
            <v>0</v>
          </cell>
        </row>
        <row r="314">
          <cell r="F314">
            <v>0</v>
          </cell>
          <cell r="AK314">
            <v>0</v>
          </cell>
        </row>
        <row r="315">
          <cell r="AK315">
            <v>0</v>
          </cell>
        </row>
        <row r="317">
          <cell r="AK317">
            <v>0</v>
          </cell>
        </row>
        <row r="318">
          <cell r="S318">
            <v>0</v>
          </cell>
        </row>
        <row r="319">
          <cell r="F319">
            <v>102344.25714285714</v>
          </cell>
          <cell r="P319">
            <v>974</v>
          </cell>
          <cell r="Q319">
            <v>0</v>
          </cell>
          <cell r="R319">
            <v>0</v>
          </cell>
          <cell r="S319">
            <v>3592.4393939393949</v>
          </cell>
          <cell r="T319">
            <v>-646.85363636363627</v>
          </cell>
          <cell r="U319">
            <v>-650.41909090909098</v>
          </cell>
          <cell r="V319">
            <v>0</v>
          </cell>
          <cell r="W319">
            <v>0</v>
          </cell>
          <cell r="X319">
            <v>904.81818181818016</v>
          </cell>
          <cell r="Y319">
            <v>-265</v>
          </cell>
          <cell r="Z319">
            <v>-586.81818181818176</v>
          </cell>
          <cell r="AA319">
            <v>0</v>
          </cell>
          <cell r="AB319">
            <v>0</v>
          </cell>
          <cell r="AC319">
            <v>663</v>
          </cell>
          <cell r="AD319">
            <v>-117</v>
          </cell>
          <cell r="AE319">
            <v>-240</v>
          </cell>
          <cell r="AF319">
            <v>536</v>
          </cell>
          <cell r="AG319">
            <v>297.19999999999993</v>
          </cell>
          <cell r="AH319">
            <v>238.80000000000007</v>
          </cell>
          <cell r="AI319">
            <v>-279</v>
          </cell>
          <cell r="AK319">
            <v>109270.51471861471</v>
          </cell>
        </row>
        <row r="328">
          <cell r="AJ328">
            <v>2455</v>
          </cell>
          <cell r="AK328">
            <v>5764</v>
          </cell>
          <cell r="AM328">
            <v>4603</v>
          </cell>
        </row>
        <row r="329">
          <cell r="F329">
            <v>103</v>
          </cell>
          <cell r="P329">
            <v>198</v>
          </cell>
          <cell r="S329">
            <v>460</v>
          </cell>
          <cell r="X329">
            <v>178</v>
          </cell>
          <cell r="AC329">
            <v>149</v>
          </cell>
          <cell r="AF329">
            <v>393</v>
          </cell>
          <cell r="AG329">
            <v>349</v>
          </cell>
          <cell r="AH329">
            <v>44</v>
          </cell>
          <cell r="AI329">
            <v>0</v>
          </cell>
          <cell r="AK329">
            <v>1573</v>
          </cell>
          <cell r="AM329">
            <v>1180</v>
          </cell>
        </row>
        <row r="330">
          <cell r="AJ330">
            <v>36</v>
          </cell>
          <cell r="AK330">
            <v>10092.257142857143</v>
          </cell>
          <cell r="AM330">
            <v>10092.257142857143</v>
          </cell>
        </row>
        <row r="331">
          <cell r="AK331">
            <v>498</v>
          </cell>
          <cell r="AM331">
            <v>498</v>
          </cell>
        </row>
        <row r="332">
          <cell r="AJ332">
            <v>36</v>
          </cell>
          <cell r="AK332">
            <v>145.66666666666666</v>
          </cell>
          <cell r="AM332">
            <v>130.66666666666666</v>
          </cell>
        </row>
        <row r="333">
          <cell r="AK333">
            <v>4104.2571428571437</v>
          </cell>
          <cell r="AM333">
            <v>4104.2571428571437</v>
          </cell>
        </row>
        <row r="334">
          <cell r="AK334">
            <v>3500</v>
          </cell>
          <cell r="AM334">
            <v>3500</v>
          </cell>
        </row>
        <row r="335">
          <cell r="AK335">
            <v>0</v>
          </cell>
        </row>
        <row r="336">
          <cell r="AK336">
            <v>1990</v>
          </cell>
          <cell r="AM336">
            <v>1990</v>
          </cell>
        </row>
        <row r="337">
          <cell r="AK337">
            <v>9242.6666666666661</v>
          </cell>
        </row>
        <row r="338">
          <cell r="AK338">
            <v>0</v>
          </cell>
          <cell r="AM338">
            <v>0</v>
          </cell>
        </row>
        <row r="339">
          <cell r="AK339">
            <v>3410</v>
          </cell>
          <cell r="AM339">
            <v>3528.4</v>
          </cell>
        </row>
        <row r="340">
          <cell r="AK340">
            <v>1725.090909090909</v>
          </cell>
          <cell r="AM340">
            <v>1642.090909090909</v>
          </cell>
        </row>
        <row r="341">
          <cell r="AK341">
            <v>0</v>
          </cell>
          <cell r="AM341">
            <v>0</v>
          </cell>
        </row>
        <row r="342">
          <cell r="AK342">
            <v>0</v>
          </cell>
          <cell r="AM342">
            <v>0</v>
          </cell>
        </row>
        <row r="343">
          <cell r="AK343">
            <v>0</v>
          </cell>
          <cell r="AM343">
            <v>0</v>
          </cell>
        </row>
        <row r="344">
          <cell r="AK344">
            <v>3341.0333333333328</v>
          </cell>
          <cell r="AM344">
            <v>2890.833333333333</v>
          </cell>
        </row>
        <row r="345">
          <cell r="AK345">
            <v>1058.8333333333333</v>
          </cell>
          <cell r="AM345">
            <v>763.83333333333326</v>
          </cell>
        </row>
        <row r="346">
          <cell r="AK346">
            <v>360</v>
          </cell>
          <cell r="AM346">
            <v>328</v>
          </cell>
        </row>
        <row r="347">
          <cell r="AK347">
            <v>1067.2</v>
          </cell>
        </row>
        <row r="348">
          <cell r="AK348">
            <v>855</v>
          </cell>
        </row>
        <row r="349">
          <cell r="AK349">
            <v>0</v>
          </cell>
          <cell r="AM349">
            <v>0</v>
          </cell>
        </row>
        <row r="350">
          <cell r="AK350">
            <v>66</v>
          </cell>
          <cell r="AM350">
            <v>66</v>
          </cell>
        </row>
        <row r="351">
          <cell r="AK351">
            <v>4404</v>
          </cell>
          <cell r="AM351">
            <v>3250</v>
          </cell>
        </row>
        <row r="352">
          <cell r="P352">
            <v>225</v>
          </cell>
          <cell r="S352">
            <v>296</v>
          </cell>
          <cell r="X352">
            <v>56</v>
          </cell>
          <cell r="AC352">
            <v>19</v>
          </cell>
          <cell r="AF352">
            <v>71.800000000000011</v>
          </cell>
          <cell r="AG352">
            <v>71.800000000000011</v>
          </cell>
          <cell r="AH352">
            <v>0</v>
          </cell>
          <cell r="AK352">
            <v>667.8</v>
          </cell>
        </row>
        <row r="353">
          <cell r="AK353">
            <v>0</v>
          </cell>
        </row>
        <row r="354">
          <cell r="F354">
            <v>0</v>
          </cell>
          <cell r="P354">
            <v>0</v>
          </cell>
          <cell r="S354">
            <v>0</v>
          </cell>
          <cell r="X354">
            <v>0</v>
          </cell>
          <cell r="AC354">
            <v>0</v>
          </cell>
          <cell r="AF354">
            <v>0</v>
          </cell>
          <cell r="AG354">
            <v>0</v>
          </cell>
          <cell r="AH354">
            <v>0</v>
          </cell>
          <cell r="AI354">
            <v>0</v>
          </cell>
          <cell r="AK354">
            <v>363.66666666666663</v>
          </cell>
          <cell r="AM354">
            <v>363.66666666666663</v>
          </cell>
        </row>
        <row r="355">
          <cell r="AK355">
            <v>105</v>
          </cell>
          <cell r="AM355">
            <v>105</v>
          </cell>
        </row>
        <row r="356">
          <cell r="AK356">
            <v>0</v>
          </cell>
          <cell r="AM356">
            <v>0</v>
          </cell>
        </row>
        <row r="357">
          <cell r="AK357">
            <v>0</v>
          </cell>
          <cell r="AM357">
            <v>0</v>
          </cell>
        </row>
        <row r="358">
          <cell r="AJ358">
            <v>-2491</v>
          </cell>
          <cell r="AK358">
            <v>4284.5</v>
          </cell>
          <cell r="AM358" t="e">
            <v>#REF!</v>
          </cell>
        </row>
        <row r="359">
          <cell r="AK359">
            <v>846.16666666666674</v>
          </cell>
        </row>
        <row r="360">
          <cell r="AK360">
            <v>864.33333333333326</v>
          </cell>
        </row>
        <row r="361">
          <cell r="AK361">
            <v>2574</v>
          </cell>
        </row>
        <row r="362">
          <cell r="F362">
            <v>0</v>
          </cell>
          <cell r="P362">
            <v>302</v>
          </cell>
          <cell r="S362">
            <v>-1610</v>
          </cell>
          <cell r="T362">
            <v>207.20000000000002</v>
          </cell>
          <cell r="U362">
            <v>1087.8</v>
          </cell>
          <cell r="X362">
            <v>396</v>
          </cell>
          <cell r="Y362">
            <v>191</v>
          </cell>
          <cell r="Z362">
            <v>424</v>
          </cell>
          <cell r="AC362">
            <v>535</v>
          </cell>
          <cell r="AD362">
            <v>240</v>
          </cell>
          <cell r="AE362">
            <v>494</v>
          </cell>
          <cell r="AF362">
            <v>485.8</v>
          </cell>
          <cell r="AG362">
            <v>470.8</v>
          </cell>
          <cell r="AH362">
            <v>15</v>
          </cell>
          <cell r="AI362">
            <v>0</v>
          </cell>
          <cell r="AK362">
            <v>96.800000000000011</v>
          </cell>
          <cell r="AM362">
            <v>-389</v>
          </cell>
        </row>
        <row r="371">
          <cell r="F371">
            <v>-4642</v>
          </cell>
        </row>
        <row r="383">
          <cell r="F383" t="str">
            <v>лютий</v>
          </cell>
          <cell r="P383" t="str">
            <v>лютий</v>
          </cell>
          <cell r="X383" t="str">
            <v>лютий</v>
          </cell>
          <cell r="AC383" t="str">
            <v>лютий</v>
          </cell>
        </row>
        <row r="384">
          <cell r="F384" t="str">
            <v>АППАРАТ</v>
          </cell>
          <cell r="P384" t="str">
            <v>ККМ</v>
          </cell>
          <cell r="X384" t="str">
            <v>ТЕЦ5</v>
          </cell>
          <cell r="AC384" t="str">
            <v>ТЕЦ6</v>
          </cell>
          <cell r="AK384" t="str">
            <v>АК "КЕ"</v>
          </cell>
          <cell r="AL384" t="str">
            <v>Е/Е</v>
          </cell>
        </row>
        <row r="385">
          <cell r="F385" t="str">
            <v>ПЛАН</v>
          </cell>
          <cell r="P385" t="str">
            <v>ПЛАН</v>
          </cell>
          <cell r="X385" t="str">
            <v>ПЛАН</v>
          </cell>
          <cell r="AC385" t="str">
            <v>ПЛАН</v>
          </cell>
          <cell r="AK385" t="str">
            <v>ПЛАН</v>
          </cell>
          <cell r="AL385" t="str">
            <v>ПЛАН</v>
          </cell>
        </row>
        <row r="386">
          <cell r="F386">
            <v>164.3</v>
          </cell>
          <cell r="G386">
            <v>35</v>
          </cell>
          <cell r="H386">
            <v>35</v>
          </cell>
          <cell r="P386">
            <v>14.333333333333332</v>
          </cell>
          <cell r="S386">
            <v>14.333333333333332</v>
          </cell>
          <cell r="X386">
            <v>182</v>
          </cell>
          <cell r="Y386">
            <v>56</v>
          </cell>
          <cell r="Z386">
            <v>56</v>
          </cell>
          <cell r="AC386">
            <v>323.66666666666674</v>
          </cell>
          <cell r="AD386">
            <v>106</v>
          </cell>
          <cell r="AE386">
            <v>105</v>
          </cell>
          <cell r="AK386">
            <v>735.30000000000018</v>
          </cell>
          <cell r="AL386">
            <v>329.33333333333337</v>
          </cell>
          <cell r="AM386">
            <v>226.33333333333334</v>
          </cell>
        </row>
        <row r="387">
          <cell r="F387">
            <v>29</v>
          </cell>
          <cell r="G387">
            <v>6</v>
          </cell>
          <cell r="P387">
            <v>0</v>
          </cell>
          <cell r="X387">
            <v>0</v>
          </cell>
          <cell r="Y387">
            <v>0</v>
          </cell>
          <cell r="AC387">
            <v>3.6666666666666665</v>
          </cell>
          <cell r="AD387">
            <v>1</v>
          </cell>
          <cell r="AK387">
            <v>46</v>
          </cell>
          <cell r="AL387">
            <v>10</v>
          </cell>
        </row>
        <row r="388">
          <cell r="F388">
            <v>0</v>
          </cell>
          <cell r="G388">
            <v>0</v>
          </cell>
          <cell r="P388">
            <v>0.66666666666666663</v>
          </cell>
          <cell r="X388">
            <v>146.66666666666666</v>
          </cell>
          <cell r="Y388">
            <v>45</v>
          </cell>
          <cell r="AC388">
            <v>280.66666666666669</v>
          </cell>
          <cell r="AD388">
            <v>92</v>
          </cell>
          <cell r="AK388">
            <v>428</v>
          </cell>
          <cell r="AL388">
            <v>137.66666666666666</v>
          </cell>
        </row>
        <row r="389">
          <cell r="F389">
            <v>0</v>
          </cell>
          <cell r="G389">
            <v>0</v>
          </cell>
          <cell r="P389">
            <v>2</v>
          </cell>
          <cell r="X389">
            <v>0</v>
          </cell>
          <cell r="Y389">
            <v>0</v>
          </cell>
          <cell r="AC389">
            <v>25</v>
          </cell>
          <cell r="AD389">
            <v>8</v>
          </cell>
          <cell r="AK389">
            <v>33.666666666666671</v>
          </cell>
          <cell r="AL389">
            <v>13</v>
          </cell>
        </row>
        <row r="390">
          <cell r="F390">
            <v>0</v>
          </cell>
          <cell r="G390">
            <v>0</v>
          </cell>
          <cell r="P390">
            <v>0</v>
          </cell>
          <cell r="X390">
            <v>25.333333333333332</v>
          </cell>
          <cell r="Y390">
            <v>8</v>
          </cell>
          <cell r="AC390">
            <v>0.66666666666666663</v>
          </cell>
          <cell r="AD390">
            <v>0</v>
          </cell>
          <cell r="AK390">
            <v>26</v>
          </cell>
          <cell r="AL390">
            <v>8</v>
          </cell>
        </row>
        <row r="391">
          <cell r="F391">
            <v>120.63333333333333</v>
          </cell>
          <cell r="G391">
            <v>26</v>
          </cell>
          <cell r="P391">
            <v>0</v>
          </cell>
          <cell r="X391">
            <v>0</v>
          </cell>
          <cell r="Y391">
            <v>0</v>
          </cell>
          <cell r="AC391">
            <v>0</v>
          </cell>
          <cell r="AD391">
            <v>0</v>
          </cell>
          <cell r="AK391">
            <v>120.63333333333333</v>
          </cell>
          <cell r="AL391">
            <v>28</v>
          </cell>
        </row>
        <row r="392">
          <cell r="F392">
            <v>8.6666666666666661</v>
          </cell>
          <cell r="G392">
            <v>2</v>
          </cell>
          <cell r="P392">
            <v>0</v>
          </cell>
          <cell r="X392">
            <v>0</v>
          </cell>
          <cell r="Y392">
            <v>0</v>
          </cell>
          <cell r="AC392">
            <v>0</v>
          </cell>
          <cell r="AD392">
            <v>0</v>
          </cell>
          <cell r="AK392">
            <v>8.6666666666666661</v>
          </cell>
          <cell r="AL392">
            <v>0</v>
          </cell>
        </row>
        <row r="393">
          <cell r="F393">
            <v>0</v>
          </cell>
          <cell r="G393">
            <v>0</v>
          </cell>
          <cell r="P393">
            <v>5.333333333333333</v>
          </cell>
          <cell r="X393">
            <v>0</v>
          </cell>
          <cell r="Y393">
            <v>0</v>
          </cell>
          <cell r="AC393">
            <v>0</v>
          </cell>
          <cell r="AD393">
            <v>0</v>
          </cell>
          <cell r="AK393">
            <v>22</v>
          </cell>
          <cell r="AL393">
            <v>15.333333333333332</v>
          </cell>
        </row>
        <row r="394">
          <cell r="F394">
            <v>5.333333333333333</v>
          </cell>
          <cell r="G394">
            <v>1</v>
          </cell>
          <cell r="P394">
            <v>0</v>
          </cell>
          <cell r="X394">
            <v>0</v>
          </cell>
          <cell r="Y394">
            <v>0</v>
          </cell>
          <cell r="AC394">
            <v>0</v>
          </cell>
          <cell r="AD394">
            <v>0</v>
          </cell>
          <cell r="AK394">
            <v>5.333333333333333</v>
          </cell>
          <cell r="AL394">
            <v>1</v>
          </cell>
        </row>
        <row r="395">
          <cell r="F395">
            <v>0.33333333333333331</v>
          </cell>
          <cell r="G395">
            <v>0</v>
          </cell>
          <cell r="P395">
            <v>4.333333333333333</v>
          </cell>
          <cell r="X395">
            <v>0</v>
          </cell>
          <cell r="Y395">
            <v>0</v>
          </cell>
          <cell r="AC395">
            <v>0</v>
          </cell>
          <cell r="AD395">
            <v>0</v>
          </cell>
          <cell r="AK395">
            <v>4.6666666666666661</v>
          </cell>
          <cell r="AL395">
            <v>4.333333333333333</v>
          </cell>
        </row>
        <row r="396">
          <cell r="F396">
            <v>0.33333333333333331</v>
          </cell>
          <cell r="G396">
            <v>0</v>
          </cell>
          <cell r="P396">
            <v>2</v>
          </cell>
          <cell r="X396">
            <v>10</v>
          </cell>
          <cell r="Y396">
            <v>3</v>
          </cell>
          <cell r="AC396">
            <v>13.666666666666666</v>
          </cell>
          <cell r="AD396">
            <v>4</v>
          </cell>
          <cell r="AK396">
            <v>26</v>
          </cell>
          <cell r="AL396">
            <v>9</v>
          </cell>
        </row>
        <row r="397">
          <cell r="F397">
            <v>0</v>
          </cell>
          <cell r="G397">
            <v>0</v>
          </cell>
          <cell r="P397">
            <v>0</v>
          </cell>
          <cell r="X397">
            <v>0</v>
          </cell>
          <cell r="Y397">
            <v>0</v>
          </cell>
          <cell r="AC397">
            <v>0</v>
          </cell>
          <cell r="AD397">
            <v>0</v>
          </cell>
          <cell r="AK397">
            <v>0</v>
          </cell>
        </row>
        <row r="398">
          <cell r="F398">
            <v>1.1666666666666667</v>
          </cell>
          <cell r="G398">
            <v>0</v>
          </cell>
          <cell r="P398">
            <v>20.5</v>
          </cell>
          <cell r="X398">
            <v>522.33333333333337</v>
          </cell>
          <cell r="Y398">
            <v>162</v>
          </cell>
          <cell r="AC398">
            <v>43</v>
          </cell>
          <cell r="AD398">
            <v>14</v>
          </cell>
          <cell r="AK398">
            <v>587.33333333333337</v>
          </cell>
          <cell r="AL398">
            <v>196.5</v>
          </cell>
          <cell r="AM398">
            <v>196.83333333333334</v>
          </cell>
        </row>
        <row r="399">
          <cell r="F399">
            <v>0</v>
          </cell>
          <cell r="G399">
            <v>0</v>
          </cell>
          <cell r="P399">
            <v>0</v>
          </cell>
          <cell r="X399">
            <v>0</v>
          </cell>
          <cell r="Y399">
            <v>0</v>
          </cell>
          <cell r="AC399">
            <v>0</v>
          </cell>
          <cell r="AD399">
            <v>0</v>
          </cell>
          <cell r="AK399">
            <v>0</v>
          </cell>
          <cell r="AL399">
            <v>0</v>
          </cell>
        </row>
        <row r="400">
          <cell r="F400">
            <v>0</v>
          </cell>
          <cell r="G400">
            <v>0</v>
          </cell>
          <cell r="P400">
            <v>0</v>
          </cell>
          <cell r="X400">
            <v>480.66666666666669</v>
          </cell>
          <cell r="Y400">
            <v>149</v>
          </cell>
          <cell r="AC400">
            <v>11</v>
          </cell>
          <cell r="AD400">
            <v>4</v>
          </cell>
          <cell r="AK400">
            <v>491.66666666666669</v>
          </cell>
          <cell r="AL400">
            <v>153</v>
          </cell>
        </row>
        <row r="401">
          <cell r="F401">
            <v>0</v>
          </cell>
          <cell r="G401">
            <v>0</v>
          </cell>
          <cell r="P401">
            <v>0</v>
          </cell>
          <cell r="X401">
            <v>0</v>
          </cell>
          <cell r="Y401">
            <v>0</v>
          </cell>
          <cell r="AC401">
            <v>0</v>
          </cell>
          <cell r="AD401">
            <v>0</v>
          </cell>
          <cell r="AK401">
            <v>0</v>
          </cell>
          <cell r="AL401">
            <v>0</v>
          </cell>
        </row>
        <row r="402">
          <cell r="F402">
            <v>1.1666666666666667</v>
          </cell>
          <cell r="G402">
            <v>0</v>
          </cell>
          <cell r="P402">
            <v>15.833333333333334</v>
          </cell>
          <cell r="X402">
            <v>41.666666666666664</v>
          </cell>
          <cell r="Y402">
            <v>13</v>
          </cell>
          <cell r="AC402">
            <v>32</v>
          </cell>
          <cell r="AD402">
            <v>10</v>
          </cell>
          <cell r="AK402">
            <v>91</v>
          </cell>
          <cell r="AL402">
            <v>43.833333333333336</v>
          </cell>
        </row>
        <row r="403">
          <cell r="F403">
            <v>0</v>
          </cell>
          <cell r="G403">
            <v>0</v>
          </cell>
          <cell r="P403">
            <v>4.666666666666667</v>
          </cell>
          <cell r="X403">
            <v>0</v>
          </cell>
          <cell r="Y403">
            <v>0</v>
          </cell>
          <cell r="AC403">
            <v>0</v>
          </cell>
          <cell r="AD403">
            <v>0</v>
          </cell>
          <cell r="AK403">
            <v>4.666666666666667</v>
          </cell>
          <cell r="AL403">
            <v>0</v>
          </cell>
        </row>
        <row r="404">
          <cell r="F404">
            <v>0</v>
          </cell>
          <cell r="G404">
            <v>0</v>
          </cell>
          <cell r="P404">
            <v>0</v>
          </cell>
          <cell r="X404">
            <v>0</v>
          </cell>
          <cell r="Y404">
            <v>0</v>
          </cell>
          <cell r="AC404">
            <v>0</v>
          </cell>
          <cell r="AD404">
            <v>0</v>
          </cell>
          <cell r="AK404">
            <v>0</v>
          </cell>
        </row>
        <row r="405">
          <cell r="F405">
            <v>10</v>
          </cell>
          <cell r="G405">
            <v>2</v>
          </cell>
          <cell r="P405">
            <v>39</v>
          </cell>
          <cell r="X405">
            <v>0</v>
          </cell>
          <cell r="Y405">
            <v>0</v>
          </cell>
          <cell r="AC405">
            <v>0</v>
          </cell>
          <cell r="AD405">
            <v>0</v>
          </cell>
          <cell r="AK405">
            <v>49</v>
          </cell>
          <cell r="AL405">
            <v>41</v>
          </cell>
          <cell r="AM405">
            <v>42</v>
          </cell>
        </row>
        <row r="406">
          <cell r="F406">
            <v>2.6666666666666665</v>
          </cell>
          <cell r="G406">
            <v>1</v>
          </cell>
          <cell r="P406">
            <v>3.3333333333333335</v>
          </cell>
          <cell r="X406">
            <v>0</v>
          </cell>
          <cell r="Y406">
            <v>0</v>
          </cell>
          <cell r="AC406">
            <v>0</v>
          </cell>
          <cell r="AD406">
            <v>0</v>
          </cell>
          <cell r="AK406">
            <v>6</v>
          </cell>
          <cell r="AL406">
            <v>4.3333333333333339</v>
          </cell>
        </row>
        <row r="407">
          <cell r="F407">
            <v>7.333333333333333</v>
          </cell>
          <cell r="G407">
            <v>2</v>
          </cell>
          <cell r="P407">
            <v>35.666666666666664</v>
          </cell>
          <cell r="X407">
            <v>0</v>
          </cell>
          <cell r="Y407">
            <v>0</v>
          </cell>
          <cell r="AC407">
            <v>0</v>
          </cell>
          <cell r="AD407">
            <v>0</v>
          </cell>
          <cell r="AK407">
            <v>43</v>
          </cell>
          <cell r="AL407">
            <v>37.666666666666664</v>
          </cell>
        </row>
        <row r="408">
          <cell r="F408">
            <v>0</v>
          </cell>
          <cell r="G408">
            <v>0</v>
          </cell>
          <cell r="P408">
            <v>0</v>
          </cell>
          <cell r="X408">
            <v>0</v>
          </cell>
          <cell r="Y408">
            <v>0</v>
          </cell>
          <cell r="AC408">
            <v>0</v>
          </cell>
          <cell r="AD408">
            <v>0</v>
          </cell>
          <cell r="AK408">
            <v>0</v>
          </cell>
        </row>
        <row r="409">
          <cell r="F409">
            <v>206.33333333333329</v>
          </cell>
          <cell r="G409">
            <v>44</v>
          </cell>
          <cell r="H409">
            <v>43</v>
          </cell>
          <cell r="P409">
            <v>50.166666666666671</v>
          </cell>
          <cell r="S409">
            <v>50.166666666666671</v>
          </cell>
          <cell r="X409">
            <v>37.833333333333343</v>
          </cell>
          <cell r="Y409">
            <v>12</v>
          </cell>
          <cell r="AC409">
            <v>26.000000000000004</v>
          </cell>
          <cell r="AD409">
            <v>9</v>
          </cell>
          <cell r="AK409">
            <v>1965.0000000000002</v>
          </cell>
          <cell r="AL409">
            <v>373.16666666666663</v>
          </cell>
          <cell r="AM409">
            <v>373.16666666666663</v>
          </cell>
        </row>
        <row r="410">
          <cell r="F410">
            <v>0</v>
          </cell>
          <cell r="G410">
            <v>0</v>
          </cell>
          <cell r="P410">
            <v>0</v>
          </cell>
          <cell r="X410">
            <v>0</v>
          </cell>
          <cell r="Y410">
            <v>0</v>
          </cell>
          <cell r="AC410">
            <v>0</v>
          </cell>
          <cell r="AD410">
            <v>0</v>
          </cell>
          <cell r="AK410">
            <v>1350</v>
          </cell>
          <cell r="AL410">
            <v>0</v>
          </cell>
        </row>
        <row r="411">
          <cell r="F411">
            <v>0</v>
          </cell>
          <cell r="G411">
            <v>0</v>
          </cell>
          <cell r="P411">
            <v>0</v>
          </cell>
          <cell r="X411">
            <v>0</v>
          </cell>
          <cell r="Y411">
            <v>0</v>
          </cell>
          <cell r="AC411">
            <v>0</v>
          </cell>
          <cell r="AD411">
            <v>0</v>
          </cell>
          <cell r="AK411">
            <v>95</v>
          </cell>
          <cell r="AL411">
            <v>95</v>
          </cell>
        </row>
        <row r="412">
          <cell r="F412">
            <v>0</v>
          </cell>
          <cell r="G412">
            <v>0</v>
          </cell>
          <cell r="P412">
            <v>0</v>
          </cell>
          <cell r="X412">
            <v>0</v>
          </cell>
          <cell r="Y412">
            <v>0</v>
          </cell>
          <cell r="AC412">
            <v>0</v>
          </cell>
          <cell r="AD412">
            <v>0</v>
          </cell>
          <cell r="AK412">
            <v>0</v>
          </cell>
          <cell r="AL412">
            <v>0</v>
          </cell>
        </row>
        <row r="413">
          <cell r="F413">
            <v>0</v>
          </cell>
          <cell r="G413">
            <v>0</v>
          </cell>
          <cell r="P413">
            <v>12.333333333333334</v>
          </cell>
          <cell r="X413">
            <v>0</v>
          </cell>
          <cell r="Y413">
            <v>0</v>
          </cell>
          <cell r="AC413">
            <v>0</v>
          </cell>
          <cell r="AD413">
            <v>0</v>
          </cell>
          <cell r="AK413">
            <v>12.333333333333334</v>
          </cell>
          <cell r="AL413">
            <v>12.333333333333334</v>
          </cell>
        </row>
        <row r="414">
          <cell r="F414">
            <v>0</v>
          </cell>
          <cell r="G414">
            <v>0</v>
          </cell>
          <cell r="P414">
            <v>0</v>
          </cell>
          <cell r="X414">
            <v>0</v>
          </cell>
          <cell r="Y414">
            <v>0</v>
          </cell>
          <cell r="AC414">
            <v>0</v>
          </cell>
          <cell r="AD414">
            <v>0</v>
          </cell>
          <cell r="AK414">
            <v>0</v>
          </cell>
          <cell r="AL414">
            <v>0</v>
          </cell>
        </row>
        <row r="415">
          <cell r="F415">
            <v>1.6666666666666667</v>
          </cell>
          <cell r="G415">
            <v>0</v>
          </cell>
          <cell r="P415">
            <v>5</v>
          </cell>
          <cell r="X415">
            <v>3</v>
          </cell>
          <cell r="Y415">
            <v>1</v>
          </cell>
          <cell r="AC415">
            <v>3</v>
          </cell>
          <cell r="AD415">
            <v>1</v>
          </cell>
          <cell r="AK415">
            <v>57.666666666666664</v>
          </cell>
          <cell r="AL415">
            <v>47</v>
          </cell>
        </row>
        <row r="416">
          <cell r="F416">
            <v>0</v>
          </cell>
          <cell r="G416">
            <v>0</v>
          </cell>
          <cell r="P416">
            <v>0</v>
          </cell>
          <cell r="X416">
            <v>0</v>
          </cell>
          <cell r="Y416">
            <v>0</v>
          </cell>
          <cell r="AC416">
            <v>0</v>
          </cell>
          <cell r="AD416">
            <v>0</v>
          </cell>
          <cell r="AK416">
            <v>4</v>
          </cell>
          <cell r="AL416">
            <v>0</v>
          </cell>
        </row>
        <row r="417">
          <cell r="F417">
            <v>0</v>
          </cell>
          <cell r="G417">
            <v>0</v>
          </cell>
          <cell r="P417">
            <v>0</v>
          </cell>
          <cell r="X417">
            <v>0</v>
          </cell>
          <cell r="Y417">
            <v>0</v>
          </cell>
          <cell r="AC417">
            <v>0</v>
          </cell>
          <cell r="AD417">
            <v>0</v>
          </cell>
          <cell r="AK417">
            <v>0</v>
          </cell>
          <cell r="AL417">
            <v>0</v>
          </cell>
        </row>
        <row r="418">
          <cell r="F418">
            <v>0</v>
          </cell>
          <cell r="G418">
            <v>0</v>
          </cell>
          <cell r="P418">
            <v>18.5</v>
          </cell>
          <cell r="X418">
            <v>4.5</v>
          </cell>
          <cell r="Y418">
            <v>1</v>
          </cell>
          <cell r="AC418">
            <v>1.3333333333333333</v>
          </cell>
          <cell r="AD418">
            <v>0</v>
          </cell>
          <cell r="AK418">
            <v>28.5</v>
          </cell>
          <cell r="AL418">
            <v>23.5</v>
          </cell>
        </row>
        <row r="419">
          <cell r="F419">
            <v>0</v>
          </cell>
          <cell r="G419">
            <v>0</v>
          </cell>
          <cell r="P419">
            <v>1.3333333333333333</v>
          </cell>
          <cell r="X419">
            <v>0</v>
          </cell>
          <cell r="Y419">
            <v>0</v>
          </cell>
          <cell r="AC419">
            <v>1.6666666666666667</v>
          </cell>
          <cell r="AD419">
            <v>1</v>
          </cell>
          <cell r="AK419">
            <v>69</v>
          </cell>
          <cell r="AL419">
            <v>52.333333333333336</v>
          </cell>
        </row>
        <row r="420">
          <cell r="F420">
            <v>177</v>
          </cell>
          <cell r="G420">
            <v>38</v>
          </cell>
          <cell r="P420">
            <v>0</v>
          </cell>
          <cell r="X420">
            <v>0</v>
          </cell>
          <cell r="Y420">
            <v>0</v>
          </cell>
          <cell r="AC420">
            <v>0</v>
          </cell>
          <cell r="AD420">
            <v>0</v>
          </cell>
          <cell r="AK420">
            <v>177</v>
          </cell>
          <cell r="AL420">
            <v>38</v>
          </cell>
        </row>
        <row r="421">
          <cell r="F421">
            <v>0</v>
          </cell>
          <cell r="G421">
            <v>0</v>
          </cell>
          <cell r="P421">
            <v>0</v>
          </cell>
          <cell r="X421">
            <v>10</v>
          </cell>
          <cell r="Y421">
            <v>3</v>
          </cell>
          <cell r="AC421">
            <v>7.666666666666667</v>
          </cell>
          <cell r="AD421">
            <v>3</v>
          </cell>
          <cell r="AK421">
            <v>17.666666666666668</v>
          </cell>
          <cell r="AL421">
            <v>6</v>
          </cell>
        </row>
        <row r="422">
          <cell r="F422">
            <v>0.66666666666666663</v>
          </cell>
          <cell r="G422">
            <v>0</v>
          </cell>
          <cell r="P422">
            <v>2</v>
          </cell>
          <cell r="X422">
            <v>1.3333333333333333</v>
          </cell>
          <cell r="Y422">
            <v>0</v>
          </cell>
          <cell r="AC422">
            <v>1</v>
          </cell>
          <cell r="AD422">
            <v>0</v>
          </cell>
          <cell r="AK422">
            <v>6</v>
          </cell>
          <cell r="AL422">
            <v>2</v>
          </cell>
        </row>
        <row r="423">
          <cell r="F423">
            <v>2.6666666666666665</v>
          </cell>
          <cell r="G423">
            <v>1</v>
          </cell>
          <cell r="P423">
            <v>0.33333333333333331</v>
          </cell>
          <cell r="X423">
            <v>1</v>
          </cell>
          <cell r="Y423">
            <v>0</v>
          </cell>
          <cell r="AC423">
            <v>0.66666666666666663</v>
          </cell>
          <cell r="AD423">
            <v>0</v>
          </cell>
          <cell r="AK423">
            <v>9.3333333333333339</v>
          </cell>
          <cell r="AL423">
            <v>3.3333333333333335</v>
          </cell>
        </row>
        <row r="424">
          <cell r="F424">
            <v>0</v>
          </cell>
          <cell r="G424">
            <v>0</v>
          </cell>
          <cell r="P424">
            <v>2.3333333333333335</v>
          </cell>
          <cell r="X424">
            <v>6</v>
          </cell>
          <cell r="Y424">
            <v>2</v>
          </cell>
          <cell r="AC424">
            <v>5</v>
          </cell>
          <cell r="AD424">
            <v>2</v>
          </cell>
          <cell r="AK424">
            <v>13.333333333333334</v>
          </cell>
          <cell r="AL424">
            <v>6.3333333333333339</v>
          </cell>
        </row>
        <row r="425">
          <cell r="F425">
            <v>0</v>
          </cell>
          <cell r="G425">
            <v>0</v>
          </cell>
          <cell r="P425">
            <v>0</v>
          </cell>
          <cell r="X425">
            <v>0</v>
          </cell>
          <cell r="Y425">
            <v>0</v>
          </cell>
          <cell r="AC425">
            <v>0</v>
          </cell>
          <cell r="AD425">
            <v>0</v>
          </cell>
          <cell r="AK425">
            <v>0</v>
          </cell>
          <cell r="AL425">
            <v>0</v>
          </cell>
        </row>
        <row r="426">
          <cell r="F426">
            <v>0</v>
          </cell>
          <cell r="G426">
            <v>0</v>
          </cell>
          <cell r="P426">
            <v>0</v>
          </cell>
          <cell r="X426">
            <v>0</v>
          </cell>
          <cell r="Y426">
            <v>0</v>
          </cell>
          <cell r="AC426">
            <v>0</v>
          </cell>
          <cell r="AD426">
            <v>0</v>
          </cell>
          <cell r="AK426">
            <v>0</v>
          </cell>
          <cell r="AL426">
            <v>0</v>
          </cell>
        </row>
        <row r="427">
          <cell r="F427">
            <v>9.6666666666666661</v>
          </cell>
          <cell r="G427">
            <v>2</v>
          </cell>
          <cell r="P427">
            <v>1</v>
          </cell>
          <cell r="X427">
            <v>0</v>
          </cell>
          <cell r="Y427">
            <v>0</v>
          </cell>
          <cell r="AC427">
            <v>0</v>
          </cell>
          <cell r="AD427">
            <v>0</v>
          </cell>
          <cell r="AK427">
            <v>12</v>
          </cell>
          <cell r="AL427">
            <v>4</v>
          </cell>
        </row>
        <row r="428">
          <cell r="F428">
            <v>0</v>
          </cell>
          <cell r="G428">
            <v>0</v>
          </cell>
          <cell r="P428">
            <v>0</v>
          </cell>
          <cell r="X428">
            <v>0</v>
          </cell>
          <cell r="Y428">
            <v>0</v>
          </cell>
          <cell r="AC428">
            <v>0</v>
          </cell>
          <cell r="AD428">
            <v>0</v>
          </cell>
          <cell r="AK428">
            <v>0</v>
          </cell>
          <cell r="AL428">
            <v>0</v>
          </cell>
        </row>
        <row r="429">
          <cell r="F429">
            <v>2.3333333333333335</v>
          </cell>
          <cell r="G429">
            <v>0</v>
          </cell>
          <cell r="P429">
            <v>0.66666666666666663</v>
          </cell>
          <cell r="X429">
            <v>0.66666666666666663</v>
          </cell>
          <cell r="Y429">
            <v>0</v>
          </cell>
          <cell r="AC429">
            <v>0.66666666666666663</v>
          </cell>
          <cell r="AD429">
            <v>0</v>
          </cell>
          <cell r="AK429">
            <v>4.333333333333333</v>
          </cell>
          <cell r="AL429">
            <v>0.66666666666666663</v>
          </cell>
        </row>
        <row r="430">
          <cell r="F430">
            <v>1.6666666666666667</v>
          </cell>
          <cell r="G430">
            <v>0</v>
          </cell>
          <cell r="P430">
            <v>0.66666666666666663</v>
          </cell>
          <cell r="X430">
            <v>0.66666666666666663</v>
          </cell>
          <cell r="Y430">
            <v>0</v>
          </cell>
          <cell r="AC430">
            <v>0.66666666666666663</v>
          </cell>
          <cell r="AD430">
            <v>0</v>
          </cell>
          <cell r="AK430">
            <v>3.6666666666666665</v>
          </cell>
          <cell r="AL430">
            <v>0.66666666666666663</v>
          </cell>
        </row>
        <row r="431">
          <cell r="F431">
            <v>6.666666666666667</v>
          </cell>
          <cell r="G431">
            <v>1</v>
          </cell>
          <cell r="P431">
            <v>4.666666666666667</v>
          </cell>
          <cell r="X431">
            <v>3</v>
          </cell>
          <cell r="Y431">
            <v>1</v>
          </cell>
          <cell r="AC431">
            <v>2</v>
          </cell>
          <cell r="AD431">
            <v>1</v>
          </cell>
          <cell r="AK431">
            <v>33</v>
          </cell>
          <cell r="AL431">
            <v>17.666666666666668</v>
          </cell>
        </row>
        <row r="432">
          <cell r="F432">
            <v>0</v>
          </cell>
          <cell r="G432">
            <v>0</v>
          </cell>
          <cell r="P432">
            <v>0</v>
          </cell>
          <cell r="X432">
            <v>0</v>
          </cell>
          <cell r="Y432">
            <v>0</v>
          </cell>
          <cell r="AC432">
            <v>0</v>
          </cell>
          <cell r="AD432">
            <v>0</v>
          </cell>
          <cell r="AK432">
            <v>0</v>
          </cell>
          <cell r="AL432">
            <v>0</v>
          </cell>
        </row>
        <row r="433">
          <cell r="F433">
            <v>0</v>
          </cell>
          <cell r="G433">
            <v>0</v>
          </cell>
          <cell r="P433">
            <v>0</v>
          </cell>
          <cell r="X433">
            <v>0</v>
          </cell>
          <cell r="Y433">
            <v>0</v>
          </cell>
          <cell r="AC433">
            <v>0</v>
          </cell>
          <cell r="AD433">
            <v>0</v>
          </cell>
          <cell r="AK433">
            <v>0</v>
          </cell>
          <cell r="AL433">
            <v>53</v>
          </cell>
        </row>
        <row r="434">
          <cell r="F434">
            <v>1</v>
          </cell>
          <cell r="G434">
            <v>0</v>
          </cell>
          <cell r="P434">
            <v>0</v>
          </cell>
          <cell r="X434">
            <v>0</v>
          </cell>
          <cell r="Y434">
            <v>0</v>
          </cell>
          <cell r="AC434">
            <v>0</v>
          </cell>
          <cell r="AD434">
            <v>0</v>
          </cell>
          <cell r="AK434">
            <v>1</v>
          </cell>
          <cell r="AL434">
            <v>1</v>
          </cell>
        </row>
        <row r="435">
          <cell r="F435">
            <v>0</v>
          </cell>
          <cell r="G435">
            <v>0</v>
          </cell>
          <cell r="P435">
            <v>0</v>
          </cell>
          <cell r="X435">
            <v>0</v>
          </cell>
          <cell r="Y435">
            <v>0</v>
          </cell>
          <cell r="AC435">
            <v>0</v>
          </cell>
          <cell r="AD435">
            <v>0</v>
          </cell>
          <cell r="AK435">
            <v>0</v>
          </cell>
          <cell r="AL435">
            <v>0</v>
          </cell>
        </row>
        <row r="436">
          <cell r="F436">
            <v>0</v>
          </cell>
          <cell r="G436">
            <v>0</v>
          </cell>
          <cell r="P436">
            <v>0</v>
          </cell>
          <cell r="X436">
            <v>0</v>
          </cell>
          <cell r="Y436">
            <v>0</v>
          </cell>
          <cell r="AC436">
            <v>0</v>
          </cell>
          <cell r="AD436">
            <v>0</v>
          </cell>
          <cell r="AK436">
            <v>0</v>
          </cell>
          <cell r="AL436">
            <v>0</v>
          </cell>
        </row>
        <row r="437">
          <cell r="F437">
            <v>2.6666666666666665</v>
          </cell>
          <cell r="G437">
            <v>1</v>
          </cell>
          <cell r="P437">
            <v>1</v>
          </cell>
          <cell r="X437">
            <v>4</v>
          </cell>
          <cell r="Y437">
            <v>1</v>
          </cell>
          <cell r="AC437">
            <v>2</v>
          </cell>
          <cell r="AD437">
            <v>1</v>
          </cell>
          <cell r="AK437">
            <v>15.666666666666666</v>
          </cell>
          <cell r="AL437">
            <v>7</v>
          </cell>
        </row>
        <row r="438">
          <cell r="F438">
            <v>0</v>
          </cell>
          <cell r="G438">
            <v>0</v>
          </cell>
          <cell r="P438">
            <v>0</v>
          </cell>
          <cell r="X438">
            <v>0</v>
          </cell>
          <cell r="Y438">
            <v>0</v>
          </cell>
          <cell r="AC438">
            <v>0</v>
          </cell>
          <cell r="AD438">
            <v>0</v>
          </cell>
          <cell r="AK438">
            <v>0</v>
          </cell>
          <cell r="AL438">
            <v>0</v>
          </cell>
        </row>
        <row r="439">
          <cell r="F439">
            <v>0</v>
          </cell>
          <cell r="G439">
            <v>0</v>
          </cell>
          <cell r="P439">
            <v>0</v>
          </cell>
          <cell r="X439">
            <v>3.3333333333333335</v>
          </cell>
          <cell r="Y439">
            <v>1</v>
          </cell>
          <cell r="AC439">
            <v>0</v>
          </cell>
          <cell r="AD439">
            <v>0</v>
          </cell>
          <cell r="AK439">
            <v>3.3333333333333335</v>
          </cell>
          <cell r="AL439">
            <v>1</v>
          </cell>
        </row>
        <row r="440">
          <cell r="F440">
            <v>0.33333333333333331</v>
          </cell>
          <cell r="G440">
            <v>0</v>
          </cell>
          <cell r="P440">
            <v>0.33333333333333331</v>
          </cell>
          <cell r="X440">
            <v>0.33333333333333331</v>
          </cell>
          <cell r="Y440">
            <v>0</v>
          </cell>
          <cell r="AC440">
            <v>0.33333333333333331</v>
          </cell>
          <cell r="AD440">
            <v>0</v>
          </cell>
          <cell r="AK440">
            <v>1.9999999999999998</v>
          </cell>
          <cell r="AL440">
            <v>0.33333333333333331</v>
          </cell>
        </row>
        <row r="441">
          <cell r="F441">
            <v>0</v>
          </cell>
          <cell r="G441">
            <v>0</v>
          </cell>
          <cell r="P441">
            <v>0</v>
          </cell>
          <cell r="X441">
            <v>0</v>
          </cell>
          <cell r="Y441">
            <v>0</v>
          </cell>
          <cell r="AC441">
            <v>0</v>
          </cell>
          <cell r="AD441">
            <v>0</v>
          </cell>
          <cell r="AK441">
            <v>0</v>
          </cell>
          <cell r="AL441">
            <v>0</v>
          </cell>
        </row>
        <row r="442">
          <cell r="F442">
            <v>0</v>
          </cell>
          <cell r="G442">
            <v>0</v>
          </cell>
          <cell r="P442">
            <v>0</v>
          </cell>
          <cell r="X442">
            <v>0</v>
          </cell>
          <cell r="Y442">
            <v>0</v>
          </cell>
          <cell r="AC442">
            <v>0</v>
          </cell>
          <cell r="AD442">
            <v>0</v>
          </cell>
          <cell r="AK442">
            <v>0</v>
          </cell>
          <cell r="AL442">
            <v>0</v>
          </cell>
        </row>
        <row r="443">
          <cell r="F443">
            <v>0</v>
          </cell>
          <cell r="G443">
            <v>0</v>
          </cell>
          <cell r="P443">
            <v>0</v>
          </cell>
          <cell r="X443">
            <v>0</v>
          </cell>
          <cell r="Y443">
            <v>0</v>
          </cell>
          <cell r="AC443">
            <v>0</v>
          </cell>
          <cell r="AD443">
            <v>0</v>
          </cell>
          <cell r="AK443">
            <v>0</v>
          </cell>
          <cell r="AL443">
            <v>0</v>
          </cell>
        </row>
        <row r="444">
          <cell r="F444">
            <v>0</v>
          </cell>
          <cell r="G444">
            <v>0</v>
          </cell>
          <cell r="P444">
            <v>0</v>
          </cell>
          <cell r="X444">
            <v>0</v>
          </cell>
          <cell r="Y444">
            <v>0</v>
          </cell>
          <cell r="AC444">
            <v>0</v>
          </cell>
          <cell r="AD444">
            <v>0</v>
          </cell>
          <cell r="AK444">
            <v>0</v>
          </cell>
          <cell r="AL444">
            <v>0</v>
          </cell>
        </row>
        <row r="445">
          <cell r="F445">
            <v>0</v>
          </cell>
          <cell r="G445">
            <v>0</v>
          </cell>
          <cell r="P445">
            <v>0</v>
          </cell>
          <cell r="X445">
            <v>0</v>
          </cell>
          <cell r="Y445">
            <v>0</v>
          </cell>
          <cell r="AC445">
            <v>0</v>
          </cell>
          <cell r="AD445">
            <v>0</v>
          </cell>
          <cell r="AK445">
            <v>0</v>
          </cell>
          <cell r="AL445">
            <v>0</v>
          </cell>
        </row>
        <row r="446">
          <cell r="F446">
            <v>0</v>
          </cell>
          <cell r="G446">
            <v>0</v>
          </cell>
          <cell r="P446">
            <v>0</v>
          </cell>
          <cell r="X446">
            <v>0</v>
          </cell>
          <cell r="Y446">
            <v>0</v>
          </cell>
          <cell r="AC446">
            <v>0</v>
          </cell>
          <cell r="AD446">
            <v>0</v>
          </cell>
          <cell r="AK446">
            <v>0</v>
          </cell>
          <cell r="AL446">
            <v>0</v>
          </cell>
        </row>
        <row r="447">
          <cell r="G447">
            <v>0</v>
          </cell>
          <cell r="P447">
            <v>0</v>
          </cell>
          <cell r="X447">
            <v>0</v>
          </cell>
          <cell r="Y447">
            <v>0</v>
          </cell>
          <cell r="AC447">
            <v>0</v>
          </cell>
          <cell r="AD447">
            <v>0</v>
          </cell>
          <cell r="AK447">
            <v>0</v>
          </cell>
          <cell r="AL447">
            <v>2</v>
          </cell>
        </row>
        <row r="448">
          <cell r="P448">
            <v>0</v>
          </cell>
          <cell r="X448">
            <v>0</v>
          </cell>
          <cell r="Y448">
            <v>0</v>
          </cell>
          <cell r="AC448">
            <v>0</v>
          </cell>
          <cell r="AD448">
            <v>0</v>
          </cell>
          <cell r="AK448">
            <v>0</v>
          </cell>
          <cell r="AL448">
            <v>0</v>
          </cell>
        </row>
      </sheetData>
      <sheetData sheetId="8" refreshError="1">
        <row r="13">
          <cell r="C13" t="str">
            <v>І.В.ПЛАЧКОВ</v>
          </cell>
        </row>
        <row r="25">
          <cell r="X25" t="str">
            <v>ЗАТВЕРДЖУЮ</v>
          </cell>
        </row>
        <row r="26">
          <cell r="X26" t="str">
            <v>В.О. ГЕНЕРАЛЬНОГО ДИРЕКТОРА  КЕ</v>
          </cell>
        </row>
        <row r="27">
          <cell r="Y27" t="str">
            <v>ЯЩЕНКО Б.В.</v>
          </cell>
        </row>
        <row r="31">
          <cell r="C31" t="str">
            <v>ВИКОН.ДИР.</v>
          </cell>
          <cell r="D31" t="str">
            <v>Е/Е</v>
          </cell>
          <cell r="E31" t="str">
            <v xml:space="preserve"> Т/Е</v>
          </cell>
          <cell r="I31" t="str">
            <v>ККМ розр.</v>
          </cell>
          <cell r="J31" t="str">
            <v>ККМ розп. коштів</v>
          </cell>
          <cell r="K31" t="str">
            <v>КТМ розр.</v>
          </cell>
          <cell r="L31" t="str">
            <v>ВИРОБН</v>
          </cell>
          <cell r="M31" t="str">
            <v>ПЕРЕД</v>
          </cell>
          <cell r="N31" t="str">
            <v>КТМ розп. коштів</v>
          </cell>
          <cell r="O31" t="str">
            <v>ТЕЦ-5 ВСЬОГО розр.</v>
          </cell>
          <cell r="P31" t="str">
            <v>Е/Е</v>
          </cell>
          <cell r="Q31" t="str">
            <v xml:space="preserve"> Т/Е</v>
          </cell>
          <cell r="R31" t="str">
            <v>ТЕЦ-5 розп. коштів</v>
          </cell>
          <cell r="S31" t="str">
            <v>ТЕЦ-6 ВСЬОГО розр.</v>
          </cell>
          <cell r="T31" t="str">
            <v>Е/Е</v>
          </cell>
          <cell r="U31" t="str">
            <v xml:space="preserve"> Т/Е</v>
          </cell>
          <cell r="V31" t="str">
            <v>ТЕЦ-6 розп. коштів</v>
          </cell>
          <cell r="W31" t="str">
            <v>ТРМ всього</v>
          </cell>
          <cell r="X31" t="str">
            <v>ТРМ АК розр.</v>
          </cell>
          <cell r="Y31" t="str">
            <v>ТРМ  СТОР.</v>
          </cell>
          <cell r="AA31" t="str">
            <v>ТРМ АК розп.кошт.</v>
          </cell>
          <cell r="AB31" t="str">
            <v>ТРМ  СТОР.роз.кошт.</v>
          </cell>
          <cell r="AC31" t="str">
            <v>ТРМ всього розп.кошт.</v>
          </cell>
          <cell r="AD31" t="str">
            <v>РЕЗЕРВ</v>
          </cell>
          <cell r="AE31" t="str">
            <v>Е/Е</v>
          </cell>
          <cell r="AF31" t="str">
            <v xml:space="preserve"> Т/Е</v>
          </cell>
          <cell r="AG31" t="str">
            <v>ДОП.ВИР.</v>
          </cell>
          <cell r="AH31" t="str">
            <v>АК КЕ ВСЬОГО</v>
          </cell>
          <cell r="AI31" t="str">
            <v>АК КЕ ВСЬОГО</v>
          </cell>
          <cell r="AJ31" t="str">
            <v>Е/Е</v>
          </cell>
          <cell r="AK31" t="str">
            <v xml:space="preserve"> Т/Е</v>
          </cell>
          <cell r="AL31" t="str">
            <v>СТАНЦІї ЕЛЕКТРО</v>
          </cell>
          <cell r="AM31" t="str">
            <v>СТАНЦІІ ТЕПЛОВІ</v>
          </cell>
          <cell r="AN31" t="str">
            <v>МЕРЕЖІ ЕЛЕКТРО</v>
          </cell>
          <cell r="AO31" t="str">
            <v>МЕРЕЖІ ТЕПЛОВІ</v>
          </cell>
        </row>
        <row r="32">
          <cell r="P32">
            <v>313</v>
          </cell>
          <cell r="T32">
            <v>166</v>
          </cell>
          <cell r="AJ32">
            <v>479</v>
          </cell>
        </row>
        <row r="33">
          <cell r="P33">
            <v>283.95999999999998</v>
          </cell>
          <cell r="T33">
            <v>143.30000000000001</v>
          </cell>
          <cell r="AJ33">
            <v>427.26</v>
          </cell>
        </row>
        <row r="34">
          <cell r="AJ34">
            <v>0</v>
          </cell>
        </row>
        <row r="35">
          <cell r="AJ35">
            <v>75</v>
          </cell>
        </row>
        <row r="36">
          <cell r="AJ36">
            <v>0</v>
          </cell>
        </row>
        <row r="37">
          <cell r="AJ37">
            <v>0</v>
          </cell>
        </row>
        <row r="38">
          <cell r="AJ38">
            <v>451.8</v>
          </cell>
        </row>
        <row r="39">
          <cell r="I39">
            <v>0</v>
          </cell>
          <cell r="AJ39">
            <v>451.8</v>
          </cell>
        </row>
        <row r="40">
          <cell r="K40">
            <v>788</v>
          </cell>
          <cell r="Q40">
            <v>519</v>
          </cell>
          <cell r="U40">
            <v>415</v>
          </cell>
          <cell r="AK40">
            <v>1722</v>
          </cell>
        </row>
        <row r="41">
          <cell r="AK41">
            <v>0</v>
          </cell>
        </row>
        <row r="42">
          <cell r="K42">
            <v>788</v>
          </cell>
          <cell r="Q42">
            <v>519</v>
          </cell>
          <cell r="U42">
            <v>415</v>
          </cell>
          <cell r="AK42">
            <v>1519</v>
          </cell>
        </row>
        <row r="43">
          <cell r="C43">
            <v>14292.169805900916</v>
          </cell>
          <cell r="I43">
            <v>2832.727272727273</v>
          </cell>
          <cell r="J43">
            <v>0</v>
          </cell>
          <cell r="K43">
            <v>9868.7272727272721</v>
          </cell>
          <cell r="L43">
            <v>5352.8863636363612</v>
          </cell>
          <cell r="M43">
            <v>3413.840909090909</v>
          </cell>
          <cell r="N43">
            <v>0</v>
          </cell>
          <cell r="O43">
            <v>2444.7272727272721</v>
          </cell>
          <cell r="P43">
            <v>752</v>
          </cell>
          <cell r="Q43">
            <v>1667.8272727272724</v>
          </cell>
          <cell r="R43">
            <v>123</v>
          </cell>
          <cell r="S43">
            <v>1391.636363636364</v>
          </cell>
          <cell r="T43">
            <v>447</v>
          </cell>
          <cell r="U43">
            <v>919.33636363636469</v>
          </cell>
          <cell r="V43">
            <v>0</v>
          </cell>
          <cell r="X43">
            <v>2771.9636363636364</v>
          </cell>
          <cell r="Y43">
            <v>1109.5818181818181</v>
          </cell>
          <cell r="Z43">
            <v>3881.545454545454</v>
          </cell>
          <cell r="AA43">
            <v>222.875</v>
          </cell>
          <cell r="AB43">
            <v>71.125</v>
          </cell>
          <cell r="AC43">
            <v>294</v>
          </cell>
          <cell r="AH43" t="str">
            <v>розрах.</v>
          </cell>
          <cell r="AI43" t="str">
            <v>розп.коштів</v>
          </cell>
        </row>
        <row r="45">
          <cell r="C45">
            <v>410.54545454545456</v>
          </cell>
          <cell r="I45">
            <v>725.72727272727275</v>
          </cell>
          <cell r="J45">
            <v>0</v>
          </cell>
          <cell r="K45">
            <v>1685.4545454545455</v>
          </cell>
          <cell r="L45">
            <v>728.25818181818181</v>
          </cell>
          <cell r="M45">
            <v>957.19636363636369</v>
          </cell>
          <cell r="N45">
            <v>0</v>
          </cell>
          <cell r="O45">
            <v>652.90909090909099</v>
          </cell>
          <cell r="P45">
            <v>203</v>
          </cell>
          <cell r="Q45">
            <v>449.90909090909093</v>
          </cell>
          <cell r="R45">
            <v>91</v>
          </cell>
          <cell r="S45">
            <v>541.63636363636363</v>
          </cell>
          <cell r="T45">
            <v>177</v>
          </cell>
          <cell r="U45">
            <v>364.63636363636363</v>
          </cell>
          <cell r="V45">
            <v>0</v>
          </cell>
          <cell r="X45">
            <v>1120.7636363636364</v>
          </cell>
          <cell r="Y45">
            <v>318.78181818181815</v>
          </cell>
          <cell r="Z45">
            <v>1439.5454545454545</v>
          </cell>
          <cell r="AA45">
            <v>127.875</v>
          </cell>
          <cell r="AB45">
            <v>64.125</v>
          </cell>
          <cell r="AC45">
            <v>192</v>
          </cell>
        </row>
        <row r="47">
          <cell r="C47">
            <v>414</v>
          </cell>
          <cell r="D47">
            <v>88</v>
          </cell>
          <cell r="E47">
            <v>326</v>
          </cell>
          <cell r="I47">
            <v>463</v>
          </cell>
          <cell r="K47">
            <v>777</v>
          </cell>
          <cell r="L47">
            <v>388.5</v>
          </cell>
          <cell r="M47">
            <v>388.5</v>
          </cell>
          <cell r="O47">
            <v>258</v>
          </cell>
          <cell r="P47">
            <v>80</v>
          </cell>
          <cell r="Q47">
            <v>178</v>
          </cell>
          <cell r="S47">
            <v>218</v>
          </cell>
          <cell r="T47">
            <v>71</v>
          </cell>
          <cell r="U47">
            <v>147</v>
          </cell>
          <cell r="W47">
            <v>340</v>
          </cell>
          <cell r="X47">
            <v>239</v>
          </cell>
          <cell r="Y47">
            <v>101</v>
          </cell>
          <cell r="AG47">
            <v>0</v>
          </cell>
          <cell r="AH47">
            <v>2517</v>
          </cell>
          <cell r="AJ47">
            <v>820</v>
          </cell>
          <cell r="AK47">
            <v>1697</v>
          </cell>
          <cell r="AL47">
            <v>151</v>
          </cell>
          <cell r="AM47">
            <v>589</v>
          </cell>
          <cell r="AN47">
            <v>669</v>
          </cell>
          <cell r="AO47">
            <v>1108</v>
          </cell>
        </row>
        <row r="48">
          <cell r="C48">
            <v>158</v>
          </cell>
          <cell r="D48">
            <v>0</v>
          </cell>
          <cell r="I48">
            <v>337</v>
          </cell>
          <cell r="K48">
            <v>218</v>
          </cell>
          <cell r="O48">
            <v>75</v>
          </cell>
          <cell r="S48">
            <v>120</v>
          </cell>
          <cell r="Y48">
            <v>0</v>
          </cell>
          <cell r="AH48">
            <v>942</v>
          </cell>
        </row>
        <row r="49">
          <cell r="I49">
            <v>1</v>
          </cell>
          <cell r="O49">
            <v>110</v>
          </cell>
          <cell r="S49">
            <v>0</v>
          </cell>
          <cell r="Y49">
            <v>0</v>
          </cell>
          <cell r="AH49">
            <v>111</v>
          </cell>
        </row>
        <row r="50">
          <cell r="C50">
            <v>256</v>
          </cell>
          <cell r="D50">
            <v>55</v>
          </cell>
          <cell r="I50">
            <v>10</v>
          </cell>
          <cell r="Y50">
            <v>0</v>
          </cell>
          <cell r="AH50">
            <v>266</v>
          </cell>
        </row>
        <row r="51">
          <cell r="C51">
            <v>29</v>
          </cell>
          <cell r="D51">
            <v>6</v>
          </cell>
          <cell r="E51">
            <v>23</v>
          </cell>
          <cell r="I51">
            <v>56</v>
          </cell>
          <cell r="K51">
            <v>664</v>
          </cell>
          <cell r="L51">
            <v>517.92000000000007</v>
          </cell>
          <cell r="M51">
            <v>146.07999999999993</v>
          </cell>
          <cell r="O51">
            <v>777</v>
          </cell>
          <cell r="P51">
            <v>241</v>
          </cell>
          <cell r="Q51">
            <v>536</v>
          </cell>
          <cell r="S51">
            <v>95</v>
          </cell>
          <cell r="T51">
            <v>31</v>
          </cell>
          <cell r="U51">
            <v>64</v>
          </cell>
          <cell r="W51">
            <v>251</v>
          </cell>
          <cell r="X51">
            <v>172</v>
          </cell>
          <cell r="Y51">
            <v>79</v>
          </cell>
          <cell r="AG51">
            <v>0</v>
          </cell>
          <cell r="AH51">
            <v>1798</v>
          </cell>
          <cell r="AJ51">
            <v>337</v>
          </cell>
          <cell r="AK51">
            <v>1461</v>
          </cell>
          <cell r="AL51">
            <v>272</v>
          </cell>
          <cell r="AM51">
            <v>826</v>
          </cell>
          <cell r="AN51">
            <v>65</v>
          </cell>
          <cell r="AO51">
            <v>635</v>
          </cell>
        </row>
        <row r="52">
          <cell r="C52">
            <v>0</v>
          </cell>
          <cell r="D52">
            <v>0</v>
          </cell>
          <cell r="E52">
            <v>0</v>
          </cell>
          <cell r="K52">
            <v>22</v>
          </cell>
          <cell r="L52">
            <v>22</v>
          </cell>
          <cell r="M52">
            <v>0</v>
          </cell>
          <cell r="O52">
            <v>647</v>
          </cell>
          <cell r="P52">
            <v>201</v>
          </cell>
          <cell r="Q52">
            <v>446</v>
          </cell>
          <cell r="S52">
            <v>14</v>
          </cell>
          <cell r="T52">
            <v>5</v>
          </cell>
          <cell r="U52">
            <v>9</v>
          </cell>
          <cell r="Y52">
            <v>0</v>
          </cell>
          <cell r="AH52">
            <v>683</v>
          </cell>
          <cell r="AJ52">
            <v>206</v>
          </cell>
          <cell r="AK52">
            <v>477</v>
          </cell>
          <cell r="AL52">
            <v>206</v>
          </cell>
          <cell r="AM52">
            <v>462</v>
          </cell>
          <cell r="AN52">
            <v>0</v>
          </cell>
          <cell r="AO52">
            <v>15</v>
          </cell>
        </row>
        <row r="53">
          <cell r="C53">
            <v>0</v>
          </cell>
          <cell r="D53">
            <v>0</v>
          </cell>
          <cell r="E53">
            <v>0</v>
          </cell>
          <cell r="K53">
            <v>18926</v>
          </cell>
          <cell r="L53">
            <v>18926</v>
          </cell>
          <cell r="M53">
            <v>0</v>
          </cell>
          <cell r="O53">
            <v>22508</v>
          </cell>
          <cell r="P53">
            <v>8374.9121951219513</v>
          </cell>
          <cell r="Q53">
            <v>14133.087804878049</v>
          </cell>
          <cell r="S53">
            <v>20436</v>
          </cell>
          <cell r="T53">
            <v>8329.4774346793329</v>
          </cell>
          <cell r="U53">
            <v>12106.522565320667</v>
          </cell>
          <cell r="Y53">
            <v>0</v>
          </cell>
          <cell r="AG53">
            <v>0</v>
          </cell>
          <cell r="AH53">
            <v>61870</v>
          </cell>
          <cell r="AJ53">
            <v>16704.389629801284</v>
          </cell>
          <cell r="AK53">
            <v>45165.610370198716</v>
          </cell>
          <cell r="AL53">
            <v>16704.389629801284</v>
          </cell>
          <cell r="AM53">
            <v>45166</v>
          </cell>
          <cell r="AN53">
            <v>0</v>
          </cell>
          <cell r="AO53">
            <v>-0.38962980128417257</v>
          </cell>
        </row>
        <row r="54">
          <cell r="C54">
            <v>0</v>
          </cell>
          <cell r="D54">
            <v>0</v>
          </cell>
          <cell r="E54">
            <v>0</v>
          </cell>
          <cell r="I54">
            <v>0</v>
          </cell>
          <cell r="K54">
            <v>18926</v>
          </cell>
          <cell r="L54">
            <v>18926</v>
          </cell>
          <cell r="M54">
            <v>0</v>
          </cell>
          <cell r="O54">
            <v>22508</v>
          </cell>
          <cell r="P54">
            <v>8374.9121951219513</v>
          </cell>
          <cell r="Q54">
            <v>14133.087804878049</v>
          </cell>
          <cell r="S54">
            <v>20436</v>
          </cell>
          <cell r="T54">
            <v>8329.4774346793329</v>
          </cell>
          <cell r="U54">
            <v>12106.522565320667</v>
          </cell>
          <cell r="W54">
            <v>0</v>
          </cell>
          <cell r="X54">
            <v>0</v>
          </cell>
          <cell r="Y54">
            <v>0</v>
          </cell>
          <cell r="AH54">
            <v>61870</v>
          </cell>
          <cell r="AJ54">
            <v>16704.389629801284</v>
          </cell>
          <cell r="AK54">
            <v>45165.610370198716</v>
          </cell>
          <cell r="AL54">
            <v>16704.389629801284</v>
          </cell>
          <cell r="AM54">
            <v>45166</v>
          </cell>
          <cell r="AN54">
            <v>0</v>
          </cell>
          <cell r="AO54">
            <v>-0.38962980128417257</v>
          </cell>
        </row>
        <row r="55">
          <cell r="C55">
            <v>0</v>
          </cell>
          <cell r="D55">
            <v>0</v>
          </cell>
          <cell r="E55">
            <v>0</v>
          </cell>
          <cell r="L55">
            <v>0</v>
          </cell>
          <cell r="M55">
            <v>0</v>
          </cell>
          <cell r="W55">
            <v>0</v>
          </cell>
          <cell r="Y55">
            <v>0</v>
          </cell>
          <cell r="AH55">
            <v>0</v>
          </cell>
          <cell r="AJ55">
            <v>0</v>
          </cell>
          <cell r="AK55">
            <v>0</v>
          </cell>
          <cell r="AM55">
            <v>0</v>
          </cell>
        </row>
        <row r="56">
          <cell r="C56">
            <v>3</v>
          </cell>
          <cell r="D56">
            <v>1</v>
          </cell>
          <cell r="E56">
            <v>2</v>
          </cell>
          <cell r="I56">
            <v>91</v>
          </cell>
          <cell r="K56">
            <v>3197</v>
          </cell>
          <cell r="L56">
            <v>3197</v>
          </cell>
          <cell r="M56">
            <v>0</v>
          </cell>
          <cell r="O56">
            <v>0</v>
          </cell>
          <cell r="P56">
            <v>0</v>
          </cell>
          <cell r="Q56">
            <v>0</v>
          </cell>
          <cell r="S56">
            <v>0</v>
          </cell>
          <cell r="T56">
            <v>0</v>
          </cell>
          <cell r="U56">
            <v>0</v>
          </cell>
          <cell r="W56">
            <v>1374</v>
          </cell>
          <cell r="X56">
            <v>682</v>
          </cell>
          <cell r="Y56">
            <v>692</v>
          </cell>
          <cell r="AG56">
            <v>0</v>
          </cell>
          <cell r="AH56">
            <v>3973</v>
          </cell>
          <cell r="AJ56">
            <v>92</v>
          </cell>
          <cell r="AK56">
            <v>3881</v>
          </cell>
          <cell r="AL56">
            <v>0</v>
          </cell>
          <cell r="AM56">
            <v>1087</v>
          </cell>
          <cell r="AN56">
            <v>92</v>
          </cell>
          <cell r="AO56">
            <v>2794</v>
          </cell>
        </row>
        <row r="57">
          <cell r="C57">
            <v>298.54545454545456</v>
          </cell>
          <cell r="D57">
            <v>64</v>
          </cell>
          <cell r="E57">
            <v>234.54545454545456</v>
          </cell>
          <cell r="I57">
            <v>477.72727272727275</v>
          </cell>
          <cell r="K57">
            <v>928.72727272727275</v>
          </cell>
          <cell r="L57">
            <v>455.07636363636362</v>
          </cell>
          <cell r="M57">
            <v>473.65090909090912</v>
          </cell>
          <cell r="O57">
            <v>272.72727272727275</v>
          </cell>
          <cell r="P57">
            <v>85</v>
          </cell>
          <cell r="Q57">
            <v>187.72727272727275</v>
          </cell>
          <cell r="S57">
            <v>248.63636363636363</v>
          </cell>
          <cell r="T57">
            <v>81</v>
          </cell>
          <cell r="U57">
            <v>167.63636363636363</v>
          </cell>
          <cell r="W57">
            <v>958.5454545454545</v>
          </cell>
          <cell r="X57">
            <v>814.76363636363635</v>
          </cell>
          <cell r="Y57">
            <v>143.78181818181815</v>
          </cell>
          <cell r="AG57">
            <v>0</v>
          </cell>
          <cell r="AH57">
            <v>3265.1272727272726</v>
          </cell>
          <cell r="AJ57">
            <v>854.72727272727275</v>
          </cell>
          <cell r="AK57">
            <v>2410.3999999999996</v>
          </cell>
          <cell r="AL57">
            <v>166</v>
          </cell>
          <cell r="AM57">
            <v>671</v>
          </cell>
          <cell r="AN57">
            <v>688.72727272727275</v>
          </cell>
          <cell r="AO57">
            <v>1739.3999999999996</v>
          </cell>
        </row>
        <row r="58">
          <cell r="C58">
            <v>16</v>
          </cell>
          <cell r="D58">
            <v>3</v>
          </cell>
          <cell r="E58">
            <v>13</v>
          </cell>
          <cell r="I58">
            <v>26</v>
          </cell>
          <cell r="K58">
            <v>51</v>
          </cell>
          <cell r="L58">
            <v>164</v>
          </cell>
          <cell r="M58">
            <v>-113</v>
          </cell>
          <cell r="O58">
            <v>15</v>
          </cell>
          <cell r="P58">
            <v>5</v>
          </cell>
          <cell r="Q58">
            <v>10</v>
          </cell>
          <cell r="S58">
            <v>14</v>
          </cell>
          <cell r="T58">
            <v>5</v>
          </cell>
          <cell r="U58">
            <v>9</v>
          </cell>
          <cell r="W58">
            <v>53</v>
          </cell>
          <cell r="X58">
            <v>45</v>
          </cell>
          <cell r="Y58">
            <v>8</v>
          </cell>
          <cell r="AG58">
            <v>0</v>
          </cell>
          <cell r="AH58">
            <v>179</v>
          </cell>
          <cell r="AJ58">
            <v>47</v>
          </cell>
          <cell r="AK58">
            <v>132</v>
          </cell>
          <cell r="AL58">
            <v>10</v>
          </cell>
          <cell r="AM58">
            <v>28</v>
          </cell>
          <cell r="AN58">
            <v>37</v>
          </cell>
          <cell r="AO58">
            <v>104</v>
          </cell>
        </row>
        <row r="59">
          <cell r="C59">
            <v>96</v>
          </cell>
          <cell r="D59">
            <v>0</v>
          </cell>
          <cell r="E59">
            <v>0</v>
          </cell>
          <cell r="I59">
            <v>153</v>
          </cell>
          <cell r="K59">
            <v>297</v>
          </cell>
          <cell r="L59">
            <v>7</v>
          </cell>
          <cell r="M59">
            <v>290</v>
          </cell>
          <cell r="O59">
            <v>87</v>
          </cell>
          <cell r="P59">
            <v>27</v>
          </cell>
          <cell r="Q59">
            <v>60</v>
          </cell>
          <cell r="S59">
            <v>80</v>
          </cell>
          <cell r="T59">
            <v>26</v>
          </cell>
          <cell r="U59">
            <v>54</v>
          </cell>
          <cell r="W59">
            <v>307</v>
          </cell>
          <cell r="X59">
            <v>261</v>
          </cell>
          <cell r="Y59">
            <v>46</v>
          </cell>
          <cell r="AG59">
            <v>0</v>
          </cell>
          <cell r="AH59">
            <v>1046</v>
          </cell>
          <cell r="AJ59">
            <v>253</v>
          </cell>
          <cell r="AK59">
            <v>793</v>
          </cell>
          <cell r="AL59">
            <v>0</v>
          </cell>
          <cell r="AM59">
            <v>0</v>
          </cell>
          <cell r="AN59">
            <v>0</v>
          </cell>
          <cell r="AO59">
            <v>0</v>
          </cell>
        </row>
        <row r="60">
          <cell r="C60">
            <v>0</v>
          </cell>
          <cell r="D60">
            <v>0</v>
          </cell>
          <cell r="E60">
            <v>0</v>
          </cell>
          <cell r="I60">
            <v>0</v>
          </cell>
          <cell r="L60">
            <v>0</v>
          </cell>
          <cell r="M60">
            <v>0</v>
          </cell>
          <cell r="O60">
            <v>0</v>
          </cell>
          <cell r="P60">
            <v>0</v>
          </cell>
          <cell r="Q60">
            <v>0</v>
          </cell>
          <cell r="T60">
            <v>0</v>
          </cell>
          <cell r="U60">
            <v>0</v>
          </cell>
          <cell r="AG60">
            <v>0</v>
          </cell>
          <cell r="AH60">
            <v>0</v>
          </cell>
          <cell r="AJ60">
            <v>0</v>
          </cell>
          <cell r="AK60">
            <v>0</v>
          </cell>
          <cell r="AL60">
            <v>0</v>
          </cell>
          <cell r="AM60">
            <v>0</v>
          </cell>
          <cell r="AN60">
            <v>0</v>
          </cell>
          <cell r="AO60">
            <v>0</v>
          </cell>
        </row>
        <row r="61">
          <cell r="C61">
            <v>87.333333333333329</v>
          </cell>
          <cell r="D61">
            <v>19</v>
          </cell>
          <cell r="E61">
            <v>68.333333333333329</v>
          </cell>
          <cell r="I61">
            <v>598</v>
          </cell>
          <cell r="K61">
            <v>1295</v>
          </cell>
          <cell r="L61">
            <v>207.20000000000002</v>
          </cell>
          <cell r="M61">
            <v>1087.8</v>
          </cell>
          <cell r="O61">
            <v>688</v>
          </cell>
          <cell r="P61">
            <v>213</v>
          </cell>
          <cell r="Q61">
            <v>475</v>
          </cell>
          <cell r="S61">
            <v>734</v>
          </cell>
          <cell r="T61">
            <v>240</v>
          </cell>
          <cell r="U61">
            <v>494</v>
          </cell>
          <cell r="W61">
            <v>574</v>
          </cell>
          <cell r="X61">
            <v>494</v>
          </cell>
          <cell r="Y61">
            <v>80</v>
          </cell>
          <cell r="AG61">
            <v>0</v>
          </cell>
          <cell r="AH61">
            <v>3906.3333333333335</v>
          </cell>
          <cell r="AJ61">
            <v>1078</v>
          </cell>
          <cell r="AK61">
            <v>2828.3333333333335</v>
          </cell>
          <cell r="AL61">
            <v>453</v>
          </cell>
          <cell r="AM61">
            <v>1409</v>
          </cell>
          <cell r="AN61">
            <v>625</v>
          </cell>
          <cell r="AO61">
            <v>1419.3333333333335</v>
          </cell>
        </row>
        <row r="62">
          <cell r="W62">
            <v>57</v>
          </cell>
          <cell r="AH62">
            <v>0</v>
          </cell>
          <cell r="AJ62">
            <v>0</v>
          </cell>
        </row>
        <row r="63">
          <cell r="C63">
            <v>87.333333333333329</v>
          </cell>
          <cell r="D63">
            <v>19</v>
          </cell>
          <cell r="E63">
            <v>68.333333333333329</v>
          </cell>
          <cell r="I63">
            <v>626</v>
          </cell>
          <cell r="K63">
            <v>1802</v>
          </cell>
          <cell r="L63">
            <v>288.32</v>
          </cell>
          <cell r="M63">
            <v>1513.68</v>
          </cell>
          <cell r="O63">
            <v>219</v>
          </cell>
          <cell r="P63">
            <v>68</v>
          </cell>
          <cell r="Q63">
            <v>151</v>
          </cell>
          <cell r="S63">
            <v>176</v>
          </cell>
          <cell r="T63">
            <v>58</v>
          </cell>
          <cell r="U63">
            <v>118</v>
          </cell>
          <cell r="W63">
            <v>84</v>
          </cell>
          <cell r="X63">
            <v>84</v>
          </cell>
          <cell r="Y63">
            <v>0</v>
          </cell>
          <cell r="AH63">
            <v>2994.3333333333335</v>
          </cell>
          <cell r="AJ63">
            <v>771</v>
          </cell>
          <cell r="AK63">
            <v>2223.3333333333335</v>
          </cell>
          <cell r="AM63">
            <v>765</v>
          </cell>
        </row>
        <row r="64">
          <cell r="C64">
            <v>0</v>
          </cell>
          <cell r="D64">
            <v>0</v>
          </cell>
          <cell r="I64">
            <v>0</v>
          </cell>
          <cell r="K64">
            <v>0</v>
          </cell>
          <cell r="L64">
            <v>0</v>
          </cell>
          <cell r="M64">
            <v>0</v>
          </cell>
          <cell r="O64">
            <v>0</v>
          </cell>
          <cell r="P64">
            <v>0</v>
          </cell>
          <cell r="Q64">
            <v>0</v>
          </cell>
          <cell r="S64">
            <v>0</v>
          </cell>
          <cell r="T64">
            <v>0</v>
          </cell>
          <cell r="U64">
            <v>0</v>
          </cell>
          <cell r="Y64">
            <v>0</v>
          </cell>
          <cell r="AH64">
            <v>0</v>
          </cell>
          <cell r="AJ64">
            <v>0</v>
          </cell>
          <cell r="AK64">
            <v>0</v>
          </cell>
          <cell r="AM64">
            <v>0</v>
          </cell>
        </row>
        <row r="65">
          <cell r="I65">
            <v>-28</v>
          </cell>
          <cell r="K65">
            <v>-507</v>
          </cell>
          <cell r="L65">
            <v>-81.119999999999976</v>
          </cell>
          <cell r="M65">
            <v>-425.88000000000011</v>
          </cell>
          <cell r="O65">
            <v>469</v>
          </cell>
          <cell r="P65">
            <v>145</v>
          </cell>
          <cell r="Q65">
            <v>324</v>
          </cell>
          <cell r="S65">
            <v>558</v>
          </cell>
          <cell r="T65">
            <v>182</v>
          </cell>
          <cell r="U65">
            <v>376</v>
          </cell>
          <cell r="W65">
            <v>433</v>
          </cell>
          <cell r="X65">
            <v>410</v>
          </cell>
          <cell r="Y65">
            <v>80</v>
          </cell>
          <cell r="AH65">
            <v>912</v>
          </cell>
          <cell r="AJ65">
            <v>307</v>
          </cell>
        </row>
        <row r="66">
          <cell r="C66">
            <v>0</v>
          </cell>
          <cell r="D66">
            <v>0</v>
          </cell>
          <cell r="E66">
            <v>0</v>
          </cell>
          <cell r="I66">
            <v>384</v>
          </cell>
          <cell r="K66">
            <v>873</v>
          </cell>
          <cell r="L66">
            <v>218.25</v>
          </cell>
          <cell r="M66">
            <v>654.75</v>
          </cell>
          <cell r="O66">
            <v>638</v>
          </cell>
          <cell r="P66">
            <v>198</v>
          </cell>
          <cell r="Q66">
            <v>440</v>
          </cell>
          <cell r="S66">
            <v>449</v>
          </cell>
          <cell r="T66">
            <v>147</v>
          </cell>
          <cell r="U66">
            <v>302</v>
          </cell>
          <cell r="W66">
            <v>272</v>
          </cell>
          <cell r="X66">
            <v>272</v>
          </cell>
          <cell r="Y66">
            <v>0</v>
          </cell>
          <cell r="AH66">
            <v>2616</v>
          </cell>
          <cell r="AJ66">
            <v>729</v>
          </cell>
          <cell r="AK66">
            <v>1887</v>
          </cell>
          <cell r="AL66">
            <v>345</v>
          </cell>
          <cell r="AM66">
            <v>1039</v>
          </cell>
          <cell r="AN66">
            <v>384</v>
          </cell>
          <cell r="AO66">
            <v>848</v>
          </cell>
        </row>
        <row r="67">
          <cell r="I67">
            <v>50</v>
          </cell>
          <cell r="K67">
            <v>296.72727272727275</v>
          </cell>
          <cell r="L67">
            <v>74.181818181818187</v>
          </cell>
          <cell r="M67">
            <v>222.54545454545456</v>
          </cell>
          <cell r="O67">
            <v>202.18181818181819</v>
          </cell>
          <cell r="P67">
            <v>63</v>
          </cell>
          <cell r="Q67">
            <v>139.18181818181819</v>
          </cell>
          <cell r="S67">
            <v>144</v>
          </cell>
          <cell r="T67">
            <v>47</v>
          </cell>
          <cell r="U67">
            <v>97</v>
          </cell>
          <cell r="W67">
            <v>88</v>
          </cell>
          <cell r="X67">
            <v>0</v>
          </cell>
          <cell r="Y67">
            <v>88</v>
          </cell>
          <cell r="AH67">
            <v>692.90909090909099</v>
          </cell>
          <cell r="AJ67">
            <v>160</v>
          </cell>
          <cell r="AK67">
            <v>532.90909090909099</v>
          </cell>
        </row>
        <row r="68">
          <cell r="C68">
            <v>0</v>
          </cell>
          <cell r="I68">
            <v>3</v>
          </cell>
          <cell r="K68">
            <v>17</v>
          </cell>
          <cell r="L68">
            <v>4.25</v>
          </cell>
          <cell r="M68">
            <v>12.75</v>
          </cell>
          <cell r="O68">
            <v>11</v>
          </cell>
          <cell r="P68">
            <v>3</v>
          </cell>
          <cell r="Q68">
            <v>8</v>
          </cell>
          <cell r="S68">
            <v>8</v>
          </cell>
          <cell r="T68">
            <v>3</v>
          </cell>
          <cell r="U68">
            <v>5</v>
          </cell>
          <cell r="W68">
            <v>5</v>
          </cell>
          <cell r="X68">
            <v>0</v>
          </cell>
          <cell r="Y68">
            <v>5</v>
          </cell>
          <cell r="AH68">
            <v>39</v>
          </cell>
          <cell r="AJ68">
            <v>9</v>
          </cell>
          <cell r="AK68">
            <v>30</v>
          </cell>
        </row>
        <row r="69">
          <cell r="C69">
            <v>0</v>
          </cell>
          <cell r="I69">
            <v>16</v>
          </cell>
          <cell r="K69">
            <v>95</v>
          </cell>
          <cell r="L69">
            <v>23.75</v>
          </cell>
          <cell r="M69">
            <v>71.25</v>
          </cell>
          <cell r="O69">
            <v>65</v>
          </cell>
          <cell r="P69">
            <v>20</v>
          </cell>
          <cell r="Q69">
            <v>45</v>
          </cell>
          <cell r="S69">
            <v>47</v>
          </cell>
          <cell r="T69">
            <v>15</v>
          </cell>
          <cell r="U69">
            <v>32</v>
          </cell>
          <cell r="W69">
            <v>28</v>
          </cell>
          <cell r="X69">
            <v>0</v>
          </cell>
          <cell r="Y69">
            <v>28</v>
          </cell>
          <cell r="AH69">
            <v>223</v>
          </cell>
          <cell r="AJ69">
            <v>51</v>
          </cell>
          <cell r="AK69">
            <v>172</v>
          </cell>
        </row>
        <row r="70">
          <cell r="C70">
            <v>0</v>
          </cell>
          <cell r="L70">
            <v>0</v>
          </cell>
          <cell r="M70">
            <v>0</v>
          </cell>
          <cell r="O70">
            <v>0</v>
          </cell>
          <cell r="P70">
            <v>0</v>
          </cell>
          <cell r="Q70">
            <v>0</v>
          </cell>
          <cell r="S70">
            <v>0</v>
          </cell>
          <cell r="T70">
            <v>0</v>
          </cell>
          <cell r="U70">
            <v>0</v>
          </cell>
          <cell r="W70">
            <v>0</v>
          </cell>
          <cell r="X70">
            <v>0</v>
          </cell>
          <cell r="Y70">
            <v>0</v>
          </cell>
          <cell r="AH70">
            <v>0</v>
          </cell>
          <cell r="AJ70">
            <v>0</v>
          </cell>
          <cell r="AK70">
            <v>0</v>
          </cell>
        </row>
        <row r="71">
          <cell r="I71">
            <v>384</v>
          </cell>
          <cell r="K71">
            <v>873</v>
          </cell>
          <cell r="L71">
            <v>218.25</v>
          </cell>
          <cell r="M71">
            <v>654.75</v>
          </cell>
          <cell r="O71">
            <v>638</v>
          </cell>
          <cell r="P71">
            <v>198</v>
          </cell>
          <cell r="Q71">
            <v>440</v>
          </cell>
          <cell r="S71">
            <v>449</v>
          </cell>
          <cell r="T71">
            <v>147</v>
          </cell>
          <cell r="U71">
            <v>302</v>
          </cell>
          <cell r="W71">
            <v>272</v>
          </cell>
          <cell r="X71">
            <v>272</v>
          </cell>
          <cell r="Y71">
            <v>0</v>
          </cell>
          <cell r="AH71">
            <v>2616</v>
          </cell>
          <cell r="AJ71">
            <v>729</v>
          </cell>
          <cell r="AK71">
            <v>1887</v>
          </cell>
        </row>
        <row r="72">
          <cell r="I72">
            <v>0</v>
          </cell>
          <cell r="K72">
            <v>0</v>
          </cell>
          <cell r="L72">
            <v>0</v>
          </cell>
          <cell r="M72">
            <v>0</v>
          </cell>
          <cell r="O72">
            <v>0</v>
          </cell>
          <cell r="Q72">
            <v>0</v>
          </cell>
          <cell r="S72">
            <v>0</v>
          </cell>
          <cell r="T72">
            <v>0</v>
          </cell>
          <cell r="U72">
            <v>0</v>
          </cell>
          <cell r="Y72">
            <v>0</v>
          </cell>
          <cell r="AH72">
            <v>0</v>
          </cell>
          <cell r="AJ72">
            <v>0</v>
          </cell>
          <cell r="AK72">
            <v>0</v>
          </cell>
        </row>
        <row r="73">
          <cell r="C73">
            <v>1774</v>
          </cell>
          <cell r="D73">
            <v>377</v>
          </cell>
          <cell r="E73">
            <v>1397</v>
          </cell>
          <cell r="I73">
            <v>164</v>
          </cell>
          <cell r="K73">
            <v>282</v>
          </cell>
          <cell r="L73">
            <v>116.82000000000001</v>
          </cell>
          <cell r="M73">
            <v>60.179999999999993</v>
          </cell>
          <cell r="O73">
            <v>114</v>
          </cell>
          <cell r="P73">
            <v>37</v>
          </cell>
          <cell r="Q73">
            <v>80.099999999999994</v>
          </cell>
          <cell r="S73">
            <v>84</v>
          </cell>
          <cell r="T73">
            <v>28</v>
          </cell>
          <cell r="U73">
            <v>57.7</v>
          </cell>
          <cell r="W73">
            <v>225</v>
          </cell>
          <cell r="X73">
            <v>186.2</v>
          </cell>
          <cell r="Y73">
            <v>38.799999999999997</v>
          </cell>
          <cell r="AG73">
            <v>0</v>
          </cell>
          <cell r="AH73">
            <v>3086.8666666666663</v>
          </cell>
          <cell r="AJ73">
            <v>832</v>
          </cell>
          <cell r="AK73">
            <v>2254.8666666666663</v>
          </cell>
          <cell r="AL73">
            <v>65</v>
          </cell>
          <cell r="AM73">
            <v>234</v>
          </cell>
          <cell r="AN73">
            <v>767</v>
          </cell>
          <cell r="AO73">
            <v>2020.8666666666663</v>
          </cell>
        </row>
        <row r="74">
          <cell r="C74">
            <v>105</v>
          </cell>
          <cell r="D74">
            <v>22</v>
          </cell>
          <cell r="E74">
            <v>83</v>
          </cell>
          <cell r="P74">
            <v>0</v>
          </cell>
          <cell r="Q74">
            <v>0</v>
          </cell>
          <cell r="AH74">
            <v>105</v>
          </cell>
          <cell r="AJ74">
            <v>22</v>
          </cell>
          <cell r="AK74">
            <v>83</v>
          </cell>
          <cell r="AL74">
            <v>0</v>
          </cell>
          <cell r="AM74">
            <v>0</v>
          </cell>
          <cell r="AN74">
            <v>22</v>
          </cell>
          <cell r="AO74">
            <v>83</v>
          </cell>
        </row>
        <row r="75">
          <cell r="C75">
            <v>1669</v>
          </cell>
          <cell r="D75">
            <v>355</v>
          </cell>
          <cell r="E75">
            <v>1314</v>
          </cell>
          <cell r="I75">
            <v>164</v>
          </cell>
          <cell r="K75">
            <v>282</v>
          </cell>
          <cell r="L75">
            <v>116.82000000000001</v>
          </cell>
          <cell r="M75">
            <v>60.179999999999993</v>
          </cell>
          <cell r="O75">
            <v>114</v>
          </cell>
          <cell r="P75">
            <v>37</v>
          </cell>
          <cell r="Q75">
            <v>80.099999999999994</v>
          </cell>
          <cell r="S75">
            <v>84</v>
          </cell>
          <cell r="T75">
            <v>28</v>
          </cell>
          <cell r="U75">
            <v>57.7</v>
          </cell>
          <cell r="W75">
            <v>225</v>
          </cell>
          <cell r="X75">
            <v>186.2</v>
          </cell>
          <cell r="Y75">
            <v>38.799999999999997</v>
          </cell>
          <cell r="AG75">
            <v>0</v>
          </cell>
          <cell r="AH75">
            <v>2981.8666666666663</v>
          </cell>
          <cell r="AJ75">
            <v>810</v>
          </cell>
          <cell r="AK75">
            <v>2171.8666666666663</v>
          </cell>
          <cell r="AL75">
            <v>65</v>
          </cell>
          <cell r="AM75">
            <v>234</v>
          </cell>
          <cell r="AN75">
            <v>745</v>
          </cell>
          <cell r="AO75">
            <v>1937.8666666666663</v>
          </cell>
        </row>
        <row r="76">
          <cell r="C76">
            <v>617</v>
          </cell>
          <cell r="D76">
            <v>131</v>
          </cell>
          <cell r="E76">
            <v>486</v>
          </cell>
          <cell r="I76">
            <v>66</v>
          </cell>
          <cell r="K76">
            <v>177</v>
          </cell>
          <cell r="L76">
            <v>116.82000000000001</v>
          </cell>
          <cell r="M76">
            <v>60.179999999999993</v>
          </cell>
          <cell r="O76">
            <v>74</v>
          </cell>
          <cell r="P76">
            <v>23</v>
          </cell>
          <cell r="Q76">
            <v>51</v>
          </cell>
          <cell r="S76">
            <v>43</v>
          </cell>
          <cell r="T76">
            <v>14</v>
          </cell>
          <cell r="U76">
            <v>29</v>
          </cell>
          <cell r="W76">
            <v>163</v>
          </cell>
          <cell r="X76">
            <v>149</v>
          </cell>
          <cell r="Y76">
            <v>14</v>
          </cell>
          <cell r="AH76">
            <v>1230</v>
          </cell>
          <cell r="AJ76">
            <v>295</v>
          </cell>
          <cell r="AK76">
            <v>935</v>
          </cell>
          <cell r="AO76">
            <v>935</v>
          </cell>
        </row>
        <row r="77">
          <cell r="D77">
            <v>0</v>
          </cell>
          <cell r="E77">
            <v>0</v>
          </cell>
          <cell r="K77">
            <v>0</v>
          </cell>
          <cell r="P77">
            <v>0</v>
          </cell>
          <cell r="Q77">
            <v>0</v>
          </cell>
          <cell r="T77">
            <v>0</v>
          </cell>
          <cell r="U77">
            <v>0</v>
          </cell>
          <cell r="Y77">
            <v>0</v>
          </cell>
          <cell r="AH77">
            <v>363.66666666666663</v>
          </cell>
          <cell r="AJ77">
            <v>158</v>
          </cell>
          <cell r="AK77">
            <v>205.66666666666663</v>
          </cell>
          <cell r="AO77">
            <v>205.66666666666663</v>
          </cell>
        </row>
        <row r="78">
          <cell r="C78">
            <v>442</v>
          </cell>
          <cell r="D78">
            <v>94</v>
          </cell>
          <cell r="E78">
            <v>348</v>
          </cell>
          <cell r="I78">
            <v>20</v>
          </cell>
          <cell r="K78">
            <v>46</v>
          </cell>
          <cell r="O78">
            <v>12</v>
          </cell>
          <cell r="P78">
            <v>4</v>
          </cell>
          <cell r="Q78">
            <v>8</v>
          </cell>
          <cell r="S78">
            <v>9</v>
          </cell>
          <cell r="T78">
            <v>3</v>
          </cell>
          <cell r="U78">
            <v>6</v>
          </cell>
          <cell r="W78">
            <v>12</v>
          </cell>
          <cell r="X78">
            <v>7.1999999999999993</v>
          </cell>
          <cell r="Y78">
            <v>4.8000000000000007</v>
          </cell>
          <cell r="AH78">
            <v>540.20000000000005</v>
          </cell>
          <cell r="AJ78">
            <v>123</v>
          </cell>
          <cell r="AK78">
            <v>417.20000000000005</v>
          </cell>
        </row>
        <row r="79">
          <cell r="C79">
            <v>610</v>
          </cell>
          <cell r="D79">
            <v>130</v>
          </cell>
          <cell r="E79">
            <v>480</v>
          </cell>
          <cell r="I79">
            <v>78</v>
          </cell>
          <cell r="K79">
            <v>59</v>
          </cell>
          <cell r="O79">
            <v>28</v>
          </cell>
          <cell r="P79">
            <v>9</v>
          </cell>
          <cell r="Q79">
            <v>19</v>
          </cell>
          <cell r="S79">
            <v>32</v>
          </cell>
          <cell r="T79">
            <v>10</v>
          </cell>
          <cell r="U79">
            <v>22</v>
          </cell>
          <cell r="W79">
            <v>50</v>
          </cell>
          <cell r="X79">
            <v>30</v>
          </cell>
          <cell r="Y79">
            <v>20</v>
          </cell>
          <cell r="AH79">
            <v>848</v>
          </cell>
        </row>
        <row r="80">
          <cell r="D80">
            <v>0</v>
          </cell>
          <cell r="E80">
            <v>0</v>
          </cell>
          <cell r="P80">
            <v>0</v>
          </cell>
          <cell r="Q80">
            <v>0</v>
          </cell>
          <cell r="T80">
            <v>0</v>
          </cell>
          <cell r="U80">
            <v>0</v>
          </cell>
          <cell r="AH80">
            <v>0</v>
          </cell>
        </row>
        <row r="81">
          <cell r="C81">
            <v>19.399999999999999</v>
          </cell>
          <cell r="D81">
            <v>4</v>
          </cell>
          <cell r="E81">
            <v>15.399999999999999</v>
          </cell>
          <cell r="I81">
            <v>3.1</v>
          </cell>
          <cell r="K81">
            <v>7.5</v>
          </cell>
          <cell r="O81">
            <v>3.1</v>
          </cell>
          <cell r="P81">
            <v>1</v>
          </cell>
          <cell r="Q81">
            <v>2.1</v>
          </cell>
          <cell r="S81">
            <v>1.7</v>
          </cell>
          <cell r="T81">
            <v>1</v>
          </cell>
          <cell r="U81">
            <v>0.7</v>
          </cell>
          <cell r="W81">
            <v>4.8</v>
          </cell>
          <cell r="Y81">
            <v>4.8</v>
          </cell>
          <cell r="AH81">
            <v>35.800000000000004</v>
          </cell>
          <cell r="AJ81">
            <v>10.1</v>
          </cell>
          <cell r="AK81">
            <v>25.700000000000003</v>
          </cell>
        </row>
        <row r="82">
          <cell r="C82">
            <v>2717.878787878788</v>
          </cell>
          <cell r="D82">
            <v>558</v>
          </cell>
          <cell r="E82">
            <v>2063.878787878788</v>
          </cell>
          <cell r="I82">
            <v>2412.727272727273</v>
          </cell>
          <cell r="J82">
            <v>0</v>
          </cell>
          <cell r="K82">
            <v>27290.727272727272</v>
          </cell>
          <cell r="L82">
            <v>24197.766363636361</v>
          </cell>
          <cell r="M82">
            <v>2987.9609090909089</v>
          </cell>
          <cell r="N82">
            <v>0</v>
          </cell>
          <cell r="O82">
            <v>25357.727272727272</v>
          </cell>
          <cell r="P82">
            <v>9260.9121951219513</v>
          </cell>
          <cell r="Q82">
            <v>16099.915077605321</v>
          </cell>
          <cell r="R82">
            <v>0</v>
          </cell>
          <cell r="S82">
            <v>22358.636363636364</v>
          </cell>
          <cell r="T82">
            <v>8958.4774346793329</v>
          </cell>
          <cell r="U82">
            <v>13401.858928957032</v>
          </cell>
          <cell r="V82">
            <v>0</v>
          </cell>
          <cell r="W82">
            <v>4354.545454545454</v>
          </cell>
          <cell r="X82">
            <v>3165.9636363636364</v>
          </cell>
          <cell r="Y82">
            <v>1188.5818181818181</v>
          </cell>
          <cell r="AA82">
            <v>0</v>
          </cell>
          <cell r="AB82">
            <v>0</v>
          </cell>
          <cell r="AC82">
            <v>0</v>
          </cell>
          <cell r="AH82">
            <v>84257.327272727271</v>
          </cell>
          <cell r="AI82">
            <v>3671.5454545454545</v>
          </cell>
          <cell r="AJ82">
            <v>21747.116902528556</v>
          </cell>
          <cell r="AK82">
            <v>62510.210370198722</v>
          </cell>
          <cell r="AL82">
            <v>18166.389629801284</v>
          </cell>
          <cell r="AM82">
            <v>51049</v>
          </cell>
          <cell r="AN82">
            <v>3327.727272727273</v>
          </cell>
          <cell r="AO82">
            <v>10668.210370198716</v>
          </cell>
        </row>
        <row r="83">
          <cell r="C83">
            <v>2612.878787878788</v>
          </cell>
          <cell r="D83">
            <v>536</v>
          </cell>
          <cell r="E83">
            <v>1980.878787878788</v>
          </cell>
          <cell r="Y83">
            <v>0</v>
          </cell>
          <cell r="AH83">
            <v>22387.327272727271</v>
          </cell>
          <cell r="AI83">
            <v>2612.878787878788</v>
          </cell>
          <cell r="AJ83">
            <v>5042.7272727272721</v>
          </cell>
          <cell r="AK83">
            <v>17344.600000000006</v>
          </cell>
          <cell r="AL83">
            <v>1462</v>
          </cell>
          <cell r="AM83">
            <v>5883</v>
          </cell>
          <cell r="AN83">
            <v>3327.727272727273</v>
          </cell>
          <cell r="AO83">
            <v>10668.6</v>
          </cell>
        </row>
        <row r="84">
          <cell r="Y84">
            <v>0</v>
          </cell>
          <cell r="AI84">
            <v>0</v>
          </cell>
        </row>
        <row r="85">
          <cell r="C85">
            <v>11292</v>
          </cell>
          <cell r="D85">
            <v>11292</v>
          </cell>
          <cell r="Y85">
            <v>0</v>
          </cell>
          <cell r="AH85">
            <v>11292</v>
          </cell>
          <cell r="AI85">
            <v>11292</v>
          </cell>
          <cell r="AJ85">
            <v>11292</v>
          </cell>
          <cell r="AK85">
            <v>0</v>
          </cell>
          <cell r="AL85">
            <v>0</v>
          </cell>
          <cell r="AM85">
            <v>0</v>
          </cell>
          <cell r="AN85">
            <v>0</v>
          </cell>
          <cell r="AO85">
            <v>0</v>
          </cell>
        </row>
        <row r="86">
          <cell r="C86">
            <v>14009.878787878788</v>
          </cell>
          <cell r="D86">
            <v>11850</v>
          </cell>
          <cell r="E86">
            <v>2063.878787878788</v>
          </cell>
          <cell r="I86">
            <v>2412.727272727273</v>
          </cell>
          <cell r="J86">
            <v>0</v>
          </cell>
          <cell r="K86">
            <v>27290.727272727272</v>
          </cell>
          <cell r="L86">
            <v>24197.766363636361</v>
          </cell>
          <cell r="M86">
            <v>2987.9609090909089</v>
          </cell>
          <cell r="N86">
            <v>0</v>
          </cell>
          <cell r="O86">
            <v>25357.727272727272</v>
          </cell>
          <cell r="P86">
            <v>9260.9121951219513</v>
          </cell>
          <cell r="Q86">
            <v>16099.915077605321</v>
          </cell>
          <cell r="R86">
            <v>0</v>
          </cell>
          <cell r="S86">
            <v>22358.636363636364</v>
          </cell>
          <cell r="T86">
            <v>8958.4774346793329</v>
          </cell>
          <cell r="U86">
            <v>13401.858928957032</v>
          </cell>
          <cell r="V86">
            <v>0</v>
          </cell>
          <cell r="W86">
            <v>4354.545454545454</v>
          </cell>
          <cell r="X86">
            <v>3165.9636363636364</v>
          </cell>
          <cell r="Y86">
            <v>1188.5818181818181</v>
          </cell>
          <cell r="AA86">
            <v>0</v>
          </cell>
          <cell r="AB86">
            <v>0</v>
          </cell>
          <cell r="AC86">
            <v>0</v>
          </cell>
          <cell r="AG86">
            <v>0</v>
          </cell>
          <cell r="AH86">
            <v>95549.327272727271</v>
          </cell>
          <cell r="AI86">
            <v>14963.545454545454</v>
          </cell>
          <cell r="AJ86">
            <v>33039.116902528556</v>
          </cell>
          <cell r="AK86">
            <v>62510.210370198722</v>
          </cell>
          <cell r="AL86">
            <v>18166.389629801284</v>
          </cell>
          <cell r="AM86">
            <v>51049</v>
          </cell>
          <cell r="AN86">
            <v>3327.727272727273</v>
          </cell>
          <cell r="AO86">
            <v>10668.210370198716</v>
          </cell>
        </row>
        <row r="87">
          <cell r="C87">
            <v>0</v>
          </cell>
          <cell r="D87">
            <v>0</v>
          </cell>
          <cell r="E87">
            <v>0</v>
          </cell>
          <cell r="Y87">
            <v>0</v>
          </cell>
          <cell r="AL87">
            <v>0</v>
          </cell>
          <cell r="AM87">
            <v>0</v>
          </cell>
          <cell r="AN87">
            <v>0</v>
          </cell>
          <cell r="AO87">
            <v>0</v>
          </cell>
        </row>
        <row r="88">
          <cell r="C88">
            <v>1022</v>
          </cell>
          <cell r="D88">
            <v>462</v>
          </cell>
          <cell r="E88">
            <v>560</v>
          </cell>
          <cell r="Y88">
            <v>0</v>
          </cell>
          <cell r="AH88">
            <v>1022</v>
          </cell>
          <cell r="AI88">
            <v>1022</v>
          </cell>
          <cell r="AJ88">
            <v>462</v>
          </cell>
          <cell r="AK88">
            <v>560</v>
          </cell>
          <cell r="AL88">
            <v>0</v>
          </cell>
          <cell r="AM88">
            <v>0</v>
          </cell>
          <cell r="AN88">
            <v>462</v>
          </cell>
          <cell r="AO88">
            <v>560</v>
          </cell>
        </row>
        <row r="89">
          <cell r="C89">
            <v>600</v>
          </cell>
          <cell r="D89">
            <v>126</v>
          </cell>
          <cell r="E89">
            <v>474</v>
          </cell>
          <cell r="K89">
            <v>0</v>
          </cell>
          <cell r="L89">
            <v>0</v>
          </cell>
          <cell r="M89">
            <v>0</v>
          </cell>
          <cell r="N89">
            <v>0</v>
          </cell>
          <cell r="O89">
            <v>0</v>
          </cell>
          <cell r="P89">
            <v>0</v>
          </cell>
          <cell r="Q89">
            <v>0</v>
          </cell>
          <cell r="R89">
            <v>0</v>
          </cell>
          <cell r="S89">
            <v>0</v>
          </cell>
          <cell r="T89">
            <v>0</v>
          </cell>
          <cell r="U89">
            <v>0</v>
          </cell>
          <cell r="V89">
            <v>0</v>
          </cell>
          <cell r="Y89">
            <v>0</v>
          </cell>
          <cell r="AH89">
            <v>600</v>
          </cell>
          <cell r="AI89">
            <v>600</v>
          </cell>
          <cell r="AJ89">
            <v>126</v>
          </cell>
          <cell r="AK89">
            <v>474</v>
          </cell>
          <cell r="AL89">
            <v>0</v>
          </cell>
          <cell r="AM89">
            <v>0</v>
          </cell>
          <cell r="AN89">
            <v>126</v>
          </cell>
          <cell r="AO89">
            <v>474</v>
          </cell>
        </row>
        <row r="90">
          <cell r="C90">
            <v>13</v>
          </cell>
          <cell r="D90">
            <v>3</v>
          </cell>
          <cell r="E90">
            <v>10</v>
          </cell>
          <cell r="I90">
            <v>61</v>
          </cell>
          <cell r="J90">
            <v>0</v>
          </cell>
          <cell r="K90">
            <v>7</v>
          </cell>
          <cell r="N90">
            <v>0</v>
          </cell>
          <cell r="O90">
            <v>36</v>
          </cell>
          <cell r="P90">
            <v>11</v>
          </cell>
          <cell r="Q90">
            <v>25</v>
          </cell>
          <cell r="R90">
            <v>0</v>
          </cell>
          <cell r="S90">
            <v>27</v>
          </cell>
          <cell r="T90">
            <v>0</v>
          </cell>
          <cell r="U90">
            <v>0</v>
          </cell>
          <cell r="V90">
            <v>0</v>
          </cell>
          <cell r="W90">
            <v>17</v>
          </cell>
          <cell r="X90">
            <v>16</v>
          </cell>
          <cell r="Y90">
            <v>1</v>
          </cell>
          <cell r="AA90">
            <v>10</v>
          </cell>
          <cell r="AB90">
            <v>4</v>
          </cell>
          <cell r="AC90">
            <v>14</v>
          </cell>
          <cell r="AH90">
            <v>160</v>
          </cell>
          <cell r="AI90">
            <v>23</v>
          </cell>
          <cell r="AJ90">
            <v>75</v>
          </cell>
          <cell r="AK90">
            <v>85</v>
          </cell>
          <cell r="AL90">
            <v>11</v>
          </cell>
          <cell r="AM90">
            <v>27</v>
          </cell>
          <cell r="AN90">
            <v>64</v>
          </cell>
          <cell r="AO90">
            <v>58</v>
          </cell>
        </row>
        <row r="93">
          <cell r="C93">
            <v>15644.878787878788</v>
          </cell>
          <cell r="D93">
            <v>12441</v>
          </cell>
          <cell r="E93">
            <v>3107.878787878788</v>
          </cell>
          <cell r="I93">
            <v>2473.727272727273</v>
          </cell>
          <cell r="J93">
            <v>0</v>
          </cell>
          <cell r="K93">
            <v>27297.727272727272</v>
          </cell>
          <cell r="L93">
            <v>24197.766363636361</v>
          </cell>
          <cell r="M93">
            <v>2987.9609090909089</v>
          </cell>
          <cell r="N93">
            <v>0</v>
          </cell>
          <cell r="O93">
            <v>25393.727272727272</v>
          </cell>
          <cell r="P93">
            <v>9271.9121951219513</v>
          </cell>
          <cell r="Q93">
            <v>16124.915077605321</v>
          </cell>
          <cell r="R93">
            <v>0</v>
          </cell>
          <cell r="S93">
            <v>22385.636363636364</v>
          </cell>
          <cell r="T93">
            <v>8958.4774346793329</v>
          </cell>
          <cell r="U93">
            <v>13401.858928957032</v>
          </cell>
          <cell r="V93">
            <v>0</v>
          </cell>
          <cell r="W93">
            <v>4371.545454545454</v>
          </cell>
          <cell r="X93">
            <v>3181.9636363636364</v>
          </cell>
          <cell r="Y93">
            <v>1189.5818181818181</v>
          </cell>
          <cell r="AA93">
            <v>10</v>
          </cell>
          <cell r="AB93">
            <v>4</v>
          </cell>
          <cell r="AC93">
            <v>14</v>
          </cell>
          <cell r="AD93">
            <v>0</v>
          </cell>
          <cell r="AE93">
            <v>0</v>
          </cell>
          <cell r="AF93">
            <v>0</v>
          </cell>
          <cell r="AG93">
            <v>0</v>
          </cell>
          <cell r="AH93">
            <v>97330.327272727271</v>
          </cell>
          <cell r="AI93">
            <v>16607.545454545456</v>
          </cell>
          <cell r="AJ93">
            <v>33702.116902528556</v>
          </cell>
          <cell r="AK93">
            <v>63629.210370198722</v>
          </cell>
          <cell r="AL93">
            <v>18177.389629801284</v>
          </cell>
          <cell r="AM93">
            <v>51076</v>
          </cell>
          <cell r="AN93">
            <v>3979.727272727273</v>
          </cell>
          <cell r="AO93">
            <v>11760.210370198716</v>
          </cell>
        </row>
        <row r="94">
          <cell r="C94">
            <v>4352.878787878788</v>
          </cell>
          <cell r="D94">
            <v>1149</v>
          </cell>
          <cell r="E94">
            <v>3107.878787878788</v>
          </cell>
          <cell r="I94">
            <v>2473.727272727273</v>
          </cell>
          <cell r="J94">
            <v>0</v>
          </cell>
          <cell r="K94">
            <v>8371.7272727272721</v>
          </cell>
          <cell r="L94">
            <v>5271.7663636363613</v>
          </cell>
          <cell r="M94">
            <v>2987.9609090909089</v>
          </cell>
          <cell r="N94">
            <v>0</v>
          </cell>
          <cell r="O94">
            <v>2885.7272727272721</v>
          </cell>
          <cell r="P94">
            <v>897</v>
          </cell>
          <cell r="Q94">
            <v>1991.8272727272724</v>
          </cell>
          <cell r="R94">
            <v>0</v>
          </cell>
          <cell r="S94">
            <v>1949.636363636364</v>
          </cell>
          <cell r="T94">
            <v>629</v>
          </cell>
          <cell r="U94">
            <v>1295.3363636363647</v>
          </cell>
          <cell r="V94">
            <v>0</v>
          </cell>
          <cell r="W94">
            <v>4371.545454545454</v>
          </cell>
          <cell r="X94">
            <v>3181.9636363636364</v>
          </cell>
          <cell r="Y94">
            <v>1189.5818181818181</v>
          </cell>
          <cell r="AA94">
            <v>10</v>
          </cell>
          <cell r="AB94">
            <v>4</v>
          </cell>
          <cell r="AC94">
            <v>14</v>
          </cell>
          <cell r="AG94">
            <v>0</v>
          </cell>
          <cell r="AH94">
            <v>24168.327272727271</v>
          </cell>
          <cell r="AI94">
            <v>5315.5454545454559</v>
          </cell>
          <cell r="AJ94">
            <v>5705.7272727272721</v>
          </cell>
          <cell r="AK94">
            <v>18463.600000000006</v>
          </cell>
          <cell r="AL94">
            <v>1473</v>
          </cell>
          <cell r="AM94">
            <v>5910</v>
          </cell>
          <cell r="AN94">
            <v>3979.727272727273</v>
          </cell>
          <cell r="AO94">
            <v>11760.6</v>
          </cell>
        </row>
        <row r="95">
          <cell r="M95">
            <v>0</v>
          </cell>
          <cell r="AJ95">
            <v>97331.327272727271</v>
          </cell>
        </row>
        <row r="96">
          <cell r="I96">
            <v>527.72727272727275</v>
          </cell>
          <cell r="J96">
            <v>0</v>
          </cell>
          <cell r="K96">
            <v>1225.4545454545455</v>
          </cell>
          <cell r="L96">
            <v>529.25818181818181</v>
          </cell>
          <cell r="M96">
            <v>696.19636363636369</v>
          </cell>
          <cell r="N96">
            <v>0</v>
          </cell>
          <cell r="O96">
            <v>474.90909090909093</v>
          </cell>
          <cell r="P96">
            <v>148</v>
          </cell>
          <cell r="Q96">
            <v>326.90909090909093</v>
          </cell>
          <cell r="S96">
            <v>392.63636363636363</v>
          </cell>
          <cell r="W96">
            <v>1046.5454545454545</v>
          </cell>
          <cell r="X96">
            <v>814.76363636363635</v>
          </cell>
          <cell r="Y96">
            <v>231.78181818181815</v>
          </cell>
        </row>
        <row r="97">
          <cell r="C97">
            <v>474</v>
          </cell>
          <cell r="D97">
            <v>101</v>
          </cell>
          <cell r="I97">
            <v>626</v>
          </cell>
          <cell r="K97">
            <v>2576</v>
          </cell>
          <cell r="N97">
            <v>570</v>
          </cell>
          <cell r="O97">
            <v>219</v>
          </cell>
          <cell r="R97">
            <v>169</v>
          </cell>
          <cell r="S97">
            <v>176</v>
          </cell>
          <cell r="W97">
            <v>84</v>
          </cell>
          <cell r="X97">
            <v>84</v>
          </cell>
          <cell r="Y97">
            <v>0</v>
          </cell>
          <cell r="AA97">
            <v>0</v>
          </cell>
          <cell r="AC97">
            <v>0</v>
          </cell>
          <cell r="AG97">
            <v>68</v>
          </cell>
          <cell r="AH97">
            <v>4245</v>
          </cell>
          <cell r="AI97">
            <v>1303</v>
          </cell>
        </row>
        <row r="98">
          <cell r="C98">
            <v>87.333333333333329</v>
          </cell>
          <cell r="D98">
            <v>19</v>
          </cell>
          <cell r="I98">
            <v>626</v>
          </cell>
          <cell r="K98">
            <v>1802</v>
          </cell>
          <cell r="N98">
            <v>570</v>
          </cell>
          <cell r="O98">
            <v>219</v>
          </cell>
          <cell r="R98">
            <v>169</v>
          </cell>
          <cell r="S98">
            <v>176</v>
          </cell>
          <cell r="W98">
            <v>84</v>
          </cell>
          <cell r="X98">
            <v>84</v>
          </cell>
          <cell r="Y98">
            <v>0</v>
          </cell>
          <cell r="AH98">
            <v>3004.3333333333335</v>
          </cell>
          <cell r="AI98">
            <v>836.33333333333337</v>
          </cell>
        </row>
        <row r="99">
          <cell r="C99">
            <v>0</v>
          </cell>
          <cell r="D99">
            <v>0</v>
          </cell>
          <cell r="I99">
            <v>0</v>
          </cell>
          <cell r="W99">
            <v>0</v>
          </cell>
          <cell r="X99">
            <v>0</v>
          </cell>
          <cell r="Y99">
            <v>0</v>
          </cell>
          <cell r="AH99">
            <v>0</v>
          </cell>
          <cell r="AI99">
            <v>0</v>
          </cell>
        </row>
        <row r="100">
          <cell r="C100">
            <v>386.66666666666669</v>
          </cell>
          <cell r="D100">
            <v>82</v>
          </cell>
          <cell r="I100">
            <v>0</v>
          </cell>
          <cell r="K100">
            <v>774</v>
          </cell>
          <cell r="O100">
            <v>0</v>
          </cell>
          <cell r="S100">
            <v>0</v>
          </cell>
          <cell r="W100">
            <v>0</v>
          </cell>
          <cell r="X100">
            <v>0</v>
          </cell>
          <cell r="Y100">
            <v>0</v>
          </cell>
          <cell r="AH100">
            <v>1172.6666666666667</v>
          </cell>
          <cell r="AI100">
            <v>398.66666666666669</v>
          </cell>
        </row>
        <row r="101">
          <cell r="D101">
            <v>0</v>
          </cell>
          <cell r="AH101">
            <v>0</v>
          </cell>
          <cell r="AI101">
            <v>0</v>
          </cell>
        </row>
        <row r="102">
          <cell r="D102">
            <v>0</v>
          </cell>
          <cell r="AH102">
            <v>0</v>
          </cell>
          <cell r="AI102">
            <v>0</v>
          </cell>
        </row>
        <row r="103">
          <cell r="D103">
            <v>0</v>
          </cell>
          <cell r="AH103">
            <v>0</v>
          </cell>
          <cell r="AI103">
            <v>0</v>
          </cell>
        </row>
        <row r="104">
          <cell r="D104">
            <v>0</v>
          </cell>
          <cell r="AH104">
            <v>0</v>
          </cell>
          <cell r="AI104">
            <v>0</v>
          </cell>
        </row>
        <row r="105">
          <cell r="C105">
            <v>386.66666666666669</v>
          </cell>
          <cell r="D105">
            <v>82</v>
          </cell>
          <cell r="I105">
            <v>0</v>
          </cell>
          <cell r="K105">
            <v>774</v>
          </cell>
          <cell r="O105">
            <v>0</v>
          </cell>
          <cell r="R105">
            <v>10</v>
          </cell>
          <cell r="S105">
            <v>0</v>
          </cell>
          <cell r="W105">
            <v>0</v>
          </cell>
          <cell r="Y105">
            <v>0</v>
          </cell>
          <cell r="AA105">
            <v>69</v>
          </cell>
          <cell r="AB105">
            <v>0</v>
          </cell>
          <cell r="AC105">
            <v>69</v>
          </cell>
          <cell r="AG105">
            <v>0</v>
          </cell>
          <cell r="AH105">
            <v>1160.6666666666667</v>
          </cell>
          <cell r="AI105">
            <v>465.66666666666669</v>
          </cell>
        </row>
        <row r="106">
          <cell r="C106">
            <v>386.66666666666669</v>
          </cell>
          <cell r="D106">
            <v>82</v>
          </cell>
          <cell r="K106">
            <v>774</v>
          </cell>
          <cell r="S106">
            <v>0</v>
          </cell>
          <cell r="W106">
            <v>0</v>
          </cell>
          <cell r="Y106">
            <v>0</v>
          </cell>
          <cell r="AG106">
            <v>0</v>
          </cell>
          <cell r="AH106">
            <v>1160.6666666666667</v>
          </cell>
          <cell r="AI106">
            <v>386.66666666666669</v>
          </cell>
        </row>
        <row r="107">
          <cell r="D107">
            <v>0</v>
          </cell>
          <cell r="I107">
            <v>0</v>
          </cell>
          <cell r="K107">
            <v>0</v>
          </cell>
          <cell r="S107">
            <v>0</v>
          </cell>
          <cell r="W107">
            <v>0</v>
          </cell>
          <cell r="Y107">
            <v>0</v>
          </cell>
          <cell r="AH107">
            <v>0</v>
          </cell>
          <cell r="AI107">
            <v>0</v>
          </cell>
        </row>
        <row r="108">
          <cell r="C108">
            <v>0</v>
          </cell>
          <cell r="D108">
            <v>0</v>
          </cell>
          <cell r="I108">
            <v>0</v>
          </cell>
          <cell r="K108">
            <v>0</v>
          </cell>
          <cell r="O108">
            <v>0</v>
          </cell>
          <cell r="R108">
            <v>10</v>
          </cell>
          <cell r="S108">
            <v>0</v>
          </cell>
          <cell r="W108">
            <v>0</v>
          </cell>
          <cell r="Y108">
            <v>0</v>
          </cell>
          <cell r="AA108">
            <v>69</v>
          </cell>
          <cell r="AB108">
            <v>0</v>
          </cell>
          <cell r="AC108">
            <v>69</v>
          </cell>
          <cell r="AH108">
            <v>0</v>
          </cell>
          <cell r="AI108">
            <v>79</v>
          </cell>
        </row>
        <row r="109">
          <cell r="C109">
            <v>0</v>
          </cell>
          <cell r="D109">
            <v>0</v>
          </cell>
          <cell r="I109">
            <v>0</v>
          </cell>
          <cell r="K109">
            <v>216</v>
          </cell>
          <cell r="O109">
            <v>28</v>
          </cell>
          <cell r="R109">
            <v>22</v>
          </cell>
          <cell r="S109">
            <v>0</v>
          </cell>
          <cell r="W109">
            <v>0</v>
          </cell>
          <cell r="Y109">
            <v>0</v>
          </cell>
          <cell r="AA109">
            <v>16</v>
          </cell>
          <cell r="AB109">
            <v>3</v>
          </cell>
          <cell r="AC109">
            <v>19</v>
          </cell>
          <cell r="AG109">
            <v>875</v>
          </cell>
          <cell r="AH109">
            <v>1119</v>
          </cell>
          <cell r="AI109">
            <v>913</v>
          </cell>
        </row>
        <row r="110">
          <cell r="C110">
            <v>0</v>
          </cell>
          <cell r="D110">
            <v>0</v>
          </cell>
          <cell r="I110">
            <v>0</v>
          </cell>
          <cell r="K110">
            <v>216</v>
          </cell>
          <cell r="S110">
            <v>0</v>
          </cell>
          <cell r="W110">
            <v>0</v>
          </cell>
          <cell r="Y110">
            <v>0</v>
          </cell>
          <cell r="AG110">
            <v>80</v>
          </cell>
          <cell r="AH110">
            <v>296</v>
          </cell>
          <cell r="AI110">
            <v>80</v>
          </cell>
        </row>
        <row r="111">
          <cell r="C111">
            <v>0</v>
          </cell>
          <cell r="D111">
            <v>0</v>
          </cell>
          <cell r="I111">
            <v>0</v>
          </cell>
          <cell r="K111">
            <v>0</v>
          </cell>
          <cell r="O111">
            <v>28</v>
          </cell>
          <cell r="R111">
            <v>22</v>
          </cell>
          <cell r="S111">
            <v>0</v>
          </cell>
          <cell r="W111">
            <v>0</v>
          </cell>
          <cell r="Y111">
            <v>0</v>
          </cell>
          <cell r="AA111">
            <v>16</v>
          </cell>
          <cell r="AB111">
            <v>3</v>
          </cell>
          <cell r="AC111">
            <v>19</v>
          </cell>
          <cell r="AG111">
            <v>795</v>
          </cell>
          <cell r="AH111">
            <v>823</v>
          </cell>
          <cell r="AI111">
            <v>833</v>
          </cell>
        </row>
        <row r="112">
          <cell r="C112">
            <v>247.29101802212824</v>
          </cell>
          <cell r="D112">
            <v>53</v>
          </cell>
          <cell r="I112">
            <v>331</v>
          </cell>
          <cell r="S112">
            <v>0</v>
          </cell>
          <cell r="Y112">
            <v>0</v>
          </cell>
          <cell r="AH112">
            <v>578.29101802212824</v>
          </cell>
          <cell r="AI112">
            <v>247.29101802212824</v>
          </cell>
        </row>
        <row r="113">
          <cell r="C113">
            <v>0</v>
          </cell>
          <cell r="D113">
            <v>0</v>
          </cell>
          <cell r="I113">
            <v>331</v>
          </cell>
          <cell r="Y113">
            <v>0</v>
          </cell>
          <cell r="AH113">
            <v>331</v>
          </cell>
          <cell r="AI113">
            <v>0</v>
          </cell>
        </row>
        <row r="114">
          <cell r="C114">
            <v>0</v>
          </cell>
          <cell r="D114">
            <v>0</v>
          </cell>
          <cell r="I114">
            <v>0</v>
          </cell>
          <cell r="K114">
            <v>0</v>
          </cell>
          <cell r="S114">
            <v>0</v>
          </cell>
          <cell r="Y114">
            <v>0</v>
          </cell>
          <cell r="AI114">
            <v>0</v>
          </cell>
        </row>
        <row r="115">
          <cell r="D115">
            <v>0</v>
          </cell>
          <cell r="I115">
            <v>0</v>
          </cell>
          <cell r="K115">
            <v>0</v>
          </cell>
          <cell r="S115">
            <v>0</v>
          </cell>
          <cell r="Y115">
            <v>0</v>
          </cell>
          <cell r="AH115">
            <v>0</v>
          </cell>
          <cell r="AI115">
            <v>0</v>
          </cell>
        </row>
        <row r="116">
          <cell r="C116">
            <v>0</v>
          </cell>
          <cell r="D116">
            <v>0</v>
          </cell>
          <cell r="I116">
            <v>0</v>
          </cell>
          <cell r="K116">
            <v>0</v>
          </cell>
          <cell r="R116">
            <v>91</v>
          </cell>
          <cell r="S116">
            <v>0</v>
          </cell>
          <cell r="W116">
            <v>0</v>
          </cell>
          <cell r="X116">
            <v>0</v>
          </cell>
          <cell r="Y116">
            <v>0</v>
          </cell>
          <cell r="AA116">
            <v>127.875</v>
          </cell>
          <cell r="AB116">
            <v>64.125</v>
          </cell>
          <cell r="AC116">
            <v>192</v>
          </cell>
          <cell r="AG116">
            <v>508</v>
          </cell>
          <cell r="AH116">
            <v>508</v>
          </cell>
          <cell r="AI116">
            <v>726.875</v>
          </cell>
        </row>
        <row r="117">
          <cell r="D117">
            <v>0</v>
          </cell>
          <cell r="O117">
            <v>0</v>
          </cell>
          <cell r="S117">
            <v>0</v>
          </cell>
          <cell r="AH117">
            <v>0</v>
          </cell>
          <cell r="AI117">
            <v>0</v>
          </cell>
        </row>
        <row r="118">
          <cell r="C118">
            <v>313.33333333333331</v>
          </cell>
          <cell r="D118">
            <v>67</v>
          </cell>
          <cell r="Y118">
            <v>0</v>
          </cell>
          <cell r="AH118">
            <v>313.33333333333331</v>
          </cell>
          <cell r="AI118">
            <v>313.33333333333331</v>
          </cell>
        </row>
        <row r="119">
          <cell r="D119">
            <v>0</v>
          </cell>
          <cell r="W119">
            <v>0</v>
          </cell>
          <cell r="X119">
            <v>0</v>
          </cell>
          <cell r="Y119">
            <v>0</v>
          </cell>
          <cell r="AH119">
            <v>0</v>
          </cell>
          <cell r="AI119">
            <v>0</v>
          </cell>
        </row>
        <row r="120">
          <cell r="C120">
            <v>8992</v>
          </cell>
          <cell r="D120">
            <v>1916</v>
          </cell>
          <cell r="Y120">
            <v>0</v>
          </cell>
          <cell r="AH120">
            <v>8992</v>
          </cell>
          <cell r="AI120">
            <v>8992</v>
          </cell>
        </row>
        <row r="121">
          <cell r="C121">
            <v>0</v>
          </cell>
          <cell r="D121">
            <v>0</v>
          </cell>
          <cell r="Y121">
            <v>0</v>
          </cell>
          <cell r="AI121">
            <v>0</v>
          </cell>
        </row>
        <row r="122">
          <cell r="C122">
            <v>0</v>
          </cell>
          <cell r="Y122">
            <v>0</v>
          </cell>
        </row>
        <row r="123">
          <cell r="C123">
            <v>9939.2910180221279</v>
          </cell>
          <cell r="D123">
            <v>2118</v>
          </cell>
          <cell r="E123">
            <v>0</v>
          </cell>
          <cell r="I123">
            <v>331</v>
          </cell>
          <cell r="K123">
            <v>990</v>
          </cell>
          <cell r="L123">
            <v>0</v>
          </cell>
          <cell r="M123">
            <v>0</v>
          </cell>
          <cell r="N123">
            <v>0</v>
          </cell>
          <cell r="O123">
            <v>28</v>
          </cell>
          <cell r="P123">
            <v>0</v>
          </cell>
          <cell r="Q123">
            <v>0</v>
          </cell>
          <cell r="R123">
            <v>123</v>
          </cell>
          <cell r="S123">
            <v>0</v>
          </cell>
          <cell r="T123">
            <v>0</v>
          </cell>
          <cell r="U123">
            <v>0</v>
          </cell>
          <cell r="V123">
            <v>0</v>
          </cell>
          <cell r="W123">
            <v>0</v>
          </cell>
          <cell r="X123">
            <v>0</v>
          </cell>
          <cell r="Y123">
            <v>0</v>
          </cell>
          <cell r="AA123">
            <v>212.875</v>
          </cell>
          <cell r="AB123">
            <v>67.125</v>
          </cell>
          <cell r="AC123">
            <v>280</v>
          </cell>
          <cell r="AG123">
            <v>1383</v>
          </cell>
          <cell r="AH123">
            <v>12671.29101802213</v>
          </cell>
          <cell r="AI123">
            <v>11658.166018022128</v>
          </cell>
          <cell r="AJ123">
            <v>11288.291018022128</v>
          </cell>
          <cell r="AK123">
            <v>3108</v>
          </cell>
          <cell r="AL123">
            <v>0</v>
          </cell>
          <cell r="AM123">
            <v>0</v>
          </cell>
          <cell r="AN123">
            <v>0</v>
          </cell>
          <cell r="AO123">
            <v>0</v>
          </cell>
        </row>
        <row r="124">
          <cell r="C124">
            <v>9939.2910180221279</v>
          </cell>
          <cell r="D124">
            <v>2118</v>
          </cell>
          <cell r="E124">
            <v>0</v>
          </cell>
          <cell r="I124">
            <v>331</v>
          </cell>
          <cell r="J124">
            <v>0</v>
          </cell>
          <cell r="K124">
            <v>990</v>
          </cell>
          <cell r="L124">
            <v>0</v>
          </cell>
          <cell r="M124">
            <v>0</v>
          </cell>
          <cell r="N124">
            <v>0</v>
          </cell>
          <cell r="O124">
            <v>28</v>
          </cell>
          <cell r="P124">
            <v>0</v>
          </cell>
          <cell r="Q124">
            <v>0</v>
          </cell>
          <cell r="R124">
            <v>123</v>
          </cell>
          <cell r="S124">
            <v>0</v>
          </cell>
          <cell r="T124">
            <v>0</v>
          </cell>
          <cell r="U124">
            <v>0</v>
          </cell>
          <cell r="V124">
            <v>0</v>
          </cell>
          <cell r="W124">
            <v>0</v>
          </cell>
          <cell r="X124">
            <v>0</v>
          </cell>
          <cell r="Y124">
            <v>0</v>
          </cell>
          <cell r="AA124">
            <v>212.875</v>
          </cell>
          <cell r="AB124">
            <v>67.125</v>
          </cell>
          <cell r="AC124">
            <v>280</v>
          </cell>
          <cell r="AG124">
            <v>1383</v>
          </cell>
          <cell r="AH124">
            <v>12671.29101802213</v>
          </cell>
          <cell r="AI124">
            <v>11658.16601802213</v>
          </cell>
        </row>
        <row r="125">
          <cell r="Y125">
            <v>0</v>
          </cell>
          <cell r="AH125">
            <v>4171.9101802212826</v>
          </cell>
        </row>
        <row r="126">
          <cell r="Y126">
            <v>0</v>
          </cell>
          <cell r="AH126">
            <v>4171.9101802212826</v>
          </cell>
        </row>
        <row r="127">
          <cell r="AH127">
            <v>5782.9101802212826</v>
          </cell>
          <cell r="AI127">
            <v>86505.691998403097</v>
          </cell>
          <cell r="AJ127">
            <v>12543.870550420004</v>
          </cell>
          <cell r="AK127">
            <v>-7627.2103701987216</v>
          </cell>
        </row>
        <row r="129">
          <cell r="AH129">
            <v>1611</v>
          </cell>
          <cell r="AL129">
            <v>0</v>
          </cell>
        </row>
        <row r="132">
          <cell r="AH132">
            <v>56002</v>
          </cell>
          <cell r="AK132">
            <v>56002</v>
          </cell>
          <cell r="AL132">
            <v>0</v>
          </cell>
          <cell r="AN132">
            <v>0</v>
          </cell>
        </row>
        <row r="133">
          <cell r="AH133">
            <v>-7627.2103701987216</v>
          </cell>
          <cell r="AL133">
            <v>0</v>
          </cell>
        </row>
        <row r="134">
          <cell r="AH134">
            <v>36.869999999999997</v>
          </cell>
          <cell r="AL134" t="e">
            <v>#DIV/0!</v>
          </cell>
        </row>
        <row r="135">
          <cell r="AH135">
            <v>41.89</v>
          </cell>
          <cell r="AL135" t="e">
            <v>#DIV/0!</v>
          </cell>
        </row>
        <row r="136">
          <cell r="AH136">
            <v>0</v>
          </cell>
          <cell r="AL136">
            <v>0</v>
          </cell>
        </row>
        <row r="138">
          <cell r="AH138">
            <v>10.24</v>
          </cell>
          <cell r="AL138" t="e">
            <v>#DIV/0!</v>
          </cell>
        </row>
        <row r="140">
          <cell r="AG140">
            <v>0</v>
          </cell>
          <cell r="AH140">
            <v>7.46</v>
          </cell>
          <cell r="AL140" t="e">
            <v>#DIV/0!</v>
          </cell>
        </row>
        <row r="141">
          <cell r="AH141">
            <v>46245.987452948561</v>
          </cell>
          <cell r="AJ141">
            <v>46245.987452948561</v>
          </cell>
        </row>
        <row r="143">
          <cell r="AH143">
            <v>865.25</v>
          </cell>
          <cell r="AI143">
            <v>865.25</v>
          </cell>
        </row>
        <row r="144">
          <cell r="K144">
            <v>0</v>
          </cell>
          <cell r="AH144">
            <v>0</v>
          </cell>
        </row>
        <row r="146">
          <cell r="AG146">
            <v>0</v>
          </cell>
          <cell r="AH146">
            <v>102247.98745294855</v>
          </cell>
          <cell r="AJ146">
            <v>46245.987452948561</v>
          </cell>
          <cell r="AK146">
            <v>56002</v>
          </cell>
          <cell r="AL146">
            <v>0</v>
          </cell>
        </row>
        <row r="147">
          <cell r="AH147">
            <v>0</v>
          </cell>
          <cell r="AJ147">
            <v>0</v>
          </cell>
        </row>
        <row r="148">
          <cell r="AH148">
            <v>102247.98745294855</v>
          </cell>
          <cell r="AI148">
            <v>102247.98745294855</v>
          </cell>
          <cell r="AJ148">
            <v>46245.987452948561</v>
          </cell>
          <cell r="AK148">
            <v>56002</v>
          </cell>
        </row>
        <row r="149">
          <cell r="AL149">
            <v>1473</v>
          </cell>
          <cell r="AM149">
            <v>5910</v>
          </cell>
          <cell r="AN149">
            <v>3979.727272727273</v>
          </cell>
          <cell r="AO149">
            <v>11760.6</v>
          </cell>
        </row>
        <row r="156">
          <cell r="AH156">
            <v>5.9</v>
          </cell>
          <cell r="AI156">
            <v>520.9</v>
          </cell>
          <cell r="AJ156">
            <v>37.200000000000003</v>
          </cell>
          <cell r="AK156">
            <v>-12</v>
          </cell>
        </row>
        <row r="157">
          <cell r="C157">
            <v>0</v>
          </cell>
          <cell r="I157">
            <v>0</v>
          </cell>
          <cell r="K157">
            <v>0</v>
          </cell>
          <cell r="O157">
            <v>0</v>
          </cell>
          <cell r="S157">
            <v>0</v>
          </cell>
          <cell r="W157">
            <v>0</v>
          </cell>
          <cell r="X157">
            <v>0</v>
          </cell>
          <cell r="Y157">
            <v>0</v>
          </cell>
          <cell r="AG157">
            <v>0</v>
          </cell>
          <cell r="AH157">
            <v>0</v>
          </cell>
        </row>
        <row r="158">
          <cell r="C158">
            <v>260</v>
          </cell>
          <cell r="I158">
            <v>384</v>
          </cell>
          <cell r="J158">
            <v>424</v>
          </cell>
          <cell r="K158">
            <v>873</v>
          </cell>
          <cell r="N158">
            <v>481</v>
          </cell>
          <cell r="O158">
            <v>638</v>
          </cell>
          <cell r="R158">
            <v>620</v>
          </cell>
          <cell r="S158">
            <v>449</v>
          </cell>
          <cell r="V158">
            <v>408</v>
          </cell>
          <cell r="W158">
            <v>272</v>
          </cell>
          <cell r="X158">
            <v>272</v>
          </cell>
          <cell r="Y158">
            <v>0</v>
          </cell>
          <cell r="AA158">
            <v>98</v>
          </cell>
          <cell r="AB158">
            <v>183</v>
          </cell>
          <cell r="AC158">
            <v>281</v>
          </cell>
          <cell r="AH158">
            <v>2876</v>
          </cell>
          <cell r="AI158">
            <v>2291</v>
          </cell>
        </row>
        <row r="159">
          <cell r="C159">
            <v>0</v>
          </cell>
          <cell r="I159">
            <v>180</v>
          </cell>
          <cell r="J159">
            <v>184</v>
          </cell>
          <cell r="K159">
            <v>315</v>
          </cell>
          <cell r="N159">
            <v>0</v>
          </cell>
          <cell r="O159">
            <v>320</v>
          </cell>
          <cell r="R159">
            <v>359</v>
          </cell>
          <cell r="S159">
            <v>231</v>
          </cell>
          <cell r="V159">
            <v>192</v>
          </cell>
          <cell r="W159">
            <v>84</v>
          </cell>
          <cell r="X159">
            <v>84</v>
          </cell>
          <cell r="Y159">
            <v>0</v>
          </cell>
          <cell r="AH159">
            <v>1130</v>
          </cell>
          <cell r="AI159">
            <v>735</v>
          </cell>
        </row>
        <row r="160">
          <cell r="I160">
            <v>70</v>
          </cell>
          <cell r="K160">
            <v>238</v>
          </cell>
          <cell r="N160">
            <v>238</v>
          </cell>
          <cell r="O160">
            <v>126.7</v>
          </cell>
          <cell r="S160">
            <v>91</v>
          </cell>
          <cell r="W160">
            <v>70</v>
          </cell>
          <cell r="X160">
            <v>70</v>
          </cell>
          <cell r="Y160">
            <v>0</v>
          </cell>
          <cell r="AH160">
            <v>595.70000000000005</v>
          </cell>
          <cell r="AI160">
            <v>238</v>
          </cell>
        </row>
        <row r="161">
          <cell r="I161">
            <v>0</v>
          </cell>
          <cell r="K161">
            <v>0</v>
          </cell>
          <cell r="N161">
            <v>0</v>
          </cell>
          <cell r="O161">
            <v>0</v>
          </cell>
          <cell r="S161">
            <v>0</v>
          </cell>
          <cell r="Y161">
            <v>0</v>
          </cell>
          <cell r="AH161">
            <v>0</v>
          </cell>
          <cell r="AI161">
            <v>0</v>
          </cell>
        </row>
        <row r="162">
          <cell r="I162">
            <v>0</v>
          </cell>
          <cell r="K162">
            <v>0</v>
          </cell>
          <cell r="N162">
            <v>0</v>
          </cell>
          <cell r="O162">
            <v>0</v>
          </cell>
          <cell r="S162">
            <v>0</v>
          </cell>
          <cell r="Y162">
            <v>0</v>
          </cell>
          <cell r="AH162">
            <v>0</v>
          </cell>
          <cell r="AI162">
            <v>0</v>
          </cell>
        </row>
        <row r="163">
          <cell r="AH163">
            <v>0</v>
          </cell>
          <cell r="AI163">
            <v>0</v>
          </cell>
        </row>
        <row r="164">
          <cell r="AH164">
            <v>0</v>
          </cell>
          <cell r="AI164">
            <v>0</v>
          </cell>
        </row>
        <row r="165">
          <cell r="D165">
            <v>0</v>
          </cell>
          <cell r="E165">
            <v>0</v>
          </cell>
          <cell r="I165">
            <v>384</v>
          </cell>
          <cell r="K165">
            <v>873</v>
          </cell>
          <cell r="N165">
            <v>873</v>
          </cell>
          <cell r="O165">
            <v>638</v>
          </cell>
          <cell r="R165">
            <v>620</v>
          </cell>
          <cell r="S165">
            <v>449</v>
          </cell>
          <cell r="W165">
            <v>272</v>
          </cell>
          <cell r="X165">
            <v>272</v>
          </cell>
          <cell r="Y165">
            <v>0</v>
          </cell>
          <cell r="AH165">
            <v>2616</v>
          </cell>
          <cell r="AI165">
            <v>1493</v>
          </cell>
        </row>
        <row r="166">
          <cell r="I166">
            <v>0</v>
          </cell>
          <cell r="K166">
            <v>873</v>
          </cell>
          <cell r="N166">
            <v>873</v>
          </cell>
          <cell r="O166">
            <v>638</v>
          </cell>
          <cell r="S166">
            <v>449</v>
          </cell>
          <cell r="W166">
            <v>272</v>
          </cell>
          <cell r="X166">
            <v>272</v>
          </cell>
          <cell r="Y166">
            <v>0</v>
          </cell>
          <cell r="AH166">
            <v>2232</v>
          </cell>
          <cell r="AI166">
            <v>873</v>
          </cell>
        </row>
        <row r="167">
          <cell r="I167">
            <v>0</v>
          </cell>
          <cell r="K167">
            <v>0</v>
          </cell>
          <cell r="N167">
            <v>0</v>
          </cell>
          <cell r="O167">
            <v>0</v>
          </cell>
          <cell r="S167">
            <v>0</v>
          </cell>
          <cell r="Y167">
            <v>0</v>
          </cell>
          <cell r="AH167">
            <v>0</v>
          </cell>
          <cell r="AI167">
            <v>0</v>
          </cell>
        </row>
        <row r="168">
          <cell r="I168">
            <v>0</v>
          </cell>
          <cell r="N168">
            <v>0</v>
          </cell>
          <cell r="O168">
            <v>1219</v>
          </cell>
          <cell r="S168">
            <v>380</v>
          </cell>
          <cell r="W168">
            <v>302</v>
          </cell>
          <cell r="X168">
            <v>100</v>
          </cell>
          <cell r="Y168">
            <v>202</v>
          </cell>
          <cell r="AA168">
            <v>100</v>
          </cell>
          <cell r="AC168">
            <v>100</v>
          </cell>
          <cell r="AH168">
            <v>1699</v>
          </cell>
          <cell r="AI168">
            <v>100</v>
          </cell>
        </row>
        <row r="169">
          <cell r="C169">
            <v>474</v>
          </cell>
          <cell r="I169">
            <v>957</v>
          </cell>
          <cell r="J169">
            <v>0</v>
          </cell>
          <cell r="K169">
            <v>2792</v>
          </cell>
          <cell r="L169">
            <v>0</v>
          </cell>
          <cell r="M169">
            <v>0</v>
          </cell>
          <cell r="N169">
            <v>570</v>
          </cell>
          <cell r="O169">
            <v>219</v>
          </cell>
          <cell r="R169">
            <v>169</v>
          </cell>
          <cell r="S169">
            <v>176</v>
          </cell>
          <cell r="V169">
            <v>0</v>
          </cell>
          <cell r="W169">
            <v>84</v>
          </cell>
          <cell r="X169">
            <v>84</v>
          </cell>
          <cell r="Y169">
            <v>0</v>
          </cell>
          <cell r="AG169">
            <v>148</v>
          </cell>
          <cell r="AH169">
            <v>4872</v>
          </cell>
          <cell r="AI169">
            <v>1383</v>
          </cell>
        </row>
        <row r="170">
          <cell r="C170">
            <v>87.333333333333329</v>
          </cell>
          <cell r="I170">
            <v>626</v>
          </cell>
          <cell r="O170">
            <v>219</v>
          </cell>
          <cell r="S170">
            <v>176</v>
          </cell>
          <cell r="X170">
            <v>84</v>
          </cell>
          <cell r="AH170">
            <v>1192.3333333333335</v>
          </cell>
        </row>
        <row r="171">
          <cell r="C171">
            <v>0</v>
          </cell>
          <cell r="I171">
            <v>115</v>
          </cell>
          <cell r="AH171">
            <v>115</v>
          </cell>
        </row>
        <row r="172">
          <cell r="C172">
            <v>73</v>
          </cell>
          <cell r="I172">
            <v>0</v>
          </cell>
          <cell r="O172">
            <v>0</v>
          </cell>
          <cell r="S172">
            <v>0</v>
          </cell>
          <cell r="X172">
            <v>0</v>
          </cell>
          <cell r="AH172">
            <v>73</v>
          </cell>
        </row>
        <row r="187">
          <cell r="AL187" t="str">
            <v>ОЧИК.18.02.</v>
          </cell>
        </row>
        <row r="189">
          <cell r="C189" t="str">
            <v>АПАРАТ ВСЬОГО</v>
          </cell>
          <cell r="D189" t="str">
            <v>АПАРАТ ЕЛЕКТРО</v>
          </cell>
          <cell r="E189" t="str">
            <v>АПАРАТ ТЕПЛО</v>
          </cell>
          <cell r="I189" t="str">
            <v>ККМ</v>
          </cell>
          <cell r="K189" t="str">
            <v>КТМ</v>
          </cell>
          <cell r="O189" t="str">
            <v>ТЕЦ-5 ВСЬОГО</v>
          </cell>
          <cell r="P189" t="str">
            <v>Е/Е</v>
          </cell>
          <cell r="Q189" t="str">
            <v xml:space="preserve"> Т/Е</v>
          </cell>
          <cell r="S189" t="str">
            <v>ТЕЦ-6 ВСЬОГО</v>
          </cell>
          <cell r="T189" t="str">
            <v>Е/Е</v>
          </cell>
          <cell r="U189" t="str">
            <v xml:space="preserve"> Т/Е</v>
          </cell>
          <cell r="X189" t="str">
            <v xml:space="preserve">ДОП.ВИР. </v>
          </cell>
          <cell r="AG189" t="str">
            <v>ДОП.ВИР. СТ.ОРГ.</v>
          </cell>
          <cell r="AH189" t="str">
            <v>АК КЕ ВСЬОГО</v>
          </cell>
          <cell r="AJ189" t="str">
            <v>Е/Е</v>
          </cell>
          <cell r="AK189" t="str">
            <v xml:space="preserve"> Т/Е</v>
          </cell>
          <cell r="AL189" t="str">
            <v>СТАНЦІї ЕЛЕКТРО</v>
          </cell>
          <cell r="AM189" t="str">
            <v>СТАНЦІІ ТЕПЛОВІ</v>
          </cell>
          <cell r="AN189" t="str">
            <v>МЕРЕЖІ ЕЛЕКТРО</v>
          </cell>
          <cell r="AO189" t="str">
            <v>МЕРЕЖІ ТЕПЛОВІ</v>
          </cell>
        </row>
        <row r="190">
          <cell r="AL190">
            <v>1.954</v>
          </cell>
          <cell r="AM190">
            <v>1.954</v>
          </cell>
          <cell r="AN190">
            <v>1.954</v>
          </cell>
          <cell r="AO190">
            <v>1.905</v>
          </cell>
        </row>
        <row r="192">
          <cell r="K192">
            <v>97.3</v>
          </cell>
          <cell r="O192">
            <v>89.2</v>
          </cell>
          <cell r="S192">
            <v>73.2</v>
          </cell>
          <cell r="AH192">
            <v>259.7</v>
          </cell>
          <cell r="AL192">
            <v>221.49122807017542</v>
          </cell>
        </row>
        <row r="193">
          <cell r="K193">
            <v>111.9</v>
          </cell>
          <cell r="O193">
            <v>102.5</v>
          </cell>
          <cell r="S193">
            <v>84.2</v>
          </cell>
          <cell r="AH193">
            <v>298.60000000000002</v>
          </cell>
          <cell r="AL193">
            <v>252.49999999999997</v>
          </cell>
        </row>
        <row r="194">
          <cell r="I194">
            <v>0</v>
          </cell>
          <cell r="K194">
            <v>0</v>
          </cell>
          <cell r="O194">
            <v>0</v>
          </cell>
          <cell r="S194">
            <v>0</v>
          </cell>
          <cell r="AH194">
            <v>0</v>
          </cell>
          <cell r="AL194">
            <v>66</v>
          </cell>
        </row>
        <row r="195">
          <cell r="I195">
            <v>0</v>
          </cell>
          <cell r="K195">
            <v>194.5</v>
          </cell>
          <cell r="O195">
            <v>194.5</v>
          </cell>
          <cell r="S195">
            <v>194.5</v>
          </cell>
          <cell r="AH195">
            <v>194.5</v>
          </cell>
          <cell r="AL195">
            <v>128.964</v>
          </cell>
        </row>
        <row r="196">
          <cell r="K196">
            <v>18926</v>
          </cell>
          <cell r="O196">
            <v>17349</v>
          </cell>
          <cell r="S196">
            <v>14237</v>
          </cell>
          <cell r="AH196">
            <v>50512</v>
          </cell>
          <cell r="AL196">
            <v>28564</v>
          </cell>
        </row>
        <row r="197">
          <cell r="AH197">
            <v>50512</v>
          </cell>
        </row>
        <row r="198">
          <cell r="K198">
            <v>0</v>
          </cell>
          <cell r="O198">
            <v>13.4</v>
          </cell>
          <cell r="S198">
            <v>16.100000000000001</v>
          </cell>
          <cell r="AH198">
            <v>29.5</v>
          </cell>
          <cell r="AL198">
            <v>75.839416058394164</v>
          </cell>
        </row>
        <row r="199">
          <cell r="K199">
            <v>0</v>
          </cell>
          <cell r="O199">
            <v>18.5</v>
          </cell>
          <cell r="S199">
            <v>22.2</v>
          </cell>
          <cell r="AH199">
            <v>40.700000000000003</v>
          </cell>
          <cell r="AL199">
            <v>103.9</v>
          </cell>
        </row>
        <row r="200">
          <cell r="AG200">
            <v>0</v>
          </cell>
          <cell r="AH200">
            <v>0</v>
          </cell>
          <cell r="AL200">
            <v>99.938587512794271</v>
          </cell>
          <cell r="AO200">
            <v>75</v>
          </cell>
        </row>
        <row r="201">
          <cell r="K201">
            <v>385</v>
          </cell>
          <cell r="O201">
            <v>385</v>
          </cell>
          <cell r="S201">
            <v>385</v>
          </cell>
          <cell r="AH201">
            <v>385</v>
          </cell>
          <cell r="AL201">
            <v>195.28</v>
          </cell>
        </row>
        <row r="202">
          <cell r="K202">
            <v>0</v>
          </cell>
          <cell r="O202">
            <v>5159</v>
          </cell>
          <cell r="S202">
            <v>6199</v>
          </cell>
          <cell r="AH202">
            <v>11358</v>
          </cell>
          <cell r="AL202">
            <v>14810</v>
          </cell>
        </row>
        <row r="203">
          <cell r="AH203">
            <v>11358</v>
          </cell>
        </row>
        <row r="204">
          <cell r="K204">
            <v>111.9</v>
          </cell>
          <cell r="O204">
            <v>121</v>
          </cell>
          <cell r="P204">
            <v>37.5</v>
          </cell>
          <cell r="Q204">
            <v>83.5</v>
          </cell>
          <cell r="S204">
            <v>106.4</v>
          </cell>
          <cell r="T204">
            <v>34.799999999999997</v>
          </cell>
          <cell r="U204">
            <v>71.600000000000009</v>
          </cell>
          <cell r="AH204">
            <v>339.3</v>
          </cell>
          <cell r="AJ204">
            <v>72.3</v>
          </cell>
          <cell r="AK204">
            <v>267</v>
          </cell>
          <cell r="AL204">
            <v>356.4</v>
          </cell>
          <cell r="AM204">
            <v>74.900000000000006</v>
          </cell>
          <cell r="AN204">
            <v>281.5</v>
          </cell>
        </row>
        <row r="205">
          <cell r="K205">
            <v>18926</v>
          </cell>
          <cell r="O205">
            <v>22508</v>
          </cell>
          <cell r="P205">
            <v>8374.9121951219513</v>
          </cell>
          <cell r="Q205">
            <v>14133.087804878049</v>
          </cell>
          <cell r="S205">
            <v>20436</v>
          </cell>
          <cell r="T205">
            <v>8329.4774346793329</v>
          </cell>
          <cell r="U205">
            <v>12106.522565320667</v>
          </cell>
          <cell r="AH205">
            <v>61870</v>
          </cell>
          <cell r="AJ205">
            <v>16704.389629801284</v>
          </cell>
          <cell r="AK205">
            <v>45165.610370198716</v>
          </cell>
          <cell r="AL205">
            <v>43374</v>
          </cell>
          <cell r="AM205">
            <v>9115.3552188552203</v>
          </cell>
          <cell r="AN205">
            <v>34258.64478114478</v>
          </cell>
        </row>
        <row r="206">
          <cell r="K206">
            <v>169.13</v>
          </cell>
          <cell r="O206">
            <v>186.02</v>
          </cell>
          <cell r="P206">
            <v>223.33</v>
          </cell>
          <cell r="Q206">
            <v>169.26</v>
          </cell>
          <cell r="S206">
            <v>192.07</v>
          </cell>
          <cell r="T206">
            <v>239.35</v>
          </cell>
          <cell r="U206">
            <v>169.09</v>
          </cell>
          <cell r="X206">
            <v>0</v>
          </cell>
          <cell r="AG206">
            <v>0</v>
          </cell>
          <cell r="AH206">
            <v>182.35</v>
          </cell>
          <cell r="AJ206">
            <v>231.04</v>
          </cell>
          <cell r="AK206">
            <v>169.16</v>
          </cell>
          <cell r="AL206">
            <v>121.7</v>
          </cell>
          <cell r="AM206">
            <v>121.7</v>
          </cell>
          <cell r="AN206">
            <v>121.7</v>
          </cell>
          <cell r="AO206">
            <v>0</v>
          </cell>
        </row>
        <row r="207">
          <cell r="AH207">
            <v>0</v>
          </cell>
          <cell r="AJ207">
            <v>0</v>
          </cell>
          <cell r="AK207">
            <v>0</v>
          </cell>
          <cell r="AL207">
            <v>52</v>
          </cell>
          <cell r="AM207">
            <v>52</v>
          </cell>
        </row>
        <row r="208">
          <cell r="O208">
            <v>22508</v>
          </cell>
          <cell r="S208">
            <v>20436</v>
          </cell>
          <cell r="AH208">
            <v>61870</v>
          </cell>
          <cell r="AJ208">
            <v>16704.389629801284</v>
          </cell>
          <cell r="AK208">
            <v>45165.610370198716</v>
          </cell>
          <cell r="AL208">
            <v>43426</v>
          </cell>
          <cell r="AM208">
            <v>9167.3552188552203</v>
          </cell>
          <cell r="AN208">
            <v>34258.64478114478</v>
          </cell>
        </row>
        <row r="210">
          <cell r="AM210">
            <v>1507.2</v>
          </cell>
        </row>
        <row r="213">
          <cell r="AH213">
            <v>61870</v>
          </cell>
        </row>
        <row r="225">
          <cell r="S225" t="str">
            <v>ЗАТВЕРДЖУЮ</v>
          </cell>
        </row>
        <row r="226">
          <cell r="S226" t="str">
            <v>ГОЛОВА ПРАЛІННЯ АК КЕ</v>
          </cell>
        </row>
        <row r="227">
          <cell r="S227" t="str">
            <v xml:space="preserve">                        І.В.ПЛАЧКОВ</v>
          </cell>
          <cell r="T227" t="str">
            <v xml:space="preserve">      І.В.ПЛАЧКОВ</v>
          </cell>
        </row>
        <row r="234">
          <cell r="C234" t="str">
            <v>ПОТРЕБА   В КОШТАХ НА  березень 1999 року</v>
          </cell>
        </row>
        <row r="235">
          <cell r="C235" t="str">
            <v>ПО ФІЛІАЛАХ АК КИЇВЕНЕРГО</v>
          </cell>
        </row>
        <row r="238">
          <cell r="X238" t="str">
            <v>ТИС.ГРН.</v>
          </cell>
        </row>
        <row r="239">
          <cell r="C239" t="str">
            <v>ВИКОН.ДИР.</v>
          </cell>
          <cell r="D239" t="str">
            <v>АПАРАТ ЕЛЕКТРО</v>
          </cell>
          <cell r="E239" t="str">
            <v>АПАРАТ ТЕПЛО</v>
          </cell>
          <cell r="I239" t="str">
            <v>ККМ</v>
          </cell>
          <cell r="J239" t="str">
            <v>ККМ1</v>
          </cell>
          <cell r="K239" t="str">
            <v>КТМ</v>
          </cell>
          <cell r="L239" t="str">
            <v>ВИРОБН</v>
          </cell>
          <cell r="M239" t="str">
            <v>ПЕРЕД</v>
          </cell>
          <cell r="N239" t="str">
            <v>КТМ1</v>
          </cell>
          <cell r="O239" t="str">
            <v>ТЕЦ-5 ВСЬОГО</v>
          </cell>
          <cell r="P239" t="str">
            <v>Е/Е</v>
          </cell>
          <cell r="Q239" t="str">
            <v xml:space="preserve"> Т/Е</v>
          </cell>
          <cell r="R239" t="str">
            <v>ТЕЦ-5 ВСЬОГО1</v>
          </cell>
          <cell r="S239" t="str">
            <v>ТЕЦ-6 ВСЬОГО</v>
          </cell>
          <cell r="T239" t="str">
            <v>Е/Е</v>
          </cell>
          <cell r="U239" t="str">
            <v xml:space="preserve"> Т/Е</v>
          </cell>
          <cell r="V239" t="str">
            <v>ТЕЦ-6 ВСЬОГО1</v>
          </cell>
          <cell r="X239" t="str">
            <v>РОЗПОД. МЕРЕЖІ АК</v>
          </cell>
          <cell r="Y239" t="str">
            <v>РОЗПОД. МЕРЕЖІ СТОР.</v>
          </cell>
          <cell r="Z239" t="str">
            <v>РОЗПОД. МЕРЕЖІ всього</v>
          </cell>
          <cell r="AA239" t="str">
            <v>РОЗПОД. МЕРЕЖІ АК1</v>
          </cell>
          <cell r="AB239" t="str">
            <v>РОЗПОД. МЕРЕЖІ СТОР.</v>
          </cell>
          <cell r="AC239" t="str">
            <v>РОЗПОД. МЕРЕЖІ всього</v>
          </cell>
          <cell r="AG239" t="str">
            <v>ДОП.ВИР.</v>
          </cell>
          <cell r="AH239" t="str">
            <v>АК КЕ ВСЬОГО</v>
          </cell>
          <cell r="AJ239" t="str">
            <v>Е/Е</v>
          </cell>
          <cell r="AK239" t="str">
            <v xml:space="preserve"> Т/Е</v>
          </cell>
          <cell r="AL239" t="str">
            <v>СТАНЦІї ЕЛЕКТРО</v>
          </cell>
          <cell r="AM239" t="str">
            <v>СТАНЦІІ ТЕПЛОВІ</v>
          </cell>
          <cell r="AN239" t="str">
            <v>МЕРЕЖІ ЕЛЕКТРО</v>
          </cell>
          <cell r="AO239" t="str">
            <v>МЕРЕЖІ ТЕПЛОВІ</v>
          </cell>
        </row>
        <row r="242">
          <cell r="C242">
            <v>19431.169805900914</v>
          </cell>
          <cell r="D242">
            <v>3267</v>
          </cell>
          <cell r="E242">
            <v>3107.878787878788</v>
          </cell>
          <cell r="I242">
            <v>2832.727272727273</v>
          </cell>
          <cell r="J242">
            <v>0</v>
          </cell>
          <cell r="K242">
            <v>9868.7272727272721</v>
          </cell>
          <cell r="L242">
            <v>5352.8863636363612</v>
          </cell>
          <cell r="M242">
            <v>3413.840909090909</v>
          </cell>
          <cell r="N242">
            <v>0</v>
          </cell>
          <cell r="O242">
            <v>2444.7272727272721</v>
          </cell>
          <cell r="P242">
            <v>752</v>
          </cell>
          <cell r="Q242">
            <v>1667.8272727272724</v>
          </cell>
          <cell r="R242">
            <v>123</v>
          </cell>
          <cell r="S242">
            <v>1391.636363636364</v>
          </cell>
          <cell r="T242">
            <v>447</v>
          </cell>
          <cell r="U242">
            <v>919.33636363636469</v>
          </cell>
          <cell r="V242">
            <v>0</v>
          </cell>
          <cell r="X242">
            <v>2771.9636363636364</v>
          </cell>
          <cell r="Y242">
            <v>1109.5818181818181</v>
          </cell>
          <cell r="Z242">
            <v>3881.545454545454</v>
          </cell>
          <cell r="AA242">
            <v>222.875</v>
          </cell>
          <cell r="AB242">
            <v>71.125</v>
          </cell>
          <cell r="AC242">
            <v>294</v>
          </cell>
          <cell r="AG242">
            <v>1383</v>
          </cell>
          <cell r="AH242">
            <v>41098.6182907494</v>
          </cell>
          <cell r="AJ242">
            <v>41067.618290749393</v>
          </cell>
        </row>
        <row r="243">
          <cell r="C243">
            <v>11362.33333333333</v>
          </cell>
          <cell r="D243">
            <v>2503</v>
          </cell>
          <cell r="E243">
            <v>1824.3333333333335</v>
          </cell>
          <cell r="I243">
            <v>990</v>
          </cell>
          <cell r="J243">
            <v>-692</v>
          </cell>
          <cell r="K243">
            <v>3812.2727272727261</v>
          </cell>
          <cell r="L243">
            <v>1397.6281818181797</v>
          </cell>
          <cell r="M243">
            <v>2448.6445454545456</v>
          </cell>
          <cell r="N243">
            <v>-619</v>
          </cell>
          <cell r="O243">
            <v>507.81818181818107</v>
          </cell>
          <cell r="P243">
            <v>348</v>
          </cell>
          <cell r="Q243">
            <v>771.91818181818144</v>
          </cell>
          <cell r="R243">
            <v>-379</v>
          </cell>
          <cell r="S243">
            <v>375.00000000000034</v>
          </cell>
          <cell r="T243">
            <v>265</v>
          </cell>
          <cell r="U243">
            <v>545.70000000000107</v>
          </cell>
          <cell r="V243">
            <v>-379</v>
          </cell>
          <cell r="X243">
            <v>885.2</v>
          </cell>
          <cell r="Y243">
            <v>98.799999999999955</v>
          </cell>
          <cell r="Z243">
            <v>983.99999999999955</v>
          </cell>
          <cell r="AA243">
            <v>95</v>
          </cell>
          <cell r="AB243">
            <v>7</v>
          </cell>
          <cell r="AC243">
            <v>102</v>
          </cell>
          <cell r="AG243">
            <v>625</v>
          </cell>
          <cell r="AH243">
            <v>18826.624242424241</v>
          </cell>
          <cell r="AJ243">
            <v>18795.624242424237</v>
          </cell>
        </row>
        <row r="244">
          <cell r="AJ244">
            <v>0</v>
          </cell>
        </row>
        <row r="245">
          <cell r="C245">
            <v>410.54545454545456</v>
          </cell>
          <cell r="D245">
            <v>67</v>
          </cell>
          <cell r="E245">
            <v>247.54545454545456</v>
          </cell>
          <cell r="I245">
            <v>725.72727272727275</v>
          </cell>
          <cell r="J245">
            <v>0</v>
          </cell>
          <cell r="K245">
            <v>1685.4545454545455</v>
          </cell>
          <cell r="L245">
            <v>728.25818181818181</v>
          </cell>
          <cell r="M245">
            <v>957.19636363636369</v>
          </cell>
          <cell r="N245">
            <v>0</v>
          </cell>
          <cell r="O245">
            <v>652.90909090909099</v>
          </cell>
          <cell r="P245">
            <v>203</v>
          </cell>
          <cell r="Q245">
            <v>449.90909090909093</v>
          </cell>
          <cell r="R245">
            <v>91</v>
          </cell>
          <cell r="S245">
            <v>541.63636363636363</v>
          </cell>
          <cell r="T245">
            <v>177</v>
          </cell>
          <cell r="U245">
            <v>364.63636363636363</v>
          </cell>
          <cell r="V245">
            <v>0</v>
          </cell>
          <cell r="X245">
            <v>1120.7636363636364</v>
          </cell>
          <cell r="Y245">
            <v>318.78181818181815</v>
          </cell>
          <cell r="Z245">
            <v>1439.5454545454545</v>
          </cell>
          <cell r="AA245">
            <v>127.875</v>
          </cell>
          <cell r="AB245">
            <v>64.125</v>
          </cell>
          <cell r="AC245">
            <v>192</v>
          </cell>
          <cell r="AG245">
            <v>508</v>
          </cell>
          <cell r="AH245">
            <v>5953.0363636363636</v>
          </cell>
          <cell r="AJ245">
            <v>5953.0363636363645</v>
          </cell>
        </row>
        <row r="246">
          <cell r="C246">
            <v>112</v>
          </cell>
          <cell r="D246">
            <v>3</v>
          </cell>
          <cell r="E246">
            <v>13</v>
          </cell>
          <cell r="I246">
            <v>198</v>
          </cell>
          <cell r="J246">
            <v>0</v>
          </cell>
          <cell r="K246">
            <v>460</v>
          </cell>
          <cell r="L246">
            <v>199</v>
          </cell>
          <cell r="M246">
            <v>261</v>
          </cell>
          <cell r="N246">
            <v>0</v>
          </cell>
          <cell r="O246">
            <v>178</v>
          </cell>
          <cell r="P246">
            <v>55</v>
          </cell>
          <cell r="Q246">
            <v>123</v>
          </cell>
          <cell r="R246">
            <v>24.81818181818182</v>
          </cell>
          <cell r="S246">
            <v>149</v>
          </cell>
          <cell r="T246">
            <v>49</v>
          </cell>
          <cell r="U246">
            <v>100</v>
          </cell>
          <cell r="V246">
            <v>0</v>
          </cell>
          <cell r="X246">
            <v>306</v>
          </cell>
          <cell r="Y246">
            <v>87</v>
          </cell>
          <cell r="Z246">
            <v>393</v>
          </cell>
          <cell r="AA246">
            <v>34.875</v>
          </cell>
          <cell r="AB246">
            <v>17.488636363636363</v>
          </cell>
          <cell r="AC246">
            <v>52.36363636363636</v>
          </cell>
          <cell r="AG246">
            <v>138.54545454545453</v>
          </cell>
          <cell r="AH246">
            <v>1625.5454545454545</v>
          </cell>
          <cell r="AJ246">
            <v>1625.5454545454545</v>
          </cell>
        </row>
        <row r="247">
          <cell r="C247">
            <v>7021.2910180221279</v>
          </cell>
          <cell r="D247">
            <v>644</v>
          </cell>
          <cell r="E247">
            <v>1044</v>
          </cell>
          <cell r="I247">
            <v>61</v>
          </cell>
          <cell r="J247">
            <v>0</v>
          </cell>
          <cell r="K247">
            <v>29</v>
          </cell>
          <cell r="L247">
            <v>22</v>
          </cell>
          <cell r="M247">
            <v>0</v>
          </cell>
          <cell r="N247">
            <v>0</v>
          </cell>
          <cell r="O247">
            <v>683</v>
          </cell>
          <cell r="P247">
            <v>212</v>
          </cell>
          <cell r="Q247">
            <v>471</v>
          </cell>
          <cell r="R247">
            <v>0</v>
          </cell>
          <cell r="S247">
            <v>41</v>
          </cell>
          <cell r="T247">
            <v>5</v>
          </cell>
          <cell r="U247">
            <v>9</v>
          </cell>
          <cell r="V247">
            <v>0</v>
          </cell>
          <cell r="X247">
            <v>16</v>
          </cell>
          <cell r="Y247">
            <v>1</v>
          </cell>
          <cell r="Z247">
            <v>17</v>
          </cell>
          <cell r="AA247">
            <v>10</v>
          </cell>
          <cell r="AB247">
            <v>4</v>
          </cell>
          <cell r="AC247">
            <v>14</v>
          </cell>
          <cell r="AG247">
            <v>0</v>
          </cell>
          <cell r="AH247">
            <v>7851.2910180221279</v>
          </cell>
          <cell r="AJ247">
            <v>7851.2910180221279</v>
          </cell>
        </row>
        <row r="248">
          <cell r="C248">
            <v>0</v>
          </cell>
          <cell r="D248">
            <v>0</v>
          </cell>
          <cell r="E248">
            <v>0</v>
          </cell>
          <cell r="I248">
            <v>0</v>
          </cell>
          <cell r="J248">
            <v>0</v>
          </cell>
          <cell r="K248">
            <v>22</v>
          </cell>
          <cell r="L248">
            <v>22</v>
          </cell>
          <cell r="M248">
            <v>0</v>
          </cell>
          <cell r="N248">
            <v>0</v>
          </cell>
          <cell r="O248">
            <v>647</v>
          </cell>
          <cell r="P248">
            <v>201</v>
          </cell>
          <cell r="Q248">
            <v>446</v>
          </cell>
          <cell r="R248">
            <v>0</v>
          </cell>
          <cell r="S248">
            <v>14</v>
          </cell>
          <cell r="T248">
            <v>5</v>
          </cell>
          <cell r="U248">
            <v>9</v>
          </cell>
          <cell r="V248">
            <v>0</v>
          </cell>
          <cell r="X248">
            <v>0</v>
          </cell>
          <cell r="Y248">
            <v>0</v>
          </cell>
          <cell r="Z248">
            <v>0</v>
          </cell>
          <cell r="AA248">
            <v>0</v>
          </cell>
          <cell r="AB248">
            <v>0</v>
          </cell>
          <cell r="AC248">
            <v>0</v>
          </cell>
          <cell r="AG248">
            <v>0</v>
          </cell>
          <cell r="AH248">
            <v>683</v>
          </cell>
          <cell r="AJ248">
            <v>683</v>
          </cell>
        </row>
        <row r="249">
          <cell r="C249">
            <v>13</v>
          </cell>
          <cell r="D249">
            <v>3</v>
          </cell>
          <cell r="E249">
            <v>10</v>
          </cell>
          <cell r="I249">
            <v>61</v>
          </cell>
          <cell r="J249">
            <v>0</v>
          </cell>
          <cell r="K249">
            <v>7</v>
          </cell>
          <cell r="L249">
            <v>0</v>
          </cell>
          <cell r="M249">
            <v>0</v>
          </cell>
          <cell r="N249">
            <v>0</v>
          </cell>
          <cell r="O249">
            <v>36</v>
          </cell>
          <cell r="P249">
            <v>11</v>
          </cell>
          <cell r="Q249">
            <v>25</v>
          </cell>
          <cell r="R249">
            <v>0</v>
          </cell>
          <cell r="S249">
            <v>27</v>
          </cell>
          <cell r="T249">
            <v>0</v>
          </cell>
          <cell r="U249">
            <v>0</v>
          </cell>
          <cell r="V249">
            <v>0</v>
          </cell>
          <cell r="X249">
            <v>16</v>
          </cell>
          <cell r="Y249">
            <v>1</v>
          </cell>
          <cell r="Z249">
            <v>17</v>
          </cell>
          <cell r="AA249">
            <v>10</v>
          </cell>
          <cell r="AB249">
            <v>4</v>
          </cell>
          <cell r="AC249">
            <v>14</v>
          </cell>
          <cell r="AG249">
            <v>0</v>
          </cell>
          <cell r="AH249">
            <v>160</v>
          </cell>
          <cell r="AJ249">
            <v>160</v>
          </cell>
        </row>
        <row r="250">
          <cell r="C250">
            <v>1611</v>
          </cell>
          <cell r="AH250">
            <v>1611</v>
          </cell>
          <cell r="AJ250">
            <v>1611</v>
          </cell>
        </row>
        <row r="251">
          <cell r="C251">
            <v>3528</v>
          </cell>
          <cell r="AH251">
            <v>3528</v>
          </cell>
          <cell r="AJ251">
            <v>3528</v>
          </cell>
        </row>
        <row r="252">
          <cell r="C252">
            <v>0</v>
          </cell>
          <cell r="AH252">
            <v>0</v>
          </cell>
          <cell r="AJ252">
            <v>0</v>
          </cell>
        </row>
        <row r="253">
          <cell r="C253">
            <v>1869.2910180221284</v>
          </cell>
          <cell r="D253">
            <v>641</v>
          </cell>
          <cell r="E253">
            <v>1034</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X253">
            <v>0</v>
          </cell>
          <cell r="Y253">
            <v>0</v>
          </cell>
          <cell r="Z253">
            <v>0</v>
          </cell>
          <cell r="AA253">
            <v>0</v>
          </cell>
          <cell r="AB253">
            <v>0</v>
          </cell>
          <cell r="AC253">
            <v>0</v>
          </cell>
          <cell r="AG253">
            <v>0</v>
          </cell>
          <cell r="AH253">
            <v>1869.2910180221284</v>
          </cell>
          <cell r="AJ253">
            <v>1869.2910180221284</v>
          </cell>
        </row>
        <row r="254">
          <cell r="AJ254">
            <v>0</v>
          </cell>
        </row>
        <row r="255">
          <cell r="C255">
            <v>474</v>
          </cell>
          <cell r="I255">
            <v>957</v>
          </cell>
          <cell r="J255">
            <v>0</v>
          </cell>
          <cell r="K255">
            <v>2792</v>
          </cell>
          <cell r="L255">
            <v>0</v>
          </cell>
          <cell r="M255">
            <v>0</v>
          </cell>
          <cell r="N255">
            <v>570</v>
          </cell>
          <cell r="O255">
            <v>219</v>
          </cell>
          <cell r="P255">
            <v>0</v>
          </cell>
          <cell r="Q255">
            <v>0</v>
          </cell>
          <cell r="R255">
            <v>169</v>
          </cell>
          <cell r="S255">
            <v>176</v>
          </cell>
          <cell r="T255">
            <v>0</v>
          </cell>
          <cell r="U255">
            <v>0</v>
          </cell>
          <cell r="V255">
            <v>0</v>
          </cell>
          <cell r="X255">
            <v>84</v>
          </cell>
          <cell r="Y255">
            <v>0</v>
          </cell>
          <cell r="Z255">
            <v>84</v>
          </cell>
          <cell r="AA255">
            <v>0</v>
          </cell>
          <cell r="AB255">
            <v>0</v>
          </cell>
          <cell r="AC255">
            <v>0</v>
          </cell>
          <cell r="AG255">
            <v>148</v>
          </cell>
          <cell r="AH255">
            <v>4872</v>
          </cell>
          <cell r="AJ255">
            <v>4872</v>
          </cell>
        </row>
        <row r="256">
          <cell r="C256">
            <v>0</v>
          </cell>
          <cell r="D256">
            <v>0</v>
          </cell>
          <cell r="E256">
            <v>0</v>
          </cell>
          <cell r="I256">
            <v>180</v>
          </cell>
          <cell r="J256">
            <v>184</v>
          </cell>
          <cell r="K256">
            <v>315</v>
          </cell>
          <cell r="L256">
            <v>0</v>
          </cell>
          <cell r="M256">
            <v>0</v>
          </cell>
          <cell r="N256">
            <v>0</v>
          </cell>
          <cell r="O256">
            <v>320</v>
          </cell>
          <cell r="P256">
            <v>0</v>
          </cell>
          <cell r="Q256">
            <v>0</v>
          </cell>
          <cell r="R256">
            <v>359</v>
          </cell>
          <cell r="S256">
            <v>231</v>
          </cell>
          <cell r="T256">
            <v>0</v>
          </cell>
          <cell r="U256">
            <v>0</v>
          </cell>
          <cell r="V256">
            <v>192</v>
          </cell>
          <cell r="X256">
            <v>84</v>
          </cell>
          <cell r="Y256">
            <v>0</v>
          </cell>
          <cell r="Z256">
            <v>84</v>
          </cell>
          <cell r="AA256">
            <v>0</v>
          </cell>
          <cell r="AB256">
            <v>0</v>
          </cell>
          <cell r="AC256">
            <v>0</v>
          </cell>
          <cell r="AG256">
            <v>0</v>
          </cell>
          <cell r="AH256">
            <v>1130</v>
          </cell>
          <cell r="AJ256">
            <v>1130</v>
          </cell>
        </row>
        <row r="257">
          <cell r="C257">
            <v>0</v>
          </cell>
          <cell r="I257">
            <v>72</v>
          </cell>
          <cell r="J257">
            <v>72</v>
          </cell>
          <cell r="K257">
            <v>376</v>
          </cell>
          <cell r="N257">
            <v>376</v>
          </cell>
          <cell r="O257">
            <v>325</v>
          </cell>
          <cell r="R257">
            <v>325</v>
          </cell>
          <cell r="S257">
            <v>203</v>
          </cell>
          <cell r="V257">
            <v>203</v>
          </cell>
          <cell r="X257">
            <v>0</v>
          </cell>
          <cell r="Y257">
            <v>0</v>
          </cell>
          <cell r="Z257">
            <v>0</v>
          </cell>
          <cell r="AA257">
            <v>0</v>
          </cell>
          <cell r="AB257">
            <v>0</v>
          </cell>
          <cell r="AC257">
            <v>0</v>
          </cell>
          <cell r="AG257">
            <v>0</v>
          </cell>
          <cell r="AH257">
            <v>976</v>
          </cell>
          <cell r="AJ257">
            <v>976</v>
          </cell>
        </row>
        <row r="258">
          <cell r="AJ258">
            <v>0</v>
          </cell>
        </row>
        <row r="259">
          <cell r="C259">
            <v>0</v>
          </cell>
          <cell r="D259">
            <v>0</v>
          </cell>
          <cell r="E259">
            <v>0</v>
          </cell>
          <cell r="I259">
            <v>0</v>
          </cell>
          <cell r="J259">
            <v>0</v>
          </cell>
          <cell r="K259">
            <v>0</v>
          </cell>
          <cell r="L259">
            <v>0</v>
          </cell>
          <cell r="M259">
            <v>0</v>
          </cell>
          <cell r="N259">
            <v>0</v>
          </cell>
          <cell r="O259">
            <v>1219</v>
          </cell>
          <cell r="P259">
            <v>0</v>
          </cell>
          <cell r="Q259">
            <v>0</v>
          </cell>
          <cell r="R259">
            <v>0</v>
          </cell>
          <cell r="S259">
            <v>380</v>
          </cell>
          <cell r="T259">
            <v>0</v>
          </cell>
          <cell r="U259">
            <v>0</v>
          </cell>
          <cell r="V259">
            <v>0</v>
          </cell>
          <cell r="X259">
            <v>100</v>
          </cell>
          <cell r="Y259">
            <v>202</v>
          </cell>
          <cell r="Z259">
            <v>302</v>
          </cell>
          <cell r="AA259">
            <v>100</v>
          </cell>
          <cell r="AB259">
            <v>0</v>
          </cell>
          <cell r="AC259">
            <v>100</v>
          </cell>
          <cell r="AG259">
            <v>0</v>
          </cell>
          <cell r="AH259">
            <v>1699</v>
          </cell>
          <cell r="AJ259">
            <v>1699</v>
          </cell>
        </row>
        <row r="260">
          <cell r="AJ260">
            <v>0</v>
          </cell>
        </row>
        <row r="261">
          <cell r="AJ261">
            <v>0</v>
          </cell>
        </row>
        <row r="262">
          <cell r="C262">
            <v>158</v>
          </cell>
          <cell r="D262">
            <v>0</v>
          </cell>
          <cell r="E262">
            <v>0</v>
          </cell>
          <cell r="I262">
            <v>337</v>
          </cell>
          <cell r="J262">
            <v>0</v>
          </cell>
          <cell r="K262">
            <v>218</v>
          </cell>
          <cell r="L262">
            <v>0</v>
          </cell>
          <cell r="M262">
            <v>0</v>
          </cell>
          <cell r="N262">
            <v>0</v>
          </cell>
          <cell r="O262">
            <v>75</v>
          </cell>
          <cell r="P262">
            <v>0</v>
          </cell>
          <cell r="Q262">
            <v>0</v>
          </cell>
          <cell r="R262">
            <v>0</v>
          </cell>
          <cell r="S262">
            <v>120</v>
          </cell>
          <cell r="T262">
            <v>0</v>
          </cell>
          <cell r="U262">
            <v>0</v>
          </cell>
          <cell r="V262">
            <v>0</v>
          </cell>
          <cell r="X262">
            <v>0</v>
          </cell>
          <cell r="Y262">
            <v>0</v>
          </cell>
          <cell r="Z262">
            <v>0</v>
          </cell>
          <cell r="AA262">
            <v>0</v>
          </cell>
          <cell r="AB262">
            <v>0</v>
          </cell>
          <cell r="AC262">
            <v>0</v>
          </cell>
          <cell r="AG262">
            <v>0</v>
          </cell>
          <cell r="AH262">
            <v>942</v>
          </cell>
          <cell r="AJ262">
            <v>942</v>
          </cell>
        </row>
        <row r="263">
          <cell r="C263">
            <v>489</v>
          </cell>
          <cell r="D263">
            <v>55</v>
          </cell>
          <cell r="E263">
            <v>0</v>
          </cell>
          <cell r="I263">
            <v>8</v>
          </cell>
          <cell r="J263">
            <v>8</v>
          </cell>
          <cell r="K263">
            <v>39</v>
          </cell>
          <cell r="L263">
            <v>8</v>
          </cell>
          <cell r="M263">
            <v>8</v>
          </cell>
          <cell r="N263">
            <v>39</v>
          </cell>
          <cell r="O263">
            <v>52</v>
          </cell>
          <cell r="P263">
            <v>0</v>
          </cell>
          <cell r="Q263">
            <v>0</v>
          </cell>
          <cell r="R263">
            <v>52</v>
          </cell>
          <cell r="S263">
            <v>40</v>
          </cell>
          <cell r="T263">
            <v>0</v>
          </cell>
          <cell r="U263">
            <v>0</v>
          </cell>
          <cell r="V263">
            <v>40</v>
          </cell>
          <cell r="X263">
            <v>0</v>
          </cell>
          <cell r="Y263">
            <v>0</v>
          </cell>
          <cell r="Z263">
            <v>0</v>
          </cell>
          <cell r="AA263">
            <v>0</v>
          </cell>
          <cell r="AB263">
            <v>0</v>
          </cell>
          <cell r="AC263">
            <v>0</v>
          </cell>
          <cell r="AG263">
            <v>0</v>
          </cell>
          <cell r="AH263">
            <v>628</v>
          </cell>
          <cell r="AJ263">
            <v>628</v>
          </cell>
        </row>
        <row r="264">
          <cell r="C264">
            <v>0</v>
          </cell>
          <cell r="I264">
            <v>500</v>
          </cell>
          <cell r="J264">
            <v>500</v>
          </cell>
          <cell r="K264">
            <v>580</v>
          </cell>
          <cell r="N264">
            <v>580</v>
          </cell>
          <cell r="O264">
            <v>80</v>
          </cell>
          <cell r="R264">
            <v>0</v>
          </cell>
          <cell r="S264">
            <v>70</v>
          </cell>
          <cell r="V264">
            <v>70</v>
          </cell>
          <cell r="AG264">
            <v>250</v>
          </cell>
          <cell r="AH264">
            <v>1480</v>
          </cell>
          <cell r="AJ264">
            <v>1480</v>
          </cell>
        </row>
        <row r="265">
          <cell r="C265">
            <v>0</v>
          </cell>
          <cell r="I265">
            <v>63</v>
          </cell>
          <cell r="J265">
            <v>63</v>
          </cell>
          <cell r="K265">
            <v>0</v>
          </cell>
          <cell r="N265">
            <v>0</v>
          </cell>
          <cell r="O265">
            <v>0</v>
          </cell>
          <cell r="R265">
            <v>0</v>
          </cell>
          <cell r="S265">
            <v>15</v>
          </cell>
          <cell r="V265">
            <v>15</v>
          </cell>
          <cell r="X265">
            <v>0</v>
          </cell>
          <cell r="AA265">
            <v>0</v>
          </cell>
          <cell r="AH265">
            <v>78</v>
          </cell>
          <cell r="AJ265">
            <v>78</v>
          </cell>
        </row>
        <row r="266">
          <cell r="AJ266">
            <v>0</v>
          </cell>
        </row>
        <row r="267">
          <cell r="C267">
            <v>0</v>
          </cell>
          <cell r="D267">
            <v>0</v>
          </cell>
          <cell r="E267">
            <v>0</v>
          </cell>
          <cell r="I267">
            <v>1</v>
          </cell>
          <cell r="J267">
            <v>0</v>
          </cell>
          <cell r="K267">
            <v>0</v>
          </cell>
          <cell r="L267">
            <v>0</v>
          </cell>
          <cell r="M267">
            <v>0</v>
          </cell>
          <cell r="N267">
            <v>0</v>
          </cell>
          <cell r="O267">
            <v>110</v>
          </cell>
          <cell r="P267">
            <v>0</v>
          </cell>
          <cell r="Q267">
            <v>0</v>
          </cell>
          <cell r="R267">
            <v>0</v>
          </cell>
          <cell r="S267">
            <v>0</v>
          </cell>
          <cell r="T267">
            <v>0</v>
          </cell>
          <cell r="U267">
            <v>0</v>
          </cell>
          <cell r="V267">
            <v>77</v>
          </cell>
          <cell r="X267">
            <v>0</v>
          </cell>
          <cell r="Y267">
            <v>0</v>
          </cell>
          <cell r="Z267">
            <v>0</v>
          </cell>
          <cell r="AA267">
            <v>0</v>
          </cell>
          <cell r="AB267">
            <v>0</v>
          </cell>
          <cell r="AC267">
            <v>0</v>
          </cell>
          <cell r="AG267">
            <v>0</v>
          </cell>
          <cell r="AH267">
            <v>111</v>
          </cell>
          <cell r="AJ267">
            <v>111</v>
          </cell>
        </row>
        <row r="268">
          <cell r="C268">
            <v>3</v>
          </cell>
          <cell r="D268">
            <v>1</v>
          </cell>
          <cell r="E268">
            <v>2</v>
          </cell>
          <cell r="I268">
            <v>91</v>
          </cell>
          <cell r="J268">
            <v>0</v>
          </cell>
          <cell r="K268">
            <v>3197</v>
          </cell>
          <cell r="L268">
            <v>3197</v>
          </cell>
          <cell r="M268">
            <v>0</v>
          </cell>
          <cell r="N268">
            <v>0</v>
          </cell>
          <cell r="O268">
            <v>0</v>
          </cell>
          <cell r="P268">
            <v>0</v>
          </cell>
          <cell r="Q268">
            <v>0</v>
          </cell>
          <cell r="R268">
            <v>0</v>
          </cell>
          <cell r="S268">
            <v>0</v>
          </cell>
          <cell r="T268">
            <v>0</v>
          </cell>
          <cell r="U268">
            <v>0</v>
          </cell>
          <cell r="V268">
            <v>0</v>
          </cell>
          <cell r="X268">
            <v>682</v>
          </cell>
          <cell r="Y268">
            <v>692</v>
          </cell>
          <cell r="Z268">
            <v>1374</v>
          </cell>
          <cell r="AA268">
            <v>0</v>
          </cell>
          <cell r="AB268">
            <v>0</v>
          </cell>
          <cell r="AC268">
            <v>0</v>
          </cell>
          <cell r="AG268">
            <v>0</v>
          </cell>
          <cell r="AH268">
            <v>3973</v>
          </cell>
          <cell r="AJ268">
            <v>3973</v>
          </cell>
        </row>
        <row r="269">
          <cell r="C269">
            <v>0</v>
          </cell>
          <cell r="D269">
            <v>0</v>
          </cell>
          <cell r="E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X269">
            <v>0</v>
          </cell>
          <cell r="Y269">
            <v>0</v>
          </cell>
          <cell r="Z269">
            <v>0</v>
          </cell>
          <cell r="AA269">
            <v>0</v>
          </cell>
          <cell r="AB269">
            <v>0</v>
          </cell>
          <cell r="AC269">
            <v>0</v>
          </cell>
          <cell r="AG269">
            <v>0</v>
          </cell>
          <cell r="AH269">
            <v>363.66666666666663</v>
          </cell>
          <cell r="AJ269">
            <v>363.66666666666663</v>
          </cell>
        </row>
        <row r="270">
          <cell r="C270">
            <v>105</v>
          </cell>
          <cell r="D270">
            <v>22</v>
          </cell>
          <cell r="E270">
            <v>83</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X270">
            <v>0</v>
          </cell>
          <cell r="Y270">
            <v>0</v>
          </cell>
          <cell r="Z270">
            <v>0</v>
          </cell>
          <cell r="AA270">
            <v>0</v>
          </cell>
          <cell r="AB270">
            <v>0</v>
          </cell>
          <cell r="AC270">
            <v>0</v>
          </cell>
          <cell r="AG270">
            <v>0</v>
          </cell>
          <cell r="AH270">
            <v>105</v>
          </cell>
          <cell r="AJ270">
            <v>105</v>
          </cell>
        </row>
        <row r="271">
          <cell r="C271">
            <v>0</v>
          </cell>
          <cell r="D271">
            <v>0</v>
          </cell>
          <cell r="E271">
            <v>0</v>
          </cell>
          <cell r="I271">
            <v>0</v>
          </cell>
          <cell r="J271">
            <v>0</v>
          </cell>
          <cell r="K271">
            <v>0</v>
          </cell>
          <cell r="L271">
            <v>0</v>
          </cell>
          <cell r="M271">
            <v>0</v>
          </cell>
          <cell r="N271">
            <v>0</v>
          </cell>
          <cell r="O271">
            <v>28</v>
          </cell>
          <cell r="P271">
            <v>0</v>
          </cell>
          <cell r="Q271">
            <v>0</v>
          </cell>
          <cell r="R271">
            <v>22</v>
          </cell>
          <cell r="S271">
            <v>0</v>
          </cell>
          <cell r="T271">
            <v>0</v>
          </cell>
          <cell r="U271">
            <v>0</v>
          </cell>
          <cell r="V271">
            <v>0</v>
          </cell>
          <cell r="X271">
            <v>0</v>
          </cell>
          <cell r="Y271">
            <v>0</v>
          </cell>
          <cell r="Z271">
            <v>0</v>
          </cell>
          <cell r="AA271">
            <v>16</v>
          </cell>
          <cell r="AB271">
            <v>3</v>
          </cell>
          <cell r="AC271">
            <v>19</v>
          </cell>
          <cell r="AG271">
            <v>795</v>
          </cell>
          <cell r="AH271">
            <v>823</v>
          </cell>
          <cell r="AJ271">
            <v>823</v>
          </cell>
        </row>
        <row r="272">
          <cell r="C272">
            <v>0</v>
          </cell>
          <cell r="D272">
            <v>0</v>
          </cell>
          <cell r="E272">
            <v>0</v>
          </cell>
          <cell r="I272">
            <v>0</v>
          </cell>
          <cell r="J272">
            <v>0</v>
          </cell>
          <cell r="K272">
            <v>0</v>
          </cell>
          <cell r="L272">
            <v>0</v>
          </cell>
          <cell r="M272">
            <v>0</v>
          </cell>
          <cell r="N272">
            <v>0</v>
          </cell>
          <cell r="O272">
            <v>0</v>
          </cell>
          <cell r="P272">
            <v>0</v>
          </cell>
          <cell r="Q272">
            <v>0</v>
          </cell>
          <cell r="R272">
            <v>10</v>
          </cell>
          <cell r="S272">
            <v>0</v>
          </cell>
          <cell r="T272">
            <v>0</v>
          </cell>
          <cell r="U272">
            <v>0</v>
          </cell>
          <cell r="V272">
            <v>0</v>
          </cell>
          <cell r="X272">
            <v>0</v>
          </cell>
          <cell r="Y272">
            <v>0</v>
          </cell>
          <cell r="Z272">
            <v>0</v>
          </cell>
          <cell r="AA272">
            <v>69</v>
          </cell>
          <cell r="AB272">
            <v>0</v>
          </cell>
          <cell r="AC272">
            <v>69</v>
          </cell>
          <cell r="AG272">
            <v>0</v>
          </cell>
          <cell r="AH272">
            <v>0</v>
          </cell>
          <cell r="AJ272">
            <v>0</v>
          </cell>
        </row>
        <row r="273">
          <cell r="C273">
            <v>12639.624351355458</v>
          </cell>
          <cell r="D273">
            <v>3119</v>
          </cell>
          <cell r="E273">
            <v>2765.3333333333335</v>
          </cell>
          <cell r="I273">
            <v>472</v>
          </cell>
          <cell r="J273">
            <v>-192</v>
          </cell>
          <cell r="K273">
            <v>1615.2727272727261</v>
          </cell>
          <cell r="L273">
            <v>1419.6281818181797</v>
          </cell>
          <cell r="M273">
            <v>2448.6445454545456</v>
          </cell>
          <cell r="N273">
            <v>-609</v>
          </cell>
          <cell r="O273">
            <v>951.81818181818107</v>
          </cell>
          <cell r="P273">
            <v>538</v>
          </cell>
          <cell r="Q273">
            <v>1192.9181818181814</v>
          </cell>
          <cell r="R273">
            <v>-580</v>
          </cell>
          <cell r="S273">
            <v>256.00000000000034</v>
          </cell>
          <cell r="T273">
            <v>270</v>
          </cell>
          <cell r="U273">
            <v>554.70000000000107</v>
          </cell>
          <cell r="V273">
            <v>-309</v>
          </cell>
          <cell r="X273">
            <v>785.2</v>
          </cell>
          <cell r="Y273">
            <v>97.799999999999955</v>
          </cell>
          <cell r="Z273">
            <v>882.99999999999955</v>
          </cell>
          <cell r="AA273">
            <v>0</v>
          </cell>
          <cell r="AB273">
            <v>0</v>
          </cell>
          <cell r="AC273">
            <v>0</v>
          </cell>
          <cell r="AG273">
            <v>-68</v>
          </cell>
          <cell r="AH273">
            <v>16898.915260446371</v>
          </cell>
          <cell r="AJ273">
            <v>16867.915260446367</v>
          </cell>
        </row>
        <row r="274">
          <cell r="C274">
            <v>0</v>
          </cell>
          <cell r="D274">
            <v>0</v>
          </cell>
          <cell r="E274">
            <v>0</v>
          </cell>
          <cell r="I274">
            <v>-28</v>
          </cell>
          <cell r="J274">
            <v>0</v>
          </cell>
          <cell r="K274">
            <v>-507</v>
          </cell>
          <cell r="L274">
            <v>-81.119999999999976</v>
          </cell>
          <cell r="M274">
            <v>-425.88000000000011</v>
          </cell>
          <cell r="N274">
            <v>0</v>
          </cell>
          <cell r="O274">
            <v>469</v>
          </cell>
          <cell r="P274">
            <v>145</v>
          </cell>
          <cell r="Q274">
            <v>324</v>
          </cell>
          <cell r="R274">
            <v>0</v>
          </cell>
          <cell r="S274">
            <v>558</v>
          </cell>
          <cell r="T274">
            <v>182</v>
          </cell>
          <cell r="U274">
            <v>376</v>
          </cell>
          <cell r="V274">
            <v>0</v>
          </cell>
          <cell r="X274">
            <v>410</v>
          </cell>
          <cell r="Y274">
            <v>80</v>
          </cell>
          <cell r="Z274">
            <v>433</v>
          </cell>
          <cell r="AA274">
            <v>0</v>
          </cell>
          <cell r="AB274">
            <v>0</v>
          </cell>
          <cell r="AC274">
            <v>0</v>
          </cell>
          <cell r="AG274">
            <v>0</v>
          </cell>
          <cell r="AH274">
            <v>912</v>
          </cell>
          <cell r="AJ274">
            <v>912</v>
          </cell>
        </row>
        <row r="285">
          <cell r="C285" t="str">
            <v>лютий</v>
          </cell>
          <cell r="I285" t="str">
            <v>лютий</v>
          </cell>
          <cell r="O285" t="str">
            <v>лютий</v>
          </cell>
          <cell r="S285" t="str">
            <v>лютий</v>
          </cell>
        </row>
        <row r="286">
          <cell r="C286" t="str">
            <v>АППАРАТ</v>
          </cell>
          <cell r="I286" t="str">
            <v>ККМ</v>
          </cell>
          <cell r="O286" t="str">
            <v>ТЕЦ5</v>
          </cell>
          <cell r="S286" t="str">
            <v>ТЕЦ6</v>
          </cell>
          <cell r="AH286" t="str">
            <v>АК "КЕ"</v>
          </cell>
          <cell r="AJ286" t="str">
            <v>Е/Е</v>
          </cell>
        </row>
        <row r="287">
          <cell r="C287" t="str">
            <v>ПЛАН</v>
          </cell>
          <cell r="I287" t="str">
            <v>ПЛАН</v>
          </cell>
          <cell r="O287" t="str">
            <v>ПЛАН</v>
          </cell>
          <cell r="S287" t="str">
            <v>ПЛАН</v>
          </cell>
          <cell r="AH287" t="str">
            <v>ПЛАН</v>
          </cell>
          <cell r="AJ287" t="str">
            <v>ПЛАН</v>
          </cell>
        </row>
        <row r="288">
          <cell r="C288">
            <v>164.3</v>
          </cell>
          <cell r="D288">
            <v>35</v>
          </cell>
          <cell r="E288">
            <v>35</v>
          </cell>
          <cell r="I288">
            <v>14.333333333333332</v>
          </cell>
          <cell r="K288">
            <v>14.333333333333332</v>
          </cell>
          <cell r="O288">
            <v>182</v>
          </cell>
          <cell r="P288">
            <v>56</v>
          </cell>
          <cell r="Q288">
            <v>56</v>
          </cell>
          <cell r="S288">
            <v>323.66666666666674</v>
          </cell>
          <cell r="T288">
            <v>106</v>
          </cell>
          <cell r="U288">
            <v>105</v>
          </cell>
          <cell r="AH288">
            <v>735.30000000000018</v>
          </cell>
          <cell r="AJ288">
            <v>329.33333333333337</v>
          </cell>
          <cell r="AK288">
            <v>226.33333333333334</v>
          </cell>
        </row>
        <row r="289">
          <cell r="C289">
            <v>29</v>
          </cell>
          <cell r="D289">
            <v>6</v>
          </cell>
          <cell r="I289">
            <v>0</v>
          </cell>
          <cell r="O289">
            <v>0</v>
          </cell>
          <cell r="P289">
            <v>0</v>
          </cell>
          <cell r="S289">
            <v>3.6666666666666665</v>
          </cell>
          <cell r="T289">
            <v>1</v>
          </cell>
          <cell r="AH289">
            <v>46</v>
          </cell>
          <cell r="AJ289">
            <v>10</v>
          </cell>
        </row>
        <row r="290">
          <cell r="C290">
            <v>0</v>
          </cell>
          <cell r="D290">
            <v>0</v>
          </cell>
          <cell r="I290">
            <v>0.66666666666666663</v>
          </cell>
          <cell r="O290">
            <v>146.66666666666666</v>
          </cell>
          <cell r="P290">
            <v>45</v>
          </cell>
          <cell r="S290">
            <v>280.66666666666669</v>
          </cell>
          <cell r="T290">
            <v>92</v>
          </cell>
          <cell r="AH290">
            <v>428</v>
          </cell>
          <cell r="AJ290">
            <v>137.66666666666666</v>
          </cell>
        </row>
        <row r="291">
          <cell r="C291">
            <v>0</v>
          </cell>
          <cell r="D291">
            <v>0</v>
          </cell>
          <cell r="I291">
            <v>2</v>
          </cell>
          <cell r="O291">
            <v>0</v>
          </cell>
          <cell r="P291">
            <v>0</v>
          </cell>
          <cell r="S291">
            <v>25</v>
          </cell>
          <cell r="T291">
            <v>8</v>
          </cell>
          <cell r="AH291">
            <v>33.666666666666671</v>
          </cell>
          <cell r="AJ291">
            <v>13</v>
          </cell>
        </row>
        <row r="292">
          <cell r="C292">
            <v>0</v>
          </cell>
          <cell r="D292">
            <v>0</v>
          </cell>
          <cell r="I292">
            <v>0</v>
          </cell>
          <cell r="O292">
            <v>25.333333333333332</v>
          </cell>
          <cell r="P292">
            <v>8</v>
          </cell>
          <cell r="S292">
            <v>0.66666666666666663</v>
          </cell>
          <cell r="T292">
            <v>0</v>
          </cell>
          <cell r="AH292">
            <v>26</v>
          </cell>
          <cell r="AJ292">
            <v>8</v>
          </cell>
        </row>
        <row r="293">
          <cell r="C293">
            <v>120.63333333333333</v>
          </cell>
          <cell r="D293">
            <v>26</v>
          </cell>
          <cell r="I293">
            <v>0</v>
          </cell>
          <cell r="O293">
            <v>0</v>
          </cell>
          <cell r="P293">
            <v>0</v>
          </cell>
          <cell r="S293">
            <v>0</v>
          </cell>
          <cell r="T293">
            <v>0</v>
          </cell>
          <cell r="AH293">
            <v>120.63333333333333</v>
          </cell>
          <cell r="AJ293">
            <v>28</v>
          </cell>
        </row>
        <row r="294">
          <cell r="C294">
            <v>8.6666666666666661</v>
          </cell>
          <cell r="D294">
            <v>2</v>
          </cell>
          <cell r="I294">
            <v>0</v>
          </cell>
          <cell r="O294">
            <v>0</v>
          </cell>
          <cell r="P294">
            <v>0</v>
          </cell>
          <cell r="S294">
            <v>0</v>
          </cell>
          <cell r="T294">
            <v>0</v>
          </cell>
          <cell r="AH294">
            <v>8.6666666666666661</v>
          </cell>
          <cell r="AJ294">
            <v>0</v>
          </cell>
        </row>
        <row r="295">
          <cell r="C295">
            <v>0</v>
          </cell>
          <cell r="D295">
            <v>0</v>
          </cell>
          <cell r="I295">
            <v>5.333333333333333</v>
          </cell>
          <cell r="O295">
            <v>0</v>
          </cell>
          <cell r="P295">
            <v>0</v>
          </cell>
          <cell r="S295">
            <v>0</v>
          </cell>
          <cell r="T295">
            <v>0</v>
          </cell>
          <cell r="AH295">
            <v>22</v>
          </cell>
          <cell r="AJ295">
            <v>15.333333333333332</v>
          </cell>
        </row>
        <row r="296">
          <cell r="C296">
            <v>5.333333333333333</v>
          </cell>
          <cell r="D296">
            <v>1</v>
          </cell>
          <cell r="I296">
            <v>0</v>
          </cell>
          <cell r="O296">
            <v>0</v>
          </cell>
          <cell r="P296">
            <v>0</v>
          </cell>
          <cell r="S296">
            <v>0</v>
          </cell>
          <cell r="T296">
            <v>0</v>
          </cell>
          <cell r="AH296">
            <v>5.333333333333333</v>
          </cell>
          <cell r="AJ296">
            <v>1</v>
          </cell>
        </row>
        <row r="297">
          <cell r="C297">
            <v>0.33333333333333331</v>
          </cell>
          <cell r="D297">
            <v>0</v>
          </cell>
          <cell r="I297">
            <v>4.333333333333333</v>
          </cell>
          <cell r="O297">
            <v>0</v>
          </cell>
          <cell r="P297">
            <v>0</v>
          </cell>
          <cell r="S297">
            <v>0</v>
          </cell>
          <cell r="T297">
            <v>0</v>
          </cell>
          <cell r="AH297">
            <v>4.6666666666666661</v>
          </cell>
          <cell r="AJ297">
            <v>4.333333333333333</v>
          </cell>
        </row>
        <row r="298">
          <cell r="C298">
            <v>0.33333333333333331</v>
          </cell>
          <cell r="D298">
            <v>0</v>
          </cell>
          <cell r="I298">
            <v>2</v>
          </cell>
          <cell r="O298">
            <v>10</v>
          </cell>
          <cell r="P298">
            <v>3</v>
          </cell>
          <cell r="S298">
            <v>13.666666666666666</v>
          </cell>
          <cell r="T298">
            <v>4</v>
          </cell>
          <cell r="AH298">
            <v>26</v>
          </cell>
          <cell r="AJ298">
            <v>9</v>
          </cell>
        </row>
        <row r="299">
          <cell r="C299">
            <v>0</v>
          </cell>
          <cell r="D299">
            <v>0</v>
          </cell>
          <cell r="I299">
            <v>0</v>
          </cell>
          <cell r="O299">
            <v>0</v>
          </cell>
          <cell r="P299">
            <v>0</v>
          </cell>
          <cell r="S299">
            <v>0</v>
          </cell>
          <cell r="T299">
            <v>0</v>
          </cell>
          <cell r="AH299">
            <v>0</v>
          </cell>
        </row>
        <row r="300">
          <cell r="C300">
            <v>1.1666666666666667</v>
          </cell>
          <cell r="D300">
            <v>0</v>
          </cell>
          <cell r="I300">
            <v>20.5</v>
          </cell>
          <cell r="O300">
            <v>522.33333333333337</v>
          </cell>
          <cell r="P300">
            <v>162</v>
          </cell>
          <cell r="S300">
            <v>43</v>
          </cell>
          <cell r="T300">
            <v>14</v>
          </cell>
          <cell r="AH300">
            <v>587.33333333333337</v>
          </cell>
          <cell r="AJ300">
            <v>196.5</v>
          </cell>
          <cell r="AK300">
            <v>196.83333333333334</v>
          </cell>
        </row>
        <row r="301">
          <cell r="C301">
            <v>0</v>
          </cell>
          <cell r="D301">
            <v>0</v>
          </cell>
          <cell r="I301">
            <v>0</v>
          </cell>
          <cell r="O301">
            <v>0</v>
          </cell>
          <cell r="P301">
            <v>0</v>
          </cell>
          <cell r="S301">
            <v>0</v>
          </cell>
          <cell r="T301">
            <v>0</v>
          </cell>
          <cell r="AH301">
            <v>0</v>
          </cell>
          <cell r="AJ301">
            <v>0</v>
          </cell>
        </row>
        <row r="302">
          <cell r="C302">
            <v>0</v>
          </cell>
          <cell r="D302">
            <v>0</v>
          </cell>
          <cell r="I302">
            <v>0</v>
          </cell>
          <cell r="O302">
            <v>480.66666666666669</v>
          </cell>
          <cell r="P302">
            <v>149</v>
          </cell>
          <cell r="S302">
            <v>11</v>
          </cell>
          <cell r="T302">
            <v>4</v>
          </cell>
          <cell r="AH302">
            <v>491.66666666666669</v>
          </cell>
          <cell r="AJ302">
            <v>153</v>
          </cell>
        </row>
        <row r="303">
          <cell r="C303">
            <v>0</v>
          </cell>
          <cell r="D303">
            <v>0</v>
          </cell>
          <cell r="I303">
            <v>0</v>
          </cell>
          <cell r="O303">
            <v>0</v>
          </cell>
          <cell r="P303">
            <v>0</v>
          </cell>
          <cell r="S303">
            <v>0</v>
          </cell>
          <cell r="T303">
            <v>0</v>
          </cell>
          <cell r="AH303">
            <v>0</v>
          </cell>
          <cell r="AJ303">
            <v>0</v>
          </cell>
        </row>
        <row r="304">
          <cell r="C304">
            <v>1.1666666666666667</v>
          </cell>
          <cell r="D304">
            <v>0</v>
          </cell>
          <cell r="I304">
            <v>15.833333333333334</v>
          </cell>
          <cell r="O304">
            <v>41.666666666666664</v>
          </cell>
          <cell r="P304">
            <v>13</v>
          </cell>
          <cell r="S304">
            <v>32</v>
          </cell>
          <cell r="T304">
            <v>10</v>
          </cell>
          <cell r="AH304">
            <v>91</v>
          </cell>
          <cell r="AJ304">
            <v>43.833333333333336</v>
          </cell>
        </row>
        <row r="305">
          <cell r="C305">
            <v>0</v>
          </cell>
          <cell r="D305">
            <v>0</v>
          </cell>
          <cell r="I305">
            <v>4.666666666666667</v>
          </cell>
          <cell r="O305">
            <v>0</v>
          </cell>
          <cell r="P305">
            <v>0</v>
          </cell>
          <cell r="S305">
            <v>0</v>
          </cell>
          <cell r="T305">
            <v>0</v>
          </cell>
          <cell r="AH305">
            <v>4.666666666666667</v>
          </cell>
          <cell r="AJ305">
            <v>0</v>
          </cell>
        </row>
        <row r="306">
          <cell r="C306">
            <v>0</v>
          </cell>
          <cell r="D306">
            <v>0</v>
          </cell>
          <cell r="I306">
            <v>0</v>
          </cell>
          <cell r="O306">
            <v>0</v>
          </cell>
          <cell r="P306">
            <v>0</v>
          </cell>
          <cell r="S306">
            <v>0</v>
          </cell>
          <cell r="T306">
            <v>0</v>
          </cell>
          <cell r="AH306">
            <v>0</v>
          </cell>
        </row>
        <row r="307">
          <cell r="C307">
            <v>10</v>
          </cell>
          <cell r="D307">
            <v>2</v>
          </cell>
          <cell r="I307">
            <v>39</v>
          </cell>
          <cell r="O307">
            <v>0</v>
          </cell>
          <cell r="P307">
            <v>0</v>
          </cell>
          <cell r="S307">
            <v>0</v>
          </cell>
          <cell r="T307">
            <v>0</v>
          </cell>
          <cell r="AH307">
            <v>49</v>
          </cell>
          <cell r="AJ307">
            <v>41</v>
          </cell>
          <cell r="AK307">
            <v>42</v>
          </cell>
        </row>
        <row r="308">
          <cell r="C308">
            <v>2.6666666666666665</v>
          </cell>
          <cell r="D308">
            <v>1</v>
          </cell>
          <cell r="I308">
            <v>3.3333333333333335</v>
          </cell>
          <cell r="O308">
            <v>0</v>
          </cell>
          <cell r="P308">
            <v>0</v>
          </cell>
          <cell r="S308">
            <v>0</v>
          </cell>
          <cell r="T308">
            <v>0</v>
          </cell>
          <cell r="AH308">
            <v>6</v>
          </cell>
          <cell r="AJ308">
            <v>4.3333333333333339</v>
          </cell>
        </row>
        <row r="309">
          <cell r="C309">
            <v>7.333333333333333</v>
          </cell>
          <cell r="D309">
            <v>2</v>
          </cell>
          <cell r="I309">
            <v>35.666666666666664</v>
          </cell>
          <cell r="O309">
            <v>0</v>
          </cell>
          <cell r="P309">
            <v>0</v>
          </cell>
          <cell r="S309">
            <v>0</v>
          </cell>
          <cell r="T309">
            <v>0</v>
          </cell>
          <cell r="AH309">
            <v>43</v>
          </cell>
          <cell r="AJ309">
            <v>37.666666666666664</v>
          </cell>
        </row>
        <row r="310">
          <cell r="C310">
            <v>0</v>
          </cell>
          <cell r="D310">
            <v>0</v>
          </cell>
          <cell r="I310">
            <v>0</v>
          </cell>
          <cell r="O310">
            <v>0</v>
          </cell>
          <cell r="P310">
            <v>0</v>
          </cell>
          <cell r="S310">
            <v>0</v>
          </cell>
          <cell r="T310">
            <v>0</v>
          </cell>
          <cell r="AH310">
            <v>0</v>
          </cell>
        </row>
        <row r="311">
          <cell r="C311">
            <v>206.33333333333329</v>
          </cell>
          <cell r="D311">
            <v>44</v>
          </cell>
          <cell r="E311">
            <v>43</v>
          </cell>
          <cell r="I311">
            <v>50.166666666666671</v>
          </cell>
          <cell r="K311">
            <v>50.166666666666671</v>
          </cell>
          <cell r="O311">
            <v>37.833333333333343</v>
          </cell>
          <cell r="P311">
            <v>12</v>
          </cell>
          <cell r="S311">
            <v>26.000000000000004</v>
          </cell>
          <cell r="T311">
            <v>9</v>
          </cell>
          <cell r="AH311">
            <v>1965.0000000000002</v>
          </cell>
          <cell r="AJ311">
            <v>373.16666666666663</v>
          </cell>
          <cell r="AK311">
            <v>373.16666666666663</v>
          </cell>
        </row>
        <row r="312">
          <cell r="C312">
            <v>0</v>
          </cell>
          <cell r="D312">
            <v>0</v>
          </cell>
          <cell r="I312">
            <v>0</v>
          </cell>
          <cell r="O312">
            <v>0</v>
          </cell>
          <cell r="P312">
            <v>0</v>
          </cell>
          <cell r="S312">
            <v>0</v>
          </cell>
          <cell r="T312">
            <v>0</v>
          </cell>
          <cell r="AH312">
            <v>1350</v>
          </cell>
          <cell r="AJ312">
            <v>0</v>
          </cell>
        </row>
        <row r="313">
          <cell r="C313">
            <v>0</v>
          </cell>
          <cell r="D313">
            <v>0</v>
          </cell>
          <cell r="I313">
            <v>0</v>
          </cell>
          <cell r="O313">
            <v>0</v>
          </cell>
          <cell r="P313">
            <v>0</v>
          </cell>
          <cell r="S313">
            <v>0</v>
          </cell>
          <cell r="T313">
            <v>0</v>
          </cell>
          <cell r="AH313">
            <v>95</v>
          </cell>
          <cell r="AJ313">
            <v>95</v>
          </cell>
        </row>
        <row r="314">
          <cell r="C314">
            <v>0</v>
          </cell>
          <cell r="D314">
            <v>0</v>
          </cell>
          <cell r="I314">
            <v>0</v>
          </cell>
          <cell r="O314">
            <v>0</v>
          </cell>
          <cell r="P314">
            <v>0</v>
          </cell>
          <cell r="S314">
            <v>0</v>
          </cell>
          <cell r="T314">
            <v>0</v>
          </cell>
          <cell r="AH314">
            <v>0</v>
          </cell>
          <cell r="AJ314">
            <v>0</v>
          </cell>
        </row>
        <row r="315">
          <cell r="C315">
            <v>0</v>
          </cell>
          <cell r="D315">
            <v>0</v>
          </cell>
          <cell r="I315">
            <v>12.333333333333334</v>
          </cell>
          <cell r="O315">
            <v>0</v>
          </cell>
          <cell r="P315">
            <v>0</v>
          </cell>
          <cell r="S315">
            <v>0</v>
          </cell>
          <cell r="T315">
            <v>0</v>
          </cell>
          <cell r="AH315">
            <v>12.333333333333334</v>
          </cell>
          <cell r="AJ315">
            <v>12.333333333333334</v>
          </cell>
        </row>
        <row r="316">
          <cell r="C316">
            <v>0</v>
          </cell>
          <cell r="D316">
            <v>0</v>
          </cell>
          <cell r="I316">
            <v>0</v>
          </cell>
          <cell r="O316">
            <v>0</v>
          </cell>
          <cell r="P316">
            <v>0</v>
          </cell>
          <cell r="S316">
            <v>0</v>
          </cell>
          <cell r="T316">
            <v>0</v>
          </cell>
          <cell r="AH316">
            <v>0</v>
          </cell>
          <cell r="AJ316">
            <v>0</v>
          </cell>
        </row>
        <row r="317">
          <cell r="C317">
            <v>1.6666666666666667</v>
          </cell>
          <cell r="D317">
            <v>0</v>
          </cell>
          <cell r="I317">
            <v>5</v>
          </cell>
          <cell r="O317">
            <v>3</v>
          </cell>
          <cell r="P317">
            <v>1</v>
          </cell>
          <cell r="S317">
            <v>3</v>
          </cell>
          <cell r="T317">
            <v>1</v>
          </cell>
          <cell r="AH317">
            <v>57.666666666666664</v>
          </cell>
          <cell r="AJ317">
            <v>47</v>
          </cell>
        </row>
        <row r="318">
          <cell r="C318">
            <v>0</v>
          </cell>
          <cell r="D318">
            <v>0</v>
          </cell>
          <cell r="I318">
            <v>0</v>
          </cell>
          <cell r="O318">
            <v>0</v>
          </cell>
          <cell r="P318">
            <v>0</v>
          </cell>
          <cell r="S318">
            <v>0</v>
          </cell>
          <cell r="T318">
            <v>0</v>
          </cell>
          <cell r="AH318">
            <v>4</v>
          </cell>
          <cell r="AJ318">
            <v>0</v>
          </cell>
        </row>
        <row r="319">
          <cell r="C319">
            <v>0</v>
          </cell>
          <cell r="D319">
            <v>0</v>
          </cell>
          <cell r="I319">
            <v>0</v>
          </cell>
          <cell r="O319">
            <v>0</v>
          </cell>
          <cell r="P319">
            <v>0</v>
          </cell>
          <cell r="S319">
            <v>0</v>
          </cell>
          <cell r="T319">
            <v>0</v>
          </cell>
          <cell r="AH319">
            <v>0</v>
          </cell>
          <cell r="AJ319">
            <v>0</v>
          </cell>
        </row>
        <row r="320">
          <cell r="C320">
            <v>0</v>
          </cell>
          <cell r="D320">
            <v>0</v>
          </cell>
          <cell r="I320">
            <v>18.5</v>
          </cell>
          <cell r="O320">
            <v>4.5</v>
          </cell>
          <cell r="P320">
            <v>1</v>
          </cell>
          <cell r="S320">
            <v>1.3333333333333333</v>
          </cell>
          <cell r="T320">
            <v>0</v>
          </cell>
          <cell r="AH320">
            <v>28.5</v>
          </cell>
          <cell r="AJ320">
            <v>23.5</v>
          </cell>
        </row>
        <row r="321">
          <cell r="C321">
            <v>0</v>
          </cell>
          <cell r="D321">
            <v>0</v>
          </cell>
          <cell r="I321">
            <v>1.3333333333333333</v>
          </cell>
          <cell r="O321">
            <v>0</v>
          </cell>
          <cell r="P321">
            <v>0</v>
          </cell>
          <cell r="S321">
            <v>1.6666666666666667</v>
          </cell>
          <cell r="T321">
            <v>1</v>
          </cell>
          <cell r="AH321">
            <v>69</v>
          </cell>
          <cell r="AJ321">
            <v>52.333333333333336</v>
          </cell>
        </row>
        <row r="322">
          <cell r="C322">
            <v>177</v>
          </cell>
          <cell r="D322">
            <v>38</v>
          </cell>
          <cell r="I322">
            <v>0</v>
          </cell>
          <cell r="O322">
            <v>0</v>
          </cell>
          <cell r="P322">
            <v>0</v>
          </cell>
          <cell r="S322">
            <v>0</v>
          </cell>
          <cell r="T322">
            <v>0</v>
          </cell>
          <cell r="AH322">
            <v>177</v>
          </cell>
          <cell r="AJ322">
            <v>38</v>
          </cell>
        </row>
        <row r="323">
          <cell r="C323">
            <v>0</v>
          </cell>
          <cell r="D323">
            <v>0</v>
          </cell>
          <cell r="I323">
            <v>0</v>
          </cell>
          <cell r="O323">
            <v>10</v>
          </cell>
          <cell r="P323">
            <v>3</v>
          </cell>
          <cell r="S323">
            <v>7.666666666666667</v>
          </cell>
          <cell r="T323">
            <v>3</v>
          </cell>
          <cell r="AH323">
            <v>17.666666666666668</v>
          </cell>
          <cell r="AJ323">
            <v>6</v>
          </cell>
        </row>
        <row r="324">
          <cell r="C324">
            <v>0.66666666666666663</v>
          </cell>
          <cell r="D324">
            <v>0</v>
          </cell>
          <cell r="I324">
            <v>2</v>
          </cell>
          <cell r="O324">
            <v>1.3333333333333333</v>
          </cell>
          <cell r="P324">
            <v>0</v>
          </cell>
          <cell r="S324">
            <v>1</v>
          </cell>
          <cell r="T324">
            <v>0</v>
          </cell>
          <cell r="AH324">
            <v>6</v>
          </cell>
          <cell r="AJ324">
            <v>2</v>
          </cell>
        </row>
        <row r="325">
          <cell r="C325">
            <v>2.6666666666666665</v>
          </cell>
          <cell r="D325">
            <v>1</v>
          </cell>
          <cell r="I325">
            <v>0.33333333333333331</v>
          </cell>
          <cell r="O325">
            <v>1</v>
          </cell>
          <cell r="P325">
            <v>0</v>
          </cell>
          <cell r="S325">
            <v>0.66666666666666663</v>
          </cell>
          <cell r="T325">
            <v>0</v>
          </cell>
          <cell r="AH325">
            <v>9.3333333333333339</v>
          </cell>
          <cell r="AJ325">
            <v>3.3333333333333335</v>
          </cell>
        </row>
        <row r="326">
          <cell r="C326">
            <v>0</v>
          </cell>
          <cell r="D326">
            <v>0</v>
          </cell>
          <cell r="I326">
            <v>2.3333333333333335</v>
          </cell>
          <cell r="O326">
            <v>6</v>
          </cell>
          <cell r="P326">
            <v>2</v>
          </cell>
          <cell r="S326">
            <v>5</v>
          </cell>
          <cell r="T326">
            <v>2</v>
          </cell>
          <cell r="AH326">
            <v>13.333333333333334</v>
          </cell>
          <cell r="AJ326">
            <v>6.3333333333333339</v>
          </cell>
        </row>
        <row r="327">
          <cell r="C327">
            <v>0</v>
          </cell>
          <cell r="D327">
            <v>0</v>
          </cell>
          <cell r="I327">
            <v>0</v>
          </cell>
          <cell r="O327">
            <v>0</v>
          </cell>
          <cell r="P327">
            <v>0</v>
          </cell>
          <cell r="S327">
            <v>0</v>
          </cell>
          <cell r="T327">
            <v>0</v>
          </cell>
          <cell r="AH327">
            <v>0</v>
          </cell>
          <cell r="AJ327">
            <v>0</v>
          </cell>
        </row>
        <row r="328">
          <cell r="C328">
            <v>0</v>
          </cell>
          <cell r="D328">
            <v>0</v>
          </cell>
          <cell r="I328">
            <v>0</v>
          </cell>
          <cell r="O328">
            <v>0</v>
          </cell>
          <cell r="P328">
            <v>0</v>
          </cell>
          <cell r="S328">
            <v>0</v>
          </cell>
          <cell r="T328">
            <v>0</v>
          </cell>
          <cell r="AH328">
            <v>0</v>
          </cell>
          <cell r="AJ328">
            <v>0</v>
          </cell>
        </row>
        <row r="329">
          <cell r="C329">
            <v>9.6666666666666661</v>
          </cell>
          <cell r="D329">
            <v>2</v>
          </cell>
          <cell r="I329">
            <v>1</v>
          </cell>
          <cell r="O329">
            <v>0</v>
          </cell>
          <cell r="P329">
            <v>0</v>
          </cell>
          <cell r="S329">
            <v>0</v>
          </cell>
          <cell r="T329">
            <v>0</v>
          </cell>
          <cell r="AH329">
            <v>12</v>
          </cell>
          <cell r="AJ329">
            <v>4</v>
          </cell>
        </row>
        <row r="330">
          <cell r="C330">
            <v>0</v>
          </cell>
          <cell r="D330">
            <v>0</v>
          </cell>
          <cell r="I330">
            <v>0</v>
          </cell>
          <cell r="O330">
            <v>0</v>
          </cell>
          <cell r="P330">
            <v>0</v>
          </cell>
          <cell r="S330">
            <v>0</v>
          </cell>
          <cell r="T330">
            <v>0</v>
          </cell>
          <cell r="AH330">
            <v>0</v>
          </cell>
          <cell r="AJ330">
            <v>0</v>
          </cell>
        </row>
        <row r="331">
          <cell r="C331">
            <v>2.3333333333333335</v>
          </cell>
          <cell r="D331">
            <v>0</v>
          </cell>
          <cell r="I331">
            <v>0.66666666666666663</v>
          </cell>
          <cell r="O331">
            <v>0.66666666666666663</v>
          </cell>
          <cell r="P331">
            <v>0</v>
          </cell>
          <cell r="S331">
            <v>0.66666666666666663</v>
          </cell>
          <cell r="T331">
            <v>0</v>
          </cell>
          <cell r="AH331">
            <v>4.333333333333333</v>
          </cell>
          <cell r="AJ331">
            <v>0.66666666666666663</v>
          </cell>
        </row>
        <row r="332">
          <cell r="C332">
            <v>1.6666666666666667</v>
          </cell>
          <cell r="D332">
            <v>0</v>
          </cell>
          <cell r="I332">
            <v>0.66666666666666663</v>
          </cell>
          <cell r="O332">
            <v>0.66666666666666663</v>
          </cell>
          <cell r="P332">
            <v>0</v>
          </cell>
          <cell r="S332">
            <v>0.66666666666666663</v>
          </cell>
          <cell r="T332">
            <v>0</v>
          </cell>
          <cell r="AH332">
            <v>3.6666666666666665</v>
          </cell>
          <cell r="AJ332">
            <v>0.66666666666666663</v>
          </cell>
        </row>
        <row r="333">
          <cell r="C333">
            <v>6.666666666666667</v>
          </cell>
          <cell r="D333">
            <v>1</v>
          </cell>
          <cell r="I333">
            <v>4.666666666666667</v>
          </cell>
          <cell r="O333">
            <v>3</v>
          </cell>
          <cell r="P333">
            <v>1</v>
          </cell>
          <cell r="S333">
            <v>2</v>
          </cell>
          <cell r="T333">
            <v>1</v>
          </cell>
          <cell r="AH333">
            <v>33</v>
          </cell>
          <cell r="AJ333">
            <v>17.666666666666668</v>
          </cell>
        </row>
        <row r="334">
          <cell r="C334">
            <v>0</v>
          </cell>
          <cell r="D334">
            <v>0</v>
          </cell>
          <cell r="I334">
            <v>0</v>
          </cell>
          <cell r="O334">
            <v>0</v>
          </cell>
          <cell r="P334">
            <v>0</v>
          </cell>
          <cell r="S334">
            <v>0</v>
          </cell>
          <cell r="T334">
            <v>0</v>
          </cell>
          <cell r="AH334">
            <v>0</v>
          </cell>
          <cell r="AJ334">
            <v>0</v>
          </cell>
        </row>
        <row r="335">
          <cell r="C335">
            <v>0</v>
          </cell>
          <cell r="D335">
            <v>0</v>
          </cell>
          <cell r="I335">
            <v>0</v>
          </cell>
          <cell r="O335">
            <v>0</v>
          </cell>
          <cell r="P335">
            <v>0</v>
          </cell>
          <cell r="S335">
            <v>0</v>
          </cell>
          <cell r="T335">
            <v>0</v>
          </cell>
          <cell r="AH335">
            <v>0</v>
          </cell>
          <cell r="AJ335">
            <v>53</v>
          </cell>
        </row>
        <row r="336">
          <cell r="C336">
            <v>1</v>
          </cell>
          <cell r="D336">
            <v>0</v>
          </cell>
          <cell r="I336">
            <v>0</v>
          </cell>
          <cell r="O336">
            <v>0</v>
          </cell>
          <cell r="P336">
            <v>0</v>
          </cell>
          <cell r="S336">
            <v>0</v>
          </cell>
          <cell r="T336">
            <v>0</v>
          </cell>
          <cell r="AH336">
            <v>1</v>
          </cell>
          <cell r="AJ336">
            <v>1</v>
          </cell>
        </row>
        <row r="337">
          <cell r="C337">
            <v>0</v>
          </cell>
          <cell r="D337">
            <v>0</v>
          </cell>
          <cell r="I337">
            <v>0</v>
          </cell>
          <cell r="O337">
            <v>0</v>
          </cell>
          <cell r="P337">
            <v>0</v>
          </cell>
          <cell r="S337">
            <v>0</v>
          </cell>
          <cell r="T337">
            <v>0</v>
          </cell>
          <cell r="AH337">
            <v>0</v>
          </cell>
          <cell r="AJ337">
            <v>0</v>
          </cell>
        </row>
        <row r="338">
          <cell r="C338">
            <v>0</v>
          </cell>
          <cell r="D338">
            <v>0</v>
          </cell>
          <cell r="I338">
            <v>0</v>
          </cell>
          <cell r="O338">
            <v>0</v>
          </cell>
          <cell r="P338">
            <v>0</v>
          </cell>
          <cell r="S338">
            <v>0</v>
          </cell>
          <cell r="T338">
            <v>0</v>
          </cell>
          <cell r="AH338">
            <v>0</v>
          </cell>
          <cell r="AJ338">
            <v>0</v>
          </cell>
        </row>
        <row r="339">
          <cell r="C339">
            <v>2.6666666666666665</v>
          </cell>
          <cell r="D339">
            <v>1</v>
          </cell>
          <cell r="I339">
            <v>1</v>
          </cell>
          <cell r="O339">
            <v>4</v>
          </cell>
          <cell r="P339">
            <v>1</v>
          </cell>
          <cell r="S339">
            <v>2</v>
          </cell>
          <cell r="T339">
            <v>1</v>
          </cell>
          <cell r="AH339">
            <v>15.666666666666666</v>
          </cell>
          <cell r="AJ339">
            <v>7</v>
          </cell>
        </row>
        <row r="340">
          <cell r="C340">
            <v>0</v>
          </cell>
          <cell r="D340">
            <v>0</v>
          </cell>
          <cell r="I340">
            <v>0</v>
          </cell>
          <cell r="O340">
            <v>0</v>
          </cell>
          <cell r="P340">
            <v>0</v>
          </cell>
          <cell r="S340">
            <v>0</v>
          </cell>
          <cell r="T340">
            <v>0</v>
          </cell>
          <cell r="AH340">
            <v>0</v>
          </cell>
          <cell r="AJ340">
            <v>0</v>
          </cell>
        </row>
        <row r="341">
          <cell r="C341">
            <v>0</v>
          </cell>
          <cell r="D341">
            <v>0</v>
          </cell>
          <cell r="I341">
            <v>0</v>
          </cell>
          <cell r="O341">
            <v>3.3333333333333335</v>
          </cell>
          <cell r="P341">
            <v>1</v>
          </cell>
          <cell r="S341">
            <v>0</v>
          </cell>
          <cell r="T341">
            <v>0</v>
          </cell>
          <cell r="AH341">
            <v>3.3333333333333335</v>
          </cell>
          <cell r="AJ341">
            <v>1</v>
          </cell>
        </row>
        <row r="342">
          <cell r="C342">
            <v>0.33333333333333331</v>
          </cell>
          <cell r="D342">
            <v>0</v>
          </cell>
          <cell r="I342">
            <v>0.33333333333333331</v>
          </cell>
          <cell r="O342">
            <v>0.33333333333333331</v>
          </cell>
          <cell r="P342">
            <v>0</v>
          </cell>
          <cell r="S342">
            <v>0.33333333333333331</v>
          </cell>
          <cell r="T342">
            <v>0</v>
          </cell>
          <cell r="AH342">
            <v>1.9999999999999998</v>
          </cell>
          <cell r="AJ342">
            <v>0.33333333333333331</v>
          </cell>
        </row>
        <row r="343">
          <cell r="C343">
            <v>0</v>
          </cell>
          <cell r="D343">
            <v>0</v>
          </cell>
          <cell r="I343">
            <v>0</v>
          </cell>
          <cell r="O343">
            <v>0</v>
          </cell>
          <cell r="P343">
            <v>0</v>
          </cell>
          <cell r="S343">
            <v>0</v>
          </cell>
          <cell r="T343">
            <v>0</v>
          </cell>
          <cell r="AH343">
            <v>0</v>
          </cell>
          <cell r="AJ343">
            <v>0</v>
          </cell>
        </row>
        <row r="344">
          <cell r="C344">
            <v>0</v>
          </cell>
          <cell r="D344">
            <v>0</v>
          </cell>
          <cell r="I344">
            <v>0</v>
          </cell>
          <cell r="O344">
            <v>0</v>
          </cell>
          <cell r="P344">
            <v>0</v>
          </cell>
          <cell r="S344">
            <v>0</v>
          </cell>
          <cell r="T344">
            <v>0</v>
          </cell>
          <cell r="AH344">
            <v>0</v>
          </cell>
          <cell r="AJ344">
            <v>0</v>
          </cell>
        </row>
        <row r="345">
          <cell r="C345">
            <v>0</v>
          </cell>
          <cell r="D345">
            <v>0</v>
          </cell>
          <cell r="I345">
            <v>0</v>
          </cell>
          <cell r="O345">
            <v>0</v>
          </cell>
          <cell r="P345">
            <v>0</v>
          </cell>
          <cell r="S345">
            <v>0</v>
          </cell>
          <cell r="T345">
            <v>0</v>
          </cell>
          <cell r="AH345">
            <v>0</v>
          </cell>
          <cell r="AJ345">
            <v>0</v>
          </cell>
        </row>
        <row r="346">
          <cell r="C346">
            <v>0</v>
          </cell>
          <cell r="D346">
            <v>0</v>
          </cell>
          <cell r="I346">
            <v>0</v>
          </cell>
          <cell r="O346">
            <v>0</v>
          </cell>
          <cell r="P346">
            <v>0</v>
          </cell>
          <cell r="S346">
            <v>0</v>
          </cell>
          <cell r="T346">
            <v>0</v>
          </cell>
          <cell r="AH346">
            <v>0</v>
          </cell>
          <cell r="AJ346">
            <v>0</v>
          </cell>
        </row>
        <row r="347">
          <cell r="C347">
            <v>0</v>
          </cell>
          <cell r="D347">
            <v>0</v>
          </cell>
          <cell r="I347">
            <v>0</v>
          </cell>
          <cell r="O347">
            <v>0</v>
          </cell>
          <cell r="P347">
            <v>0</v>
          </cell>
          <cell r="S347">
            <v>0</v>
          </cell>
          <cell r="T347">
            <v>0</v>
          </cell>
          <cell r="AH347">
            <v>0</v>
          </cell>
          <cell r="AJ347">
            <v>0</v>
          </cell>
        </row>
        <row r="348">
          <cell r="C348">
            <v>0</v>
          </cell>
          <cell r="D348">
            <v>0</v>
          </cell>
          <cell r="I348">
            <v>0</v>
          </cell>
          <cell r="O348">
            <v>0</v>
          </cell>
          <cell r="P348">
            <v>0</v>
          </cell>
          <cell r="S348">
            <v>0</v>
          </cell>
          <cell r="T348">
            <v>0</v>
          </cell>
          <cell r="AH348">
            <v>0</v>
          </cell>
          <cell r="AJ348">
            <v>0</v>
          </cell>
        </row>
        <row r="349">
          <cell r="D349">
            <v>0</v>
          </cell>
          <cell r="I349">
            <v>0</v>
          </cell>
          <cell r="O349">
            <v>0</v>
          </cell>
          <cell r="P349">
            <v>0</v>
          </cell>
          <cell r="S349">
            <v>0</v>
          </cell>
          <cell r="T349">
            <v>0</v>
          </cell>
          <cell r="AH349">
            <v>0</v>
          </cell>
          <cell r="AJ349">
            <v>2</v>
          </cell>
        </row>
        <row r="350">
          <cell r="I350">
            <v>0</v>
          </cell>
          <cell r="O350">
            <v>0</v>
          </cell>
          <cell r="P350">
            <v>0</v>
          </cell>
          <cell r="S350">
            <v>0</v>
          </cell>
          <cell r="T350">
            <v>0</v>
          </cell>
          <cell r="AH350">
            <v>0</v>
          </cell>
          <cell r="AJ350">
            <v>0</v>
          </cell>
        </row>
      </sheetData>
      <sheetData sheetId="9" refreshError="1">
        <row r="21">
          <cell r="AI21" t="str">
            <v xml:space="preserve">         Затверджую</v>
          </cell>
        </row>
        <row r="22">
          <cell r="AI22" t="str">
            <v xml:space="preserve"> Голова правління -</v>
          </cell>
        </row>
        <row r="23">
          <cell r="AI23" t="str">
            <v xml:space="preserve"> генеральний директор</v>
          </cell>
        </row>
        <row r="25">
          <cell r="AI25" t="str">
            <v xml:space="preserve">                        І.В.Плачков</v>
          </cell>
        </row>
        <row r="26">
          <cell r="AI26" t="str">
            <v xml:space="preserve">   "_____" ________2000 р.</v>
          </cell>
        </row>
        <row r="32">
          <cell r="Q32" t="str">
            <v>КТМ</v>
          </cell>
          <cell r="V32" t="str">
            <v xml:space="preserve">ТЕЦ-5 </v>
          </cell>
          <cell r="AA32" t="str">
            <v xml:space="preserve">ТЕЦ-6 </v>
          </cell>
        </row>
        <row r="34">
          <cell r="F34" t="str">
            <v>ВИКОН.ДИР.</v>
          </cell>
          <cell r="G34" t="str">
            <v>Е/Е</v>
          </cell>
          <cell r="H34" t="str">
            <v xml:space="preserve"> Т/Е</v>
          </cell>
          <cell r="P34" t="str">
            <v xml:space="preserve">КМ </v>
          </cell>
          <cell r="S34" t="str">
            <v xml:space="preserve">ТМ </v>
          </cell>
          <cell r="T34" t="str">
            <v>ВИРОБН</v>
          </cell>
          <cell r="U34" t="str">
            <v>ПЕРЕД</v>
          </cell>
          <cell r="X34" t="str">
            <v>ТЕЦ-5 ВСЬОГО</v>
          </cell>
          <cell r="Y34" t="str">
            <v>Е/Е</v>
          </cell>
          <cell r="Z34" t="str">
            <v xml:space="preserve"> Т/Е</v>
          </cell>
          <cell r="AC34" t="str">
            <v>ТЕЦ-6 ВСЬОГО</v>
          </cell>
          <cell r="AD34" t="str">
            <v>Е/Е</v>
          </cell>
          <cell r="AE34" t="str">
            <v xml:space="preserve"> Т/Е</v>
          </cell>
          <cell r="AF34" t="str">
            <v>ТРМ ВСЬОГО</v>
          </cell>
          <cell r="AG34" t="str">
            <v>ТРМ  АК КЕ</v>
          </cell>
          <cell r="AH34" t="str">
            <v>ТРМ СТОР</v>
          </cell>
          <cell r="AI34" t="str">
            <v xml:space="preserve">ДОП.ВИР. </v>
          </cell>
          <cell r="AJ34" t="str">
            <v>ДОП.ВИР. СТ.ОРГ.</v>
          </cell>
          <cell r="AK34" t="str">
            <v>АК КЕ ВСЬОГО</v>
          </cell>
          <cell r="AL34" t="str">
            <v xml:space="preserve"> Е/Е</v>
          </cell>
          <cell r="AM34" t="str">
            <v xml:space="preserve"> Т/Е</v>
          </cell>
          <cell r="AO34" t="str">
            <v>СТАНЦІї ЕЛЕКТРО</v>
          </cell>
          <cell r="AP34" t="str">
            <v>СТАНЦІІ ТЕПЛОВІ</v>
          </cell>
          <cell r="AQ34" t="str">
            <v>МЕРЕЖІ ЕЛЕКТРО</v>
          </cell>
          <cell r="AR34" t="str">
            <v>МЕРЕЖІ ТЕПЛОВІ</v>
          </cell>
        </row>
        <row r="35">
          <cell r="AL35">
            <v>395</v>
          </cell>
        </row>
        <row r="36">
          <cell r="AL36">
            <v>336</v>
          </cell>
        </row>
        <row r="37">
          <cell r="AL37">
            <v>0</v>
          </cell>
        </row>
        <row r="39">
          <cell r="AL39">
            <v>0</v>
          </cell>
        </row>
        <row r="40">
          <cell r="AL40">
            <v>0</v>
          </cell>
        </row>
        <row r="41">
          <cell r="AL41">
            <v>395.6</v>
          </cell>
        </row>
        <row r="42">
          <cell r="P42">
            <v>0</v>
          </cell>
          <cell r="AL42">
            <v>395.6</v>
          </cell>
        </row>
        <row r="43">
          <cell r="AM43">
            <v>1580</v>
          </cell>
        </row>
        <row r="44">
          <cell r="AM44">
            <v>0</v>
          </cell>
        </row>
        <row r="45">
          <cell r="AM45">
            <v>1580</v>
          </cell>
        </row>
        <row r="46">
          <cell r="F46">
            <v>14492.4</v>
          </cell>
          <cell r="P46">
            <v>2690.6333333333337</v>
          </cell>
          <cell r="S46">
            <v>7246.6333333333332</v>
          </cell>
          <cell r="T46">
            <v>3032.0786666666681</v>
          </cell>
          <cell r="U46">
            <v>2816.5546666666669</v>
          </cell>
          <cell r="X46">
            <v>2582.4666666666649</v>
          </cell>
          <cell r="AC46">
            <v>1595.0030303030289</v>
          </cell>
          <cell r="AF46">
            <v>3811.5939393939398</v>
          </cell>
          <cell r="AG46">
            <v>3064.6</v>
          </cell>
          <cell r="AH46">
            <v>746.99393939393951</v>
          </cell>
        </row>
        <row r="47">
          <cell r="F47">
            <v>0.8</v>
          </cell>
          <cell r="P47">
            <v>0.8</v>
          </cell>
          <cell r="S47">
            <v>0.8</v>
          </cell>
          <cell r="X47">
            <v>0.8</v>
          </cell>
          <cell r="AC47">
            <v>0.8</v>
          </cell>
          <cell r="AF47">
            <v>0.8</v>
          </cell>
          <cell r="AG47">
            <v>0.8</v>
          </cell>
          <cell r="AH47">
            <v>0.8</v>
          </cell>
        </row>
        <row r="49">
          <cell r="F49">
            <v>812</v>
          </cell>
          <cell r="G49">
            <v>213</v>
          </cell>
          <cell r="H49">
            <v>599</v>
          </cell>
          <cell r="P49">
            <v>460</v>
          </cell>
          <cell r="S49">
            <v>783.33333333333337</v>
          </cell>
          <cell r="T49">
            <v>391.66666666666669</v>
          </cell>
          <cell r="U49">
            <v>391.66666666666669</v>
          </cell>
          <cell r="X49">
            <v>204</v>
          </cell>
          <cell r="Y49">
            <v>95</v>
          </cell>
          <cell r="Z49">
            <v>109</v>
          </cell>
          <cell r="AC49">
            <v>136.33333333333331</v>
          </cell>
          <cell r="AD49">
            <v>64</v>
          </cell>
          <cell r="AE49">
            <v>72.333333333333314</v>
          </cell>
          <cell r="AF49">
            <v>306</v>
          </cell>
          <cell r="AG49">
            <v>209</v>
          </cell>
          <cell r="AH49">
            <v>97</v>
          </cell>
          <cell r="AI49">
            <v>70</v>
          </cell>
          <cell r="AK49">
            <v>2833.666666666667</v>
          </cell>
          <cell r="AL49">
            <v>885</v>
          </cell>
          <cell r="AM49">
            <v>1948.666666666667</v>
          </cell>
          <cell r="AN49">
            <v>1948.6666666666667</v>
          </cell>
          <cell r="AO49">
            <v>159</v>
          </cell>
          <cell r="AP49">
            <v>448</v>
          </cell>
          <cell r="AQ49">
            <v>726</v>
          </cell>
          <cell r="AR49">
            <v>1500.666666666667</v>
          </cell>
        </row>
        <row r="50">
          <cell r="F50">
            <v>160</v>
          </cell>
          <cell r="G50">
            <v>42</v>
          </cell>
          <cell r="P50">
            <v>56</v>
          </cell>
          <cell r="S50">
            <v>400.83333333333331</v>
          </cell>
          <cell r="X50">
            <v>60</v>
          </cell>
          <cell r="Y50">
            <v>28</v>
          </cell>
          <cell r="Z50">
            <v>32</v>
          </cell>
          <cell r="AC50">
            <v>40</v>
          </cell>
          <cell r="AD50">
            <v>19</v>
          </cell>
          <cell r="AE50">
            <v>21</v>
          </cell>
          <cell r="AF50">
            <v>236</v>
          </cell>
          <cell r="AG50">
            <v>204</v>
          </cell>
          <cell r="AH50">
            <v>32</v>
          </cell>
          <cell r="AK50">
            <v>954.83333333333326</v>
          </cell>
          <cell r="AL50">
            <v>176</v>
          </cell>
          <cell r="AM50">
            <v>778.83333333333326</v>
          </cell>
          <cell r="AN50">
            <v>660.83333333333326</v>
          </cell>
        </row>
        <row r="51">
          <cell r="G51">
            <v>0</v>
          </cell>
          <cell r="P51">
            <v>1</v>
          </cell>
          <cell r="X51">
            <v>16</v>
          </cell>
          <cell r="Y51">
            <v>7</v>
          </cell>
          <cell r="Z51">
            <v>9</v>
          </cell>
          <cell r="AC51">
            <v>47</v>
          </cell>
          <cell r="AD51">
            <v>22</v>
          </cell>
          <cell r="AE51">
            <v>25</v>
          </cell>
          <cell r="AH51">
            <v>0</v>
          </cell>
          <cell r="AK51">
            <v>64</v>
          </cell>
          <cell r="AL51">
            <v>30</v>
          </cell>
          <cell r="AM51">
            <v>34</v>
          </cell>
          <cell r="AN51">
            <v>34</v>
          </cell>
        </row>
        <row r="52">
          <cell r="F52">
            <v>613</v>
          </cell>
          <cell r="G52">
            <v>161</v>
          </cell>
          <cell r="P52">
            <v>10</v>
          </cell>
          <cell r="X52">
            <v>30</v>
          </cell>
          <cell r="Y52">
            <v>14</v>
          </cell>
          <cell r="Z52">
            <v>16</v>
          </cell>
          <cell r="AC52">
            <v>20</v>
          </cell>
          <cell r="AD52">
            <v>9</v>
          </cell>
          <cell r="AE52">
            <v>11</v>
          </cell>
          <cell r="AF52">
            <v>25.6</v>
          </cell>
          <cell r="AG52">
            <v>25.6</v>
          </cell>
          <cell r="AH52">
            <v>0</v>
          </cell>
          <cell r="AK52">
            <v>698.6</v>
          </cell>
          <cell r="AL52">
            <v>194</v>
          </cell>
          <cell r="AM52">
            <v>504.6</v>
          </cell>
          <cell r="AN52">
            <v>52.6</v>
          </cell>
        </row>
        <row r="53">
          <cell r="F53">
            <v>2</v>
          </cell>
          <cell r="G53">
            <v>1</v>
          </cell>
          <cell r="H53">
            <v>1</v>
          </cell>
          <cell r="P53">
            <v>53.666666666666664</v>
          </cell>
          <cell r="S53">
            <v>368.66666666666669</v>
          </cell>
          <cell r="T53">
            <v>287.56</v>
          </cell>
          <cell r="U53">
            <v>81.106666666666683</v>
          </cell>
          <cell r="X53">
            <v>950.66666666666663</v>
          </cell>
          <cell r="Y53">
            <v>443</v>
          </cell>
          <cell r="Z53">
            <v>507.66666666666663</v>
          </cell>
          <cell r="AC53">
            <v>84.333333333333329</v>
          </cell>
          <cell r="AD53">
            <v>40</v>
          </cell>
          <cell r="AE53">
            <v>44.333333333333329</v>
          </cell>
          <cell r="AF53">
            <v>189.33333333333334</v>
          </cell>
          <cell r="AG53">
            <v>110</v>
          </cell>
          <cell r="AH53">
            <v>79.333333333333343</v>
          </cell>
          <cell r="AI53">
            <v>36</v>
          </cell>
          <cell r="AK53">
            <v>1570.3333333333333</v>
          </cell>
          <cell r="AL53">
            <v>538.66666666666674</v>
          </cell>
          <cell r="AM53">
            <v>1031.6666666666665</v>
          </cell>
          <cell r="AN53">
            <v>1031.6666666666665</v>
          </cell>
          <cell r="AO53">
            <v>483</v>
          </cell>
          <cell r="AP53">
            <v>677</v>
          </cell>
          <cell r="AQ53">
            <v>55.666666666666742</v>
          </cell>
          <cell r="AR53">
            <v>354.66666666666652</v>
          </cell>
        </row>
        <row r="54">
          <cell r="F54">
            <v>0</v>
          </cell>
          <cell r="G54">
            <v>0</v>
          </cell>
          <cell r="H54">
            <v>0</v>
          </cell>
          <cell r="S54">
            <v>13.666666666666666</v>
          </cell>
          <cell r="T54">
            <v>13.666666666666666</v>
          </cell>
          <cell r="U54">
            <v>0</v>
          </cell>
          <cell r="X54">
            <v>757</v>
          </cell>
          <cell r="Y54">
            <v>353</v>
          </cell>
          <cell r="Z54">
            <v>404</v>
          </cell>
          <cell r="AC54">
            <v>13.333333333333334</v>
          </cell>
          <cell r="AD54">
            <v>6</v>
          </cell>
          <cell r="AE54">
            <v>7.3333333333333339</v>
          </cell>
          <cell r="AF54">
            <v>0.33333333333333331</v>
          </cell>
          <cell r="AH54">
            <v>0.33333333333333331</v>
          </cell>
          <cell r="AK54">
            <v>784</v>
          </cell>
          <cell r="AL54">
            <v>359</v>
          </cell>
          <cell r="AM54">
            <v>425</v>
          </cell>
          <cell r="AN54">
            <v>425</v>
          </cell>
          <cell r="AO54">
            <v>359</v>
          </cell>
          <cell r="AP54">
            <v>416</v>
          </cell>
          <cell r="AQ54">
            <v>0</v>
          </cell>
          <cell r="AR54">
            <v>9</v>
          </cell>
        </row>
        <row r="55">
          <cell r="F55">
            <v>0</v>
          </cell>
          <cell r="G55">
            <v>0</v>
          </cell>
          <cell r="H55">
            <v>0</v>
          </cell>
          <cell r="S55">
            <v>9278</v>
          </cell>
          <cell r="T55">
            <v>9278</v>
          </cell>
          <cell r="U55">
            <v>0</v>
          </cell>
          <cell r="X55">
            <v>14724</v>
          </cell>
          <cell r="Y55">
            <v>6861</v>
          </cell>
          <cell r="Z55">
            <v>7863</v>
          </cell>
          <cell r="AC55">
            <v>12954</v>
          </cell>
          <cell r="AD55">
            <v>6095</v>
          </cell>
          <cell r="AE55">
            <v>6859</v>
          </cell>
          <cell r="AH55">
            <v>0</v>
          </cell>
          <cell r="AK55">
            <v>36956</v>
          </cell>
          <cell r="AL55">
            <v>12956</v>
          </cell>
          <cell r="AM55">
            <v>24000</v>
          </cell>
          <cell r="AN55">
            <v>24000</v>
          </cell>
          <cell r="AO55">
            <v>12956</v>
          </cell>
          <cell r="AP55">
            <v>24000</v>
          </cell>
          <cell r="AQ55">
            <v>0</v>
          </cell>
          <cell r="AR55">
            <v>0</v>
          </cell>
        </row>
        <row r="56">
          <cell r="F56">
            <v>0</v>
          </cell>
          <cell r="G56">
            <v>0</v>
          </cell>
          <cell r="H56">
            <v>0</v>
          </cell>
          <cell r="P56">
            <v>0</v>
          </cell>
          <cell r="S56">
            <v>9278</v>
          </cell>
          <cell r="T56">
            <v>9278</v>
          </cell>
          <cell r="U56">
            <v>0</v>
          </cell>
          <cell r="X56">
            <v>14724</v>
          </cell>
          <cell r="Y56">
            <v>6861</v>
          </cell>
          <cell r="Z56">
            <v>7863</v>
          </cell>
          <cell r="AC56">
            <v>12954</v>
          </cell>
          <cell r="AD56">
            <v>6095</v>
          </cell>
          <cell r="AE56">
            <v>6859</v>
          </cell>
          <cell r="AF56">
            <v>0</v>
          </cell>
          <cell r="AG56">
            <v>0</v>
          </cell>
          <cell r="AH56">
            <v>0</v>
          </cell>
          <cell r="AI56">
            <v>0</v>
          </cell>
          <cell r="AK56">
            <v>36956</v>
          </cell>
          <cell r="AL56">
            <v>12956</v>
          </cell>
          <cell r="AM56">
            <v>24000</v>
          </cell>
          <cell r="AN56">
            <v>24000</v>
          </cell>
          <cell r="AO56">
            <v>12956</v>
          </cell>
          <cell r="AP56">
            <v>24000</v>
          </cell>
          <cell r="AQ56">
            <v>0</v>
          </cell>
          <cell r="AR56">
            <v>0</v>
          </cell>
        </row>
        <row r="57">
          <cell r="F57">
            <v>0</v>
          </cell>
          <cell r="G57">
            <v>0</v>
          </cell>
          <cell r="H57">
            <v>0</v>
          </cell>
          <cell r="T57">
            <v>0</v>
          </cell>
          <cell r="U57">
            <v>0</v>
          </cell>
          <cell r="AF57">
            <v>0</v>
          </cell>
          <cell r="AH57">
            <v>0</v>
          </cell>
          <cell r="AK57">
            <v>0</v>
          </cell>
          <cell r="AL57">
            <v>0</v>
          </cell>
          <cell r="AM57">
            <v>0</v>
          </cell>
          <cell r="AN57">
            <v>0</v>
          </cell>
          <cell r="AP57">
            <v>0</v>
          </cell>
        </row>
        <row r="58">
          <cell r="F58">
            <v>8</v>
          </cell>
          <cell r="G58">
            <v>2</v>
          </cell>
          <cell r="H58">
            <v>6</v>
          </cell>
          <cell r="P58">
            <v>21.666666666666668</v>
          </cell>
          <cell r="S58">
            <v>1148</v>
          </cell>
          <cell r="T58">
            <v>1148</v>
          </cell>
          <cell r="U58">
            <v>0</v>
          </cell>
          <cell r="X58">
            <v>0</v>
          </cell>
          <cell r="Y58">
            <v>0</v>
          </cell>
          <cell r="Z58">
            <v>0</v>
          </cell>
          <cell r="AC58">
            <v>0</v>
          </cell>
          <cell r="AD58">
            <v>0</v>
          </cell>
          <cell r="AE58">
            <v>0</v>
          </cell>
          <cell r="AF58">
            <v>675</v>
          </cell>
          <cell r="AG58">
            <v>241</v>
          </cell>
          <cell r="AH58">
            <v>434</v>
          </cell>
          <cell r="AI58">
            <v>241</v>
          </cell>
          <cell r="AK58">
            <v>1418.6666666666667</v>
          </cell>
          <cell r="AL58">
            <v>23.666666666666668</v>
          </cell>
          <cell r="AM58">
            <v>1395</v>
          </cell>
          <cell r="AN58">
            <v>1395</v>
          </cell>
          <cell r="AO58">
            <v>0</v>
          </cell>
          <cell r="AP58">
            <v>390</v>
          </cell>
          <cell r="AQ58">
            <v>23.666666666666668</v>
          </cell>
          <cell r="AR58">
            <v>1005</v>
          </cell>
        </row>
        <row r="59">
          <cell r="F59">
            <v>400</v>
          </cell>
          <cell r="G59">
            <v>105</v>
          </cell>
          <cell r="H59">
            <v>295</v>
          </cell>
          <cell r="P59">
            <v>512.9666666666667</v>
          </cell>
          <cell r="S59">
            <v>858.8</v>
          </cell>
          <cell r="T59">
            <v>420.81199999999995</v>
          </cell>
          <cell r="U59">
            <v>437.988</v>
          </cell>
          <cell r="X59">
            <v>277.8</v>
          </cell>
          <cell r="Y59">
            <v>129</v>
          </cell>
          <cell r="Z59">
            <v>148.80000000000001</v>
          </cell>
          <cell r="AC59">
            <v>254.33636363636361</v>
          </cell>
          <cell r="AD59">
            <v>120</v>
          </cell>
          <cell r="AE59">
            <v>134.33636363636361</v>
          </cell>
          <cell r="AF59">
            <v>903.92727272727279</v>
          </cell>
          <cell r="AG59">
            <v>844</v>
          </cell>
          <cell r="AH59">
            <v>59.927272727272793</v>
          </cell>
          <cell r="AI59">
            <v>274</v>
          </cell>
          <cell r="AK59">
            <v>3331.9030303030304</v>
          </cell>
          <cell r="AL59">
            <v>991.9666666666667</v>
          </cell>
          <cell r="AM59">
            <v>2339.9363636363637</v>
          </cell>
          <cell r="AN59">
            <v>2339.9363636363632</v>
          </cell>
          <cell r="AO59">
            <v>249</v>
          </cell>
          <cell r="AP59">
            <v>575</v>
          </cell>
          <cell r="AQ59">
            <v>742.9666666666667</v>
          </cell>
          <cell r="AR59">
            <v>1764.9363636363637</v>
          </cell>
        </row>
        <row r="60">
          <cell r="F60">
            <v>22</v>
          </cell>
          <cell r="G60">
            <v>6</v>
          </cell>
          <cell r="H60">
            <v>16</v>
          </cell>
          <cell r="P60">
            <v>28</v>
          </cell>
          <cell r="S60">
            <v>47</v>
          </cell>
          <cell r="T60">
            <v>23</v>
          </cell>
          <cell r="U60">
            <v>24</v>
          </cell>
          <cell r="X60">
            <v>15</v>
          </cell>
          <cell r="Y60">
            <v>7</v>
          </cell>
          <cell r="Z60">
            <v>8</v>
          </cell>
          <cell r="AC60">
            <v>14</v>
          </cell>
          <cell r="AD60">
            <v>7</v>
          </cell>
          <cell r="AE60">
            <v>7</v>
          </cell>
          <cell r="AF60">
            <v>50</v>
          </cell>
          <cell r="AG60">
            <v>46</v>
          </cell>
          <cell r="AH60">
            <v>4</v>
          </cell>
          <cell r="AI60">
            <v>15</v>
          </cell>
          <cell r="AK60">
            <v>182</v>
          </cell>
          <cell r="AL60">
            <v>55</v>
          </cell>
          <cell r="AM60">
            <v>127</v>
          </cell>
          <cell r="AN60">
            <v>127</v>
          </cell>
          <cell r="AO60">
            <v>14</v>
          </cell>
          <cell r="AP60">
            <v>25</v>
          </cell>
          <cell r="AQ60">
            <v>41</v>
          </cell>
          <cell r="AR60">
            <v>102</v>
          </cell>
        </row>
        <row r="61">
          <cell r="F61">
            <v>128</v>
          </cell>
          <cell r="G61">
            <v>34</v>
          </cell>
          <cell r="H61">
            <v>94</v>
          </cell>
          <cell r="P61">
            <v>164</v>
          </cell>
          <cell r="S61">
            <v>275</v>
          </cell>
          <cell r="T61">
            <v>135</v>
          </cell>
          <cell r="U61">
            <v>140</v>
          </cell>
          <cell r="X61">
            <v>89</v>
          </cell>
          <cell r="Y61">
            <v>41</v>
          </cell>
          <cell r="Z61">
            <v>48</v>
          </cell>
          <cell r="AC61">
            <v>81</v>
          </cell>
          <cell r="AD61">
            <v>38</v>
          </cell>
          <cell r="AE61">
            <v>43</v>
          </cell>
          <cell r="AF61">
            <v>289</v>
          </cell>
          <cell r="AG61">
            <v>270</v>
          </cell>
          <cell r="AH61">
            <v>19</v>
          </cell>
          <cell r="AI61">
            <v>88</v>
          </cell>
          <cell r="AK61">
            <v>1066</v>
          </cell>
          <cell r="AL61">
            <v>317</v>
          </cell>
          <cell r="AM61">
            <v>749</v>
          </cell>
          <cell r="AN61">
            <v>749</v>
          </cell>
          <cell r="AO61">
            <v>0</v>
          </cell>
          <cell r="AP61">
            <v>0</v>
          </cell>
          <cell r="AQ61">
            <v>0</v>
          </cell>
          <cell r="AR61">
            <v>0</v>
          </cell>
        </row>
        <row r="62">
          <cell r="F62">
            <v>0</v>
          </cell>
          <cell r="G62">
            <v>0</v>
          </cell>
          <cell r="P62">
            <v>0</v>
          </cell>
          <cell r="X62">
            <v>0</v>
          </cell>
          <cell r="AH62">
            <v>0</v>
          </cell>
          <cell r="AK62">
            <v>0</v>
          </cell>
          <cell r="AN62">
            <v>0</v>
          </cell>
        </row>
        <row r="63">
          <cell r="F63">
            <v>67</v>
          </cell>
          <cell r="G63">
            <v>18</v>
          </cell>
          <cell r="H63">
            <v>49</v>
          </cell>
          <cell r="P63">
            <v>458</v>
          </cell>
          <cell r="S63">
            <v>1126</v>
          </cell>
          <cell r="T63">
            <v>180.16</v>
          </cell>
          <cell r="U63">
            <v>945.84</v>
          </cell>
          <cell r="X63">
            <v>529.66666666666663</v>
          </cell>
          <cell r="Y63">
            <v>247</v>
          </cell>
          <cell r="Z63">
            <v>282.66666666666663</v>
          </cell>
          <cell r="AC63">
            <v>570</v>
          </cell>
          <cell r="AD63">
            <v>268</v>
          </cell>
          <cell r="AE63">
            <v>302</v>
          </cell>
          <cell r="AF63">
            <v>467</v>
          </cell>
          <cell r="AG63">
            <v>467</v>
          </cell>
          <cell r="AH63">
            <v>0</v>
          </cell>
          <cell r="AK63">
            <v>3225.6666666666665</v>
          </cell>
          <cell r="AL63">
            <v>999</v>
          </cell>
          <cell r="AM63">
            <v>2226.6666666666665</v>
          </cell>
          <cell r="AN63">
            <v>2228.6666666666665</v>
          </cell>
          <cell r="AO63">
            <v>515</v>
          </cell>
          <cell r="AP63">
            <v>968</v>
          </cell>
          <cell r="AQ63">
            <v>484</v>
          </cell>
          <cell r="AR63">
            <v>1258.6666666666665</v>
          </cell>
        </row>
        <row r="64">
          <cell r="G64">
            <v>0</v>
          </cell>
          <cell r="T64">
            <v>18</v>
          </cell>
          <cell r="U64">
            <v>95</v>
          </cell>
          <cell r="AH64">
            <v>0</v>
          </cell>
          <cell r="AI64">
            <v>0</v>
          </cell>
          <cell r="AJ64">
            <v>0</v>
          </cell>
          <cell r="AK64">
            <v>0</v>
          </cell>
          <cell r="AN64">
            <v>0</v>
          </cell>
          <cell r="AO64">
            <v>52</v>
          </cell>
          <cell r="AP64">
            <v>97</v>
          </cell>
          <cell r="AQ64">
            <v>48</v>
          </cell>
          <cell r="AR64">
            <v>126</v>
          </cell>
        </row>
        <row r="65">
          <cell r="F65">
            <v>84</v>
          </cell>
          <cell r="G65">
            <v>22</v>
          </cell>
          <cell r="H65">
            <v>62</v>
          </cell>
          <cell r="P65">
            <v>630</v>
          </cell>
          <cell r="S65">
            <v>1358</v>
          </cell>
          <cell r="X65">
            <v>100</v>
          </cell>
          <cell r="AC65">
            <v>130</v>
          </cell>
          <cell r="AF65">
            <v>508</v>
          </cell>
          <cell r="AG65">
            <v>508</v>
          </cell>
          <cell r="AH65">
            <v>0</v>
          </cell>
          <cell r="AK65">
            <v>2820</v>
          </cell>
          <cell r="AL65">
            <v>660</v>
          </cell>
          <cell r="AM65">
            <v>2160</v>
          </cell>
          <cell r="AN65">
            <v>1930</v>
          </cell>
          <cell r="AP65">
            <v>373</v>
          </cell>
        </row>
        <row r="66">
          <cell r="F66">
            <v>0</v>
          </cell>
          <cell r="G66">
            <v>0</v>
          </cell>
          <cell r="P66">
            <v>0</v>
          </cell>
          <cell r="S66">
            <v>0</v>
          </cell>
          <cell r="X66">
            <v>0</v>
          </cell>
          <cell r="AC66">
            <v>0</v>
          </cell>
          <cell r="AD66">
            <v>0</v>
          </cell>
          <cell r="AH66">
            <v>0</v>
          </cell>
          <cell r="AK66">
            <v>0</v>
          </cell>
          <cell r="AL66">
            <v>0</v>
          </cell>
          <cell r="AM66">
            <v>0</v>
          </cell>
          <cell r="AN66">
            <v>0</v>
          </cell>
          <cell r="AP66">
            <v>0</v>
          </cell>
        </row>
        <row r="67">
          <cell r="G67">
            <v>0</v>
          </cell>
          <cell r="H67">
            <v>-13</v>
          </cell>
          <cell r="P67">
            <v>-172</v>
          </cell>
          <cell r="S67">
            <v>-232</v>
          </cell>
          <cell r="T67">
            <v>162.16</v>
          </cell>
          <cell r="U67">
            <v>850.84</v>
          </cell>
          <cell r="X67">
            <v>429.66666666666663</v>
          </cell>
          <cell r="Y67">
            <v>247</v>
          </cell>
          <cell r="Z67">
            <v>282.66666666666663</v>
          </cell>
          <cell r="AC67">
            <v>440</v>
          </cell>
          <cell r="AD67">
            <v>268</v>
          </cell>
          <cell r="AE67">
            <v>302</v>
          </cell>
          <cell r="AF67">
            <v>-41</v>
          </cell>
          <cell r="AG67">
            <v>-41</v>
          </cell>
          <cell r="AH67">
            <v>0</v>
          </cell>
          <cell r="AI67">
            <v>0</v>
          </cell>
          <cell r="AJ67">
            <v>0</v>
          </cell>
          <cell r="AK67">
            <v>422.66666666666663</v>
          </cell>
          <cell r="AN67">
            <v>298.66666666666663</v>
          </cell>
          <cell r="AO67">
            <v>463</v>
          </cell>
          <cell r="AP67">
            <v>498</v>
          </cell>
          <cell r="AQ67">
            <v>436</v>
          </cell>
          <cell r="AR67">
            <v>1132.6666666666665</v>
          </cell>
        </row>
        <row r="68">
          <cell r="F68">
            <v>250</v>
          </cell>
          <cell r="G68">
            <v>65</v>
          </cell>
          <cell r="H68">
            <v>185</v>
          </cell>
          <cell r="P68">
            <v>727</v>
          </cell>
          <cell r="S68">
            <v>2102</v>
          </cell>
          <cell r="T68">
            <v>525.5</v>
          </cell>
          <cell r="U68">
            <v>1576.5</v>
          </cell>
          <cell r="X68">
            <v>838</v>
          </cell>
          <cell r="Y68">
            <v>390</v>
          </cell>
          <cell r="Z68">
            <v>448</v>
          </cell>
          <cell r="AC68">
            <v>783</v>
          </cell>
          <cell r="AD68">
            <v>368</v>
          </cell>
          <cell r="AE68">
            <v>415</v>
          </cell>
          <cell r="AF68">
            <v>652</v>
          </cell>
          <cell r="AG68">
            <v>652</v>
          </cell>
          <cell r="AH68">
            <v>0</v>
          </cell>
          <cell r="AK68">
            <v>5361</v>
          </cell>
          <cell r="AL68">
            <v>1550</v>
          </cell>
          <cell r="AM68">
            <v>3811</v>
          </cell>
          <cell r="AN68">
            <v>3802</v>
          </cell>
          <cell r="AO68">
            <v>758</v>
          </cell>
          <cell r="AP68">
            <v>1578</v>
          </cell>
          <cell r="AQ68">
            <v>792</v>
          </cell>
          <cell r="AR68">
            <v>2233</v>
          </cell>
        </row>
        <row r="69">
          <cell r="G69">
            <v>0</v>
          </cell>
          <cell r="H69">
            <v>0</v>
          </cell>
          <cell r="P69">
            <v>64.333333333333329</v>
          </cell>
          <cell r="S69">
            <v>408</v>
          </cell>
          <cell r="X69">
            <v>218</v>
          </cell>
          <cell r="Y69">
            <v>102</v>
          </cell>
          <cell r="Z69">
            <v>116</v>
          </cell>
          <cell r="AC69">
            <v>148.36363636363637</v>
          </cell>
          <cell r="AD69">
            <v>70</v>
          </cell>
          <cell r="AE69">
            <v>78.363636363636374</v>
          </cell>
          <cell r="AF69">
            <v>199.27272727272728</v>
          </cell>
          <cell r="AG69">
            <v>199.27272727272728</v>
          </cell>
          <cell r="AH69">
            <v>0</v>
          </cell>
          <cell r="AK69">
            <v>1037.969696969697</v>
          </cell>
          <cell r="AL69">
            <v>236.33333333333331</v>
          </cell>
          <cell r="AM69">
            <v>801.63636363636374</v>
          </cell>
          <cell r="AN69">
            <v>801.63636363636363</v>
          </cell>
        </row>
        <row r="70">
          <cell r="F70">
            <v>0</v>
          </cell>
          <cell r="G70">
            <v>0</v>
          </cell>
          <cell r="H70">
            <v>0</v>
          </cell>
          <cell r="P70">
            <v>4</v>
          </cell>
          <cell r="S70">
            <v>22</v>
          </cell>
          <cell r="X70">
            <v>12</v>
          </cell>
          <cell r="Y70">
            <v>6</v>
          </cell>
          <cell r="Z70">
            <v>6</v>
          </cell>
          <cell r="AC70">
            <v>8</v>
          </cell>
          <cell r="AD70">
            <v>4</v>
          </cell>
          <cell r="AE70">
            <v>4</v>
          </cell>
          <cell r="AF70">
            <v>11</v>
          </cell>
          <cell r="AG70">
            <v>11</v>
          </cell>
          <cell r="AH70">
            <v>0</v>
          </cell>
          <cell r="AK70">
            <v>57</v>
          </cell>
          <cell r="AL70">
            <v>14</v>
          </cell>
          <cell r="AM70">
            <v>43</v>
          </cell>
          <cell r="AN70">
            <v>43</v>
          </cell>
        </row>
        <row r="71">
          <cell r="F71">
            <v>0</v>
          </cell>
          <cell r="G71">
            <v>0</v>
          </cell>
          <cell r="H71">
            <v>0</v>
          </cell>
          <cell r="P71">
            <v>21</v>
          </cell>
          <cell r="S71">
            <v>130</v>
          </cell>
          <cell r="X71">
            <v>70</v>
          </cell>
          <cell r="Y71">
            <v>33</v>
          </cell>
          <cell r="Z71">
            <v>37</v>
          </cell>
          <cell r="AC71">
            <v>48</v>
          </cell>
          <cell r="AD71">
            <v>23</v>
          </cell>
          <cell r="AE71">
            <v>25</v>
          </cell>
          <cell r="AF71">
            <v>64</v>
          </cell>
          <cell r="AG71">
            <v>64</v>
          </cell>
          <cell r="AH71">
            <v>0</v>
          </cell>
          <cell r="AK71">
            <v>333</v>
          </cell>
          <cell r="AL71">
            <v>77</v>
          </cell>
          <cell r="AM71">
            <v>256</v>
          </cell>
          <cell r="AN71">
            <v>256</v>
          </cell>
        </row>
        <row r="72">
          <cell r="F72">
            <v>0</v>
          </cell>
          <cell r="G72">
            <v>0</v>
          </cell>
          <cell r="X72">
            <v>0</v>
          </cell>
          <cell r="AC72">
            <v>0</v>
          </cell>
          <cell r="AF72">
            <v>0</v>
          </cell>
          <cell r="AG72">
            <v>0</v>
          </cell>
          <cell r="AH72">
            <v>0</v>
          </cell>
          <cell r="AK72">
            <v>0</v>
          </cell>
          <cell r="AL72">
            <v>0</v>
          </cell>
          <cell r="AM72">
            <v>0</v>
          </cell>
          <cell r="AN72">
            <v>0</v>
          </cell>
        </row>
        <row r="73">
          <cell r="G73">
            <v>0</v>
          </cell>
          <cell r="P73">
            <v>650</v>
          </cell>
          <cell r="S73">
            <v>0</v>
          </cell>
          <cell r="X73">
            <v>0</v>
          </cell>
          <cell r="Y73">
            <v>0</v>
          </cell>
          <cell r="Z73">
            <v>0</v>
          </cell>
          <cell r="AC73">
            <v>0</v>
          </cell>
          <cell r="AD73">
            <v>0</v>
          </cell>
          <cell r="AE73">
            <v>0</v>
          </cell>
          <cell r="AF73">
            <v>0</v>
          </cell>
          <cell r="AG73">
            <v>0</v>
          </cell>
          <cell r="AH73">
            <v>0</v>
          </cell>
          <cell r="AK73">
            <v>650</v>
          </cell>
          <cell r="AL73">
            <v>650</v>
          </cell>
          <cell r="AM73">
            <v>0</v>
          </cell>
          <cell r="AN73">
            <v>0</v>
          </cell>
        </row>
        <row r="74">
          <cell r="G74">
            <v>0</v>
          </cell>
          <cell r="P74">
            <v>0</v>
          </cell>
          <cell r="S74">
            <v>0</v>
          </cell>
          <cell r="X74">
            <v>0</v>
          </cell>
          <cell r="Z74">
            <v>0</v>
          </cell>
          <cell r="AC74">
            <v>0</v>
          </cell>
          <cell r="AD74">
            <v>0</v>
          </cell>
          <cell r="AE74">
            <v>0</v>
          </cell>
          <cell r="AH74">
            <v>0</v>
          </cell>
          <cell r="AK74">
            <v>0</v>
          </cell>
          <cell r="AL74">
            <v>0</v>
          </cell>
          <cell r="AM74">
            <v>0</v>
          </cell>
          <cell r="AN74">
            <v>0</v>
          </cell>
        </row>
        <row r="75">
          <cell r="F75">
            <v>2199.4</v>
          </cell>
          <cell r="G75">
            <v>577</v>
          </cell>
          <cell r="H75">
            <v>1622.4</v>
          </cell>
          <cell r="P75">
            <v>92</v>
          </cell>
          <cell r="S75">
            <v>265.83333333333337</v>
          </cell>
          <cell r="T75">
            <v>100.54</v>
          </cell>
          <cell r="U75">
            <v>165.29333333333335</v>
          </cell>
          <cell r="X75">
            <v>79.666666666666671</v>
          </cell>
          <cell r="Y75">
            <v>37</v>
          </cell>
          <cell r="Z75">
            <v>42.666666666666671</v>
          </cell>
          <cell r="AC75">
            <v>85</v>
          </cell>
          <cell r="AD75">
            <v>40</v>
          </cell>
          <cell r="AE75">
            <v>45</v>
          </cell>
          <cell r="AF75">
            <v>226.33333333333331</v>
          </cell>
          <cell r="AG75">
            <v>172.6</v>
          </cell>
          <cell r="AH75">
            <v>53.73333333333332</v>
          </cell>
          <cell r="AI75">
            <v>59.2</v>
          </cell>
          <cell r="AK75">
            <v>3348.5</v>
          </cell>
          <cell r="AL75">
            <v>905.5</v>
          </cell>
          <cell r="AM75">
            <v>2443</v>
          </cell>
          <cell r="AN75">
            <v>2367.5</v>
          </cell>
          <cell r="AO75">
            <v>77</v>
          </cell>
          <cell r="AP75">
            <v>178</v>
          </cell>
          <cell r="AQ75">
            <v>828.5</v>
          </cell>
          <cell r="AR75">
            <v>2265</v>
          </cell>
        </row>
        <row r="76">
          <cell r="F76">
            <v>105</v>
          </cell>
          <cell r="G76">
            <v>28</v>
          </cell>
          <cell r="H76">
            <v>77</v>
          </cell>
          <cell r="T76">
            <v>0</v>
          </cell>
          <cell r="U76">
            <v>0</v>
          </cell>
          <cell r="Y76">
            <v>0</v>
          </cell>
          <cell r="Z76">
            <v>0</v>
          </cell>
          <cell r="AE76">
            <v>0</v>
          </cell>
          <cell r="AH76">
            <v>0</v>
          </cell>
          <cell r="AK76">
            <v>105</v>
          </cell>
          <cell r="AL76">
            <v>28</v>
          </cell>
          <cell r="AM76">
            <v>77</v>
          </cell>
          <cell r="AN76">
            <v>77</v>
          </cell>
          <cell r="AO76">
            <v>0</v>
          </cell>
          <cell r="AP76">
            <v>0</v>
          </cell>
          <cell r="AQ76">
            <v>28</v>
          </cell>
          <cell r="AR76">
            <v>77</v>
          </cell>
        </row>
        <row r="77">
          <cell r="F77">
            <v>2094.4</v>
          </cell>
          <cell r="G77">
            <v>549</v>
          </cell>
          <cell r="H77">
            <v>1545.4</v>
          </cell>
          <cell r="P77">
            <v>92</v>
          </cell>
          <cell r="S77">
            <v>265.83333333333337</v>
          </cell>
          <cell r="T77">
            <v>100.54</v>
          </cell>
          <cell r="U77">
            <v>165.29333333333335</v>
          </cell>
          <cell r="X77">
            <v>79.666666666666671</v>
          </cell>
          <cell r="Y77">
            <v>37</v>
          </cell>
          <cell r="Z77">
            <v>42.666666666666671</v>
          </cell>
          <cell r="AC77">
            <v>85</v>
          </cell>
          <cell r="AD77">
            <v>40</v>
          </cell>
          <cell r="AE77">
            <v>45</v>
          </cell>
          <cell r="AF77">
            <v>226.33333333333331</v>
          </cell>
          <cell r="AG77">
            <v>172.6</v>
          </cell>
          <cell r="AH77">
            <v>53.73333333333332</v>
          </cell>
          <cell r="AI77">
            <v>59</v>
          </cell>
          <cell r="AK77">
            <v>3243.5</v>
          </cell>
          <cell r="AL77">
            <v>877.5</v>
          </cell>
          <cell r="AM77">
            <v>2366</v>
          </cell>
          <cell r="AN77">
            <v>2290.5</v>
          </cell>
          <cell r="AO77">
            <v>77</v>
          </cell>
          <cell r="AP77">
            <v>178</v>
          </cell>
          <cell r="AQ77">
            <v>800.5</v>
          </cell>
          <cell r="AR77">
            <v>2188</v>
          </cell>
        </row>
        <row r="78">
          <cell r="F78">
            <v>696</v>
          </cell>
          <cell r="G78">
            <v>182</v>
          </cell>
          <cell r="H78">
            <v>514</v>
          </cell>
          <cell r="P78">
            <v>66</v>
          </cell>
          <cell r="S78">
            <v>152.33333333333334</v>
          </cell>
          <cell r="T78">
            <v>100.54</v>
          </cell>
          <cell r="U78">
            <v>51.793333333333337</v>
          </cell>
          <cell r="X78">
            <v>36</v>
          </cell>
          <cell r="Y78">
            <v>17</v>
          </cell>
          <cell r="Z78">
            <v>19</v>
          </cell>
          <cell r="AC78">
            <v>40</v>
          </cell>
          <cell r="AD78">
            <v>40</v>
          </cell>
          <cell r="AE78">
            <v>0</v>
          </cell>
          <cell r="AF78">
            <v>141</v>
          </cell>
          <cell r="AG78">
            <v>119.2</v>
          </cell>
          <cell r="AH78">
            <v>21.799999999999997</v>
          </cell>
          <cell r="AK78">
            <v>1109.5333333333333</v>
          </cell>
          <cell r="AL78">
            <v>305</v>
          </cell>
          <cell r="AM78">
            <v>804.5333333333333</v>
          </cell>
          <cell r="AN78">
            <v>804.53333333333342</v>
          </cell>
          <cell r="AR78">
            <v>804.5333333333333</v>
          </cell>
        </row>
        <row r="79">
          <cell r="H79">
            <v>0</v>
          </cell>
          <cell r="P79">
            <v>0</v>
          </cell>
          <cell r="S79">
            <v>0</v>
          </cell>
          <cell r="AK79">
            <v>442</v>
          </cell>
          <cell r="AL79">
            <v>158</v>
          </cell>
          <cell r="AM79">
            <v>284</v>
          </cell>
          <cell r="AN79">
            <v>206</v>
          </cell>
          <cell r="AR79">
            <v>284</v>
          </cell>
        </row>
        <row r="80">
          <cell r="F80">
            <v>823</v>
          </cell>
          <cell r="G80">
            <v>216</v>
          </cell>
          <cell r="H80">
            <v>607</v>
          </cell>
          <cell r="P80">
            <v>9</v>
          </cell>
          <cell r="S80">
            <v>40.333333333333336</v>
          </cell>
          <cell r="X80">
            <v>18.666666666666668</v>
          </cell>
          <cell r="AC80">
            <v>13</v>
          </cell>
          <cell r="AF80">
            <v>45.666666666666664</v>
          </cell>
          <cell r="AG80">
            <v>27.4</v>
          </cell>
          <cell r="AH80">
            <v>18.266666666666666</v>
          </cell>
          <cell r="AI80">
            <v>18.600000000000001</v>
          </cell>
          <cell r="AK80">
            <v>934.4</v>
          </cell>
          <cell r="AL80">
            <v>226.5</v>
          </cell>
          <cell r="AM80">
            <v>707.9</v>
          </cell>
          <cell r="AN80">
            <v>676.73333333333335</v>
          </cell>
        </row>
        <row r="81">
          <cell r="F81">
            <v>537</v>
          </cell>
          <cell r="G81">
            <v>141</v>
          </cell>
          <cell r="H81">
            <v>396</v>
          </cell>
          <cell r="P81">
            <v>17</v>
          </cell>
          <cell r="S81">
            <v>73.166666666666657</v>
          </cell>
          <cell r="X81">
            <v>25</v>
          </cell>
          <cell r="AC81">
            <v>32</v>
          </cell>
          <cell r="AF81">
            <v>39.666666666666664</v>
          </cell>
          <cell r="AG81">
            <v>26</v>
          </cell>
          <cell r="AH81">
            <v>13.666666666666664</v>
          </cell>
          <cell r="AI81">
            <v>15.3</v>
          </cell>
          <cell r="AK81">
            <v>734.46666666666658</v>
          </cell>
          <cell r="AL81">
            <v>162.77843783084342</v>
          </cell>
          <cell r="AM81">
            <v>571.68822883582311</v>
          </cell>
          <cell r="AN81">
            <v>506.16666666666663</v>
          </cell>
        </row>
        <row r="82">
          <cell r="H82">
            <v>0</v>
          </cell>
          <cell r="AK82">
            <v>0</v>
          </cell>
          <cell r="AL82">
            <v>0</v>
          </cell>
          <cell r="AM82">
            <v>0</v>
          </cell>
          <cell r="AN82">
            <v>0</v>
          </cell>
        </row>
        <row r="83">
          <cell r="F83">
            <v>19.399999999999999</v>
          </cell>
          <cell r="G83">
            <v>0</v>
          </cell>
          <cell r="H83">
            <v>19.399999999999999</v>
          </cell>
          <cell r="P83">
            <v>18</v>
          </cell>
          <cell r="S83">
            <v>7.5</v>
          </cell>
          <cell r="X83">
            <v>5</v>
          </cell>
          <cell r="AC83">
            <v>1.7</v>
          </cell>
          <cell r="AF83">
            <v>85</v>
          </cell>
          <cell r="AG83">
            <v>85</v>
          </cell>
          <cell r="AH83">
            <v>0</v>
          </cell>
          <cell r="AK83">
            <v>137.6</v>
          </cell>
          <cell r="AL83">
            <v>19</v>
          </cell>
          <cell r="AM83">
            <v>118.6</v>
          </cell>
          <cell r="AN83">
            <v>111.9</v>
          </cell>
        </row>
        <row r="84">
          <cell r="F84">
            <v>3888.4</v>
          </cell>
          <cell r="G84">
            <v>1021</v>
          </cell>
          <cell r="H84">
            <v>2867.4</v>
          </cell>
          <cell r="P84">
            <v>2517.3000000000002</v>
          </cell>
          <cell r="Q84">
            <v>0</v>
          </cell>
          <cell r="R84">
            <v>0</v>
          </cell>
          <cell r="S84">
            <v>16252.633333333333</v>
          </cell>
          <cell r="T84">
            <v>12490.238666666668</v>
          </cell>
          <cell r="U84">
            <v>3762.394666666667</v>
          </cell>
          <cell r="X84">
            <v>17707.8</v>
          </cell>
          <cell r="Y84">
            <v>8250</v>
          </cell>
          <cell r="Z84">
            <v>9457.7999999999975</v>
          </cell>
          <cell r="AA84">
            <v>0</v>
          </cell>
          <cell r="AB84">
            <v>0</v>
          </cell>
          <cell r="AC84">
            <v>14962.003030303029</v>
          </cell>
          <cell r="AD84">
            <v>7040</v>
          </cell>
          <cell r="AE84">
            <v>7922.0030303030308</v>
          </cell>
          <cell r="AF84">
            <v>3758.5939393939398</v>
          </cell>
          <cell r="AG84">
            <v>3011.6</v>
          </cell>
          <cell r="AH84">
            <v>746.99393939393951</v>
          </cell>
          <cell r="AI84">
            <v>783.2</v>
          </cell>
          <cell r="AK84">
            <v>59293.736363636359</v>
          </cell>
          <cell r="AL84">
            <v>19221.8</v>
          </cell>
          <cell r="AM84">
            <v>40071.936363636363</v>
          </cell>
          <cell r="AN84">
            <v>39989.436363636356</v>
          </cell>
          <cell r="AO84">
            <v>15211</v>
          </cell>
          <cell r="AP84">
            <v>28839</v>
          </cell>
          <cell r="AQ84">
            <v>3693.8</v>
          </cell>
          <cell r="AR84">
            <v>10483.936363636363</v>
          </cell>
        </row>
        <row r="85">
          <cell r="F85">
            <v>400</v>
          </cell>
          <cell r="G85">
            <v>105</v>
          </cell>
          <cell r="H85">
            <v>295</v>
          </cell>
          <cell r="P85">
            <v>577.30000000000007</v>
          </cell>
          <cell r="Q85">
            <v>0</v>
          </cell>
          <cell r="R85">
            <v>0</v>
          </cell>
          <cell r="T85">
            <v>420.81199999999995</v>
          </cell>
          <cell r="U85">
            <v>437.988</v>
          </cell>
          <cell r="V85">
            <v>0</v>
          </cell>
          <cell r="W85">
            <v>0</v>
          </cell>
          <cell r="Y85">
            <v>231</v>
          </cell>
          <cell r="Z85">
            <v>264.8</v>
          </cell>
          <cell r="AA85">
            <v>0</v>
          </cell>
          <cell r="AB85">
            <v>0</v>
          </cell>
          <cell r="AD85">
            <v>190</v>
          </cell>
          <cell r="AE85">
            <v>212.7</v>
          </cell>
          <cell r="AH85">
            <v>59.927272727272793</v>
          </cell>
          <cell r="AI85">
            <v>274</v>
          </cell>
          <cell r="AK85">
            <v>4369.8727272727274</v>
          </cell>
          <cell r="AL85">
            <v>1228.3</v>
          </cell>
          <cell r="AM85">
            <v>3141.5727272727272</v>
          </cell>
          <cell r="AN85">
            <v>831.5</v>
          </cell>
        </row>
        <row r="86">
          <cell r="AL86">
            <v>19221.8</v>
          </cell>
          <cell r="AN86">
            <v>0</v>
          </cell>
        </row>
        <row r="87">
          <cell r="F87">
            <v>9777</v>
          </cell>
          <cell r="G87">
            <v>9777</v>
          </cell>
          <cell r="AK87">
            <v>9777</v>
          </cell>
          <cell r="AL87">
            <v>9777</v>
          </cell>
          <cell r="AM87">
            <v>0</v>
          </cell>
          <cell r="AN87">
            <v>0</v>
          </cell>
          <cell r="AO87">
            <v>0</v>
          </cell>
          <cell r="AP87">
            <v>0</v>
          </cell>
          <cell r="AQ87">
            <v>0</v>
          </cell>
          <cell r="AR87">
            <v>0</v>
          </cell>
        </row>
        <row r="88">
          <cell r="F88">
            <v>13665.4</v>
          </cell>
          <cell r="G88">
            <v>10798</v>
          </cell>
          <cell r="H88">
            <v>2867.4</v>
          </cell>
          <cell r="P88">
            <v>2517.3000000000002</v>
          </cell>
          <cell r="Q88">
            <v>0</v>
          </cell>
          <cell r="R88">
            <v>0</v>
          </cell>
          <cell r="S88">
            <v>16252.633333333333</v>
          </cell>
          <cell r="T88">
            <v>12490.238666666668</v>
          </cell>
          <cell r="U88">
            <v>3762.394666666667</v>
          </cell>
          <cell r="V88">
            <v>0</v>
          </cell>
          <cell r="W88">
            <v>0</v>
          </cell>
          <cell r="X88">
            <v>17707.8</v>
          </cell>
          <cell r="Y88">
            <v>8250</v>
          </cell>
          <cell r="Z88">
            <v>9457.7999999999975</v>
          </cell>
          <cell r="AA88">
            <v>0</v>
          </cell>
          <cell r="AB88">
            <v>0</v>
          </cell>
          <cell r="AC88">
            <v>14962.003030303029</v>
          </cell>
          <cell r="AD88">
            <v>7040</v>
          </cell>
          <cell r="AE88">
            <v>7922.0030303030308</v>
          </cell>
          <cell r="AF88">
            <v>3758.5939393939398</v>
          </cell>
          <cell r="AG88">
            <v>3011.6</v>
          </cell>
          <cell r="AH88">
            <v>746.99393939393951</v>
          </cell>
          <cell r="AI88">
            <v>783.2</v>
          </cell>
          <cell r="AK88">
            <v>69070.736363636359</v>
          </cell>
          <cell r="AL88">
            <v>28998.799999999999</v>
          </cell>
          <cell r="AM88">
            <v>40071.936363636363</v>
          </cell>
          <cell r="AN88">
            <v>39989.436363636356</v>
          </cell>
          <cell r="AO88">
            <v>15211</v>
          </cell>
          <cell r="AP88">
            <v>28839</v>
          </cell>
          <cell r="AQ88">
            <v>3693.8</v>
          </cell>
          <cell r="AR88">
            <v>10483.936363636363</v>
          </cell>
        </row>
        <row r="89">
          <cell r="F89">
            <v>0</v>
          </cell>
          <cell r="G89">
            <v>0</v>
          </cell>
          <cell r="H89">
            <v>0</v>
          </cell>
          <cell r="AH89">
            <v>0</v>
          </cell>
          <cell r="AM89">
            <v>0</v>
          </cell>
          <cell r="AN89">
            <v>0</v>
          </cell>
          <cell r="AO89">
            <v>0</v>
          </cell>
          <cell r="AP89">
            <v>0</v>
          </cell>
          <cell r="AQ89">
            <v>0</v>
          </cell>
          <cell r="AR89">
            <v>-1</v>
          </cell>
        </row>
        <row r="90">
          <cell r="F90">
            <v>653</v>
          </cell>
          <cell r="G90">
            <v>380</v>
          </cell>
          <cell r="H90">
            <v>273</v>
          </cell>
          <cell r="AH90">
            <v>0</v>
          </cell>
          <cell r="AK90">
            <v>653</v>
          </cell>
          <cell r="AL90">
            <v>380</v>
          </cell>
          <cell r="AM90">
            <v>273</v>
          </cell>
          <cell r="AN90">
            <v>273</v>
          </cell>
          <cell r="AO90">
            <v>0</v>
          </cell>
          <cell r="AP90">
            <v>0</v>
          </cell>
          <cell r="AQ90">
            <v>91.858099597126753</v>
          </cell>
          <cell r="AR90">
            <v>33.178671326544126</v>
          </cell>
        </row>
        <row r="91">
          <cell r="F91">
            <v>600</v>
          </cell>
          <cell r="G91">
            <v>210</v>
          </cell>
          <cell r="H91">
            <v>390</v>
          </cell>
          <cell r="S91">
            <v>0</v>
          </cell>
          <cell r="T91">
            <v>0</v>
          </cell>
          <cell r="U91">
            <v>0</v>
          </cell>
          <cell r="X91">
            <v>0</v>
          </cell>
          <cell r="Y91">
            <v>0</v>
          </cell>
          <cell r="Z91">
            <v>0</v>
          </cell>
          <cell r="AA91">
            <v>0</v>
          </cell>
          <cell r="AB91">
            <v>0</v>
          </cell>
          <cell r="AC91">
            <v>0</v>
          </cell>
          <cell r="AD91">
            <v>0</v>
          </cell>
          <cell r="AE91">
            <v>0</v>
          </cell>
          <cell r="AH91">
            <v>0</v>
          </cell>
          <cell r="AK91">
            <v>600</v>
          </cell>
          <cell r="AL91">
            <v>210</v>
          </cell>
          <cell r="AM91">
            <v>390</v>
          </cell>
          <cell r="AN91">
            <v>390</v>
          </cell>
          <cell r="AO91">
            <v>0</v>
          </cell>
          <cell r="AP91">
            <v>0</v>
          </cell>
          <cell r="AQ91">
            <v>0</v>
          </cell>
          <cell r="AR91">
            <v>0</v>
          </cell>
        </row>
        <row r="92">
          <cell r="F92">
            <v>19</v>
          </cell>
          <cell r="G92">
            <v>7</v>
          </cell>
          <cell r="H92">
            <v>12</v>
          </cell>
          <cell r="P92">
            <v>1.3333333333333286</v>
          </cell>
          <cell r="S92">
            <v>0</v>
          </cell>
          <cell r="X92">
            <v>28.333333333333332</v>
          </cell>
          <cell r="Y92">
            <v>13</v>
          </cell>
          <cell r="Z92">
            <v>15.333333333333332</v>
          </cell>
          <cell r="AC92">
            <v>27</v>
          </cell>
          <cell r="AD92">
            <v>13</v>
          </cell>
          <cell r="AE92">
            <v>14</v>
          </cell>
          <cell r="AF92">
            <v>12</v>
          </cell>
          <cell r="AG92">
            <v>12</v>
          </cell>
          <cell r="AH92">
            <v>0</v>
          </cell>
          <cell r="AK92">
            <v>87.666666666666657</v>
          </cell>
          <cell r="AL92">
            <v>34.333333333333329</v>
          </cell>
          <cell r="AM92">
            <v>53.333333333333329</v>
          </cell>
          <cell r="AN92">
            <v>53.333333333333329</v>
          </cell>
          <cell r="AO92">
            <v>26</v>
          </cell>
          <cell r="AP92">
            <v>29</v>
          </cell>
          <cell r="AQ92">
            <v>8.3333333333333286</v>
          </cell>
          <cell r="AR92">
            <v>24.333333333333329</v>
          </cell>
        </row>
        <row r="93">
          <cell r="AN93">
            <v>0</v>
          </cell>
        </row>
        <row r="94">
          <cell r="AN94">
            <v>0</v>
          </cell>
        </row>
        <row r="95">
          <cell r="F95">
            <v>14937.4</v>
          </cell>
          <cell r="G95">
            <v>11395</v>
          </cell>
          <cell r="H95">
            <v>3542.4</v>
          </cell>
          <cell r="P95">
            <v>2518.6333333333337</v>
          </cell>
          <cell r="Q95">
            <v>0</v>
          </cell>
          <cell r="R95">
            <v>0</v>
          </cell>
          <cell r="S95">
            <v>16252.633333333333</v>
          </cell>
          <cell r="T95">
            <v>12490.238666666668</v>
          </cell>
          <cell r="U95">
            <v>3762.394666666667</v>
          </cell>
          <cell r="V95">
            <v>0</v>
          </cell>
          <cell r="W95">
            <v>0</v>
          </cell>
          <cell r="X95">
            <v>17736.133333333331</v>
          </cell>
          <cell r="Y95">
            <v>8263</v>
          </cell>
          <cell r="Z95">
            <v>9473.1333333333314</v>
          </cell>
          <cell r="AA95">
            <v>0</v>
          </cell>
          <cell r="AB95">
            <v>0</v>
          </cell>
          <cell r="AC95">
            <v>14989.003030303029</v>
          </cell>
          <cell r="AD95">
            <v>7053</v>
          </cell>
          <cell r="AE95">
            <v>7936.0030303030308</v>
          </cell>
          <cell r="AF95">
            <v>3770.5939393939398</v>
          </cell>
          <cell r="AG95">
            <v>3023.6</v>
          </cell>
          <cell r="AH95">
            <v>746.99393939393951</v>
          </cell>
          <cell r="AI95">
            <v>783.2</v>
          </cell>
          <cell r="AJ95">
            <v>0</v>
          </cell>
          <cell r="AK95">
            <v>70411.40303030303</v>
          </cell>
          <cell r="AL95">
            <v>29623.133333333331</v>
          </cell>
          <cell r="AM95">
            <v>40788.269696969699</v>
          </cell>
          <cell r="AN95">
            <v>40705.769696969692</v>
          </cell>
          <cell r="AO95">
            <v>15237</v>
          </cell>
          <cell r="AP95">
            <v>28868</v>
          </cell>
          <cell r="AQ95">
            <v>3793.9914329304606</v>
          </cell>
          <cell r="AR95">
            <v>10540.448368296242</v>
          </cell>
        </row>
        <row r="96">
          <cell r="F96">
            <v>5160.3999999999996</v>
          </cell>
          <cell r="G96">
            <v>1618</v>
          </cell>
          <cell r="H96">
            <v>3542.4</v>
          </cell>
          <cell r="P96">
            <v>2518.6333333333337</v>
          </cell>
          <cell r="Q96">
            <v>0</v>
          </cell>
          <cell r="R96">
            <v>0</v>
          </cell>
          <cell r="S96">
            <v>6974.6333333333332</v>
          </cell>
          <cell r="T96">
            <v>3212.238666666668</v>
          </cell>
          <cell r="U96">
            <v>3762.394666666667</v>
          </cell>
          <cell r="V96">
            <v>0</v>
          </cell>
          <cell r="W96">
            <v>0</v>
          </cell>
          <cell r="X96">
            <v>3012.1333333333314</v>
          </cell>
          <cell r="Y96">
            <v>1402</v>
          </cell>
          <cell r="Z96">
            <v>1610.1333333333314</v>
          </cell>
          <cell r="AA96">
            <v>0</v>
          </cell>
          <cell r="AB96">
            <v>0</v>
          </cell>
          <cell r="AC96">
            <v>2035.0030303030289</v>
          </cell>
          <cell r="AD96">
            <v>958</v>
          </cell>
          <cell r="AE96">
            <v>1077.0030303030308</v>
          </cell>
          <cell r="AF96">
            <v>3770.5939393939398</v>
          </cell>
          <cell r="AG96">
            <v>3023.6</v>
          </cell>
          <cell r="AH96">
            <v>746.99393939393951</v>
          </cell>
          <cell r="AI96">
            <v>783.2</v>
          </cell>
          <cell r="AJ96">
            <v>0</v>
          </cell>
          <cell r="AK96">
            <v>23678.40303030303</v>
          </cell>
          <cell r="AL96">
            <v>6890.1333333333314</v>
          </cell>
          <cell r="AM96">
            <v>16788.269696969699</v>
          </cell>
          <cell r="AN96">
            <v>16705.769696969695</v>
          </cell>
          <cell r="AO96">
            <v>2281</v>
          </cell>
          <cell r="AP96">
            <v>4868</v>
          </cell>
          <cell r="AQ96">
            <v>3793.9914329304606</v>
          </cell>
          <cell r="AR96">
            <v>10540.448368296242</v>
          </cell>
        </row>
        <row r="97">
          <cell r="F97">
            <v>1439</v>
          </cell>
          <cell r="G97">
            <v>14937.4</v>
          </cell>
          <cell r="P97">
            <v>630</v>
          </cell>
          <cell r="S97">
            <v>1544</v>
          </cell>
          <cell r="X97">
            <v>100</v>
          </cell>
          <cell r="Y97">
            <v>17736.133333333331</v>
          </cell>
          <cell r="AC97">
            <v>130</v>
          </cell>
          <cell r="AD97">
            <v>14989.003030303031</v>
          </cell>
          <cell r="AF97">
            <v>508</v>
          </cell>
          <cell r="AG97">
            <v>350</v>
          </cell>
          <cell r="AH97">
            <v>158</v>
          </cell>
          <cell r="AI97">
            <v>54.400000000000006</v>
          </cell>
          <cell r="AJ97">
            <v>0</v>
          </cell>
          <cell r="AK97">
            <v>4347.3999999999996</v>
          </cell>
          <cell r="AL97">
            <v>71194.603030303027</v>
          </cell>
        </row>
        <row r="98">
          <cell r="F98">
            <v>84</v>
          </cell>
          <cell r="P98">
            <v>630</v>
          </cell>
          <cell r="S98">
            <v>1358</v>
          </cell>
          <cell r="X98">
            <v>100</v>
          </cell>
          <cell r="AC98">
            <v>130</v>
          </cell>
          <cell r="AF98">
            <v>508</v>
          </cell>
          <cell r="AG98">
            <v>350</v>
          </cell>
          <cell r="AH98">
            <v>0</v>
          </cell>
          <cell r="AI98">
            <v>54.400000000000006</v>
          </cell>
          <cell r="AK98">
            <v>2716.4</v>
          </cell>
          <cell r="AL98">
            <v>70411.40303030303</v>
          </cell>
          <cell r="AM98">
            <v>29623.133333333331</v>
          </cell>
        </row>
        <row r="99">
          <cell r="F99">
            <v>0</v>
          </cell>
          <cell r="P99">
            <v>0</v>
          </cell>
          <cell r="X99">
            <v>0</v>
          </cell>
          <cell r="AK99">
            <v>0</v>
          </cell>
        </row>
        <row r="100">
          <cell r="F100">
            <v>1355</v>
          </cell>
          <cell r="P100">
            <v>0</v>
          </cell>
          <cell r="S100">
            <v>186</v>
          </cell>
          <cell r="X100">
            <v>0</v>
          </cell>
          <cell r="AC100">
            <v>0</v>
          </cell>
          <cell r="AF100">
            <v>0</v>
          </cell>
          <cell r="AG100">
            <v>0</v>
          </cell>
          <cell r="AH100">
            <v>158</v>
          </cell>
          <cell r="AI100">
            <v>0</v>
          </cell>
          <cell r="AK100">
            <v>1631</v>
          </cell>
        </row>
        <row r="101">
          <cell r="P101">
            <v>0</v>
          </cell>
          <cell r="S101">
            <v>0</v>
          </cell>
        </row>
        <row r="102">
          <cell r="S102">
            <v>0</v>
          </cell>
          <cell r="X102">
            <v>0</v>
          </cell>
        </row>
        <row r="104">
          <cell r="AK104">
            <v>0</v>
          </cell>
        </row>
        <row r="105">
          <cell r="AK105">
            <v>0</v>
          </cell>
        </row>
        <row r="106">
          <cell r="F106">
            <v>1755</v>
          </cell>
          <cell r="P106">
            <v>0</v>
          </cell>
          <cell r="S106">
            <v>0</v>
          </cell>
          <cell r="X106">
            <v>0</v>
          </cell>
          <cell r="AC106">
            <v>0</v>
          </cell>
          <cell r="AF106">
            <v>0</v>
          </cell>
          <cell r="AG106">
            <v>0</v>
          </cell>
          <cell r="AH106">
            <v>0</v>
          </cell>
          <cell r="AI106">
            <v>0</v>
          </cell>
          <cell r="AK106">
            <v>1755</v>
          </cell>
        </row>
        <row r="107">
          <cell r="F107">
            <v>1355</v>
          </cell>
          <cell r="AC107">
            <v>0</v>
          </cell>
          <cell r="AF107">
            <v>0</v>
          </cell>
          <cell r="AG107">
            <v>0</v>
          </cell>
          <cell r="AH107">
            <v>0</v>
          </cell>
          <cell r="AI107">
            <v>0</v>
          </cell>
          <cell r="AK107">
            <v>1355</v>
          </cell>
        </row>
        <row r="108">
          <cell r="F108">
            <v>400</v>
          </cell>
          <cell r="P108">
            <v>0</v>
          </cell>
          <cell r="S108">
            <v>0</v>
          </cell>
          <cell r="AC108">
            <v>0</v>
          </cell>
          <cell r="AF108">
            <v>0</v>
          </cell>
          <cell r="AG108">
            <v>0</v>
          </cell>
          <cell r="AH108">
            <v>0</v>
          </cell>
          <cell r="AI108">
            <v>0</v>
          </cell>
          <cell r="AK108">
            <v>400</v>
          </cell>
        </row>
        <row r="109">
          <cell r="F109">
            <v>0</v>
          </cell>
          <cell r="P109">
            <v>0</v>
          </cell>
          <cell r="S109">
            <v>0</v>
          </cell>
          <cell r="X109">
            <v>0</v>
          </cell>
          <cell r="AC109">
            <v>0</v>
          </cell>
          <cell r="AF109">
            <v>0</v>
          </cell>
          <cell r="AG109">
            <v>0</v>
          </cell>
          <cell r="AH109">
            <v>0</v>
          </cell>
          <cell r="AK109">
            <v>0</v>
          </cell>
        </row>
        <row r="110">
          <cell r="F110">
            <v>0</v>
          </cell>
          <cell r="P110">
            <v>0</v>
          </cell>
          <cell r="S110">
            <v>40</v>
          </cell>
          <cell r="X110">
            <v>0</v>
          </cell>
          <cell r="AC110">
            <v>0</v>
          </cell>
          <cell r="AF110">
            <v>0</v>
          </cell>
          <cell r="AG110">
            <v>0</v>
          </cell>
          <cell r="AH110">
            <v>0</v>
          </cell>
          <cell r="AI110">
            <v>64</v>
          </cell>
          <cell r="AK110">
            <v>104</v>
          </cell>
        </row>
        <row r="111">
          <cell r="F111">
            <v>0</v>
          </cell>
          <cell r="P111">
            <v>0</v>
          </cell>
          <cell r="S111">
            <v>40</v>
          </cell>
          <cell r="AC111">
            <v>0</v>
          </cell>
          <cell r="AF111">
            <v>0</v>
          </cell>
          <cell r="AG111">
            <v>0</v>
          </cell>
          <cell r="AH111">
            <v>0</v>
          </cell>
          <cell r="AI111">
            <v>64</v>
          </cell>
          <cell r="AK111">
            <v>104</v>
          </cell>
        </row>
        <row r="112">
          <cell r="F112">
            <v>0</v>
          </cell>
          <cell r="P112">
            <v>0</v>
          </cell>
          <cell r="S112">
            <v>0</v>
          </cell>
          <cell r="X112">
            <v>0</v>
          </cell>
          <cell r="AC112">
            <v>0</v>
          </cell>
          <cell r="AF112">
            <v>0</v>
          </cell>
          <cell r="AG112">
            <v>0</v>
          </cell>
          <cell r="AH112">
            <v>0</v>
          </cell>
          <cell r="AK112">
            <v>0</v>
          </cell>
        </row>
        <row r="113">
          <cell r="F113">
            <v>0</v>
          </cell>
          <cell r="P113">
            <v>0</v>
          </cell>
          <cell r="S113">
            <v>0</v>
          </cell>
          <cell r="AC113">
            <v>0</v>
          </cell>
          <cell r="AG113">
            <v>0</v>
          </cell>
          <cell r="AH113">
            <v>0</v>
          </cell>
          <cell r="AK113">
            <v>0</v>
          </cell>
          <cell r="AM113">
            <v>0</v>
          </cell>
        </row>
        <row r="114">
          <cell r="F114">
            <v>0</v>
          </cell>
          <cell r="P114">
            <v>0</v>
          </cell>
          <cell r="S114">
            <v>0</v>
          </cell>
          <cell r="AH114">
            <v>0</v>
          </cell>
          <cell r="AK114">
            <v>0</v>
          </cell>
        </row>
        <row r="115">
          <cell r="F115">
            <v>0</v>
          </cell>
          <cell r="P115">
            <v>0</v>
          </cell>
          <cell r="S115">
            <v>0</v>
          </cell>
          <cell r="AC115">
            <v>0</v>
          </cell>
          <cell r="AG115">
            <v>0</v>
          </cell>
          <cell r="AH115">
            <v>0</v>
          </cell>
          <cell r="AK115">
            <v>0</v>
          </cell>
          <cell r="AL115">
            <v>0</v>
          </cell>
          <cell r="AM115">
            <v>0</v>
          </cell>
        </row>
        <row r="116">
          <cell r="P116">
            <v>0</v>
          </cell>
          <cell r="S116">
            <v>0</v>
          </cell>
          <cell r="AC116">
            <v>0</v>
          </cell>
          <cell r="AG116">
            <v>0</v>
          </cell>
          <cell r="AH116">
            <v>0</v>
          </cell>
          <cell r="AK116">
            <v>0</v>
          </cell>
        </row>
        <row r="117">
          <cell r="F117">
            <v>0</v>
          </cell>
          <cell r="P117">
            <v>0</v>
          </cell>
          <cell r="S117">
            <v>0</v>
          </cell>
          <cell r="AC117">
            <v>0</v>
          </cell>
          <cell r="AF117">
            <v>0</v>
          </cell>
          <cell r="AG117">
            <v>0</v>
          </cell>
          <cell r="AH117">
            <v>0</v>
          </cell>
          <cell r="AK117">
            <v>0</v>
          </cell>
        </row>
        <row r="118">
          <cell r="P118">
            <v>0</v>
          </cell>
          <cell r="S118">
            <v>0</v>
          </cell>
          <cell r="X118">
            <v>0</v>
          </cell>
          <cell r="AC118">
            <v>0</v>
          </cell>
          <cell r="AG118">
            <v>0</v>
          </cell>
          <cell r="AH118">
            <v>0</v>
          </cell>
          <cell r="AK118">
            <v>0</v>
          </cell>
        </row>
        <row r="119">
          <cell r="F119">
            <v>795</v>
          </cell>
          <cell r="AK119">
            <v>795</v>
          </cell>
        </row>
        <row r="120">
          <cell r="F120">
            <v>2982</v>
          </cell>
          <cell r="S120">
            <v>0</v>
          </cell>
          <cell r="X120">
            <v>0</v>
          </cell>
          <cell r="AF120">
            <v>0</v>
          </cell>
          <cell r="AK120">
            <v>2982</v>
          </cell>
        </row>
        <row r="121">
          <cell r="F121">
            <v>3800</v>
          </cell>
          <cell r="AK121">
            <v>3800</v>
          </cell>
        </row>
        <row r="122">
          <cell r="AK122">
            <v>0</v>
          </cell>
        </row>
        <row r="123">
          <cell r="AK123">
            <v>0</v>
          </cell>
          <cell r="AL123">
            <v>-12423.707121212121</v>
          </cell>
        </row>
        <row r="124">
          <cell r="F124">
            <v>0</v>
          </cell>
          <cell r="AK124">
            <v>0</v>
          </cell>
        </row>
        <row r="125">
          <cell r="F125">
            <v>9332</v>
          </cell>
          <cell r="G125">
            <v>0</v>
          </cell>
          <cell r="H125">
            <v>0</v>
          </cell>
          <cell r="P125">
            <v>0</v>
          </cell>
          <cell r="Q125">
            <v>0</v>
          </cell>
          <cell r="R125">
            <v>0</v>
          </cell>
          <cell r="S125">
            <v>40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64</v>
          </cell>
          <cell r="AJ125">
            <v>0</v>
          </cell>
          <cell r="AK125">
            <v>9436</v>
          </cell>
          <cell r="AO125">
            <v>0</v>
          </cell>
          <cell r="AP125">
            <v>0</v>
          </cell>
          <cell r="AQ125">
            <v>0</v>
          </cell>
          <cell r="AR125">
            <v>0</v>
          </cell>
        </row>
        <row r="126">
          <cell r="F126">
            <v>9332</v>
          </cell>
          <cell r="G126">
            <v>0</v>
          </cell>
          <cell r="H126">
            <v>0</v>
          </cell>
          <cell r="P126">
            <v>0</v>
          </cell>
          <cell r="S126">
            <v>226</v>
          </cell>
          <cell r="X126">
            <v>0</v>
          </cell>
          <cell r="Y126">
            <v>0</v>
          </cell>
          <cell r="Z126">
            <v>0</v>
          </cell>
          <cell r="AC126">
            <v>0</v>
          </cell>
          <cell r="AD126">
            <v>0</v>
          </cell>
          <cell r="AE126">
            <v>0</v>
          </cell>
          <cell r="AF126">
            <v>0</v>
          </cell>
          <cell r="AG126">
            <v>0</v>
          </cell>
          <cell r="AH126">
            <v>158</v>
          </cell>
          <cell r="AI126">
            <v>64</v>
          </cell>
          <cell r="AJ126">
            <v>0</v>
          </cell>
          <cell r="AK126">
            <v>9436</v>
          </cell>
        </row>
        <row r="127">
          <cell r="AK127">
            <v>-2987.7071212121214</v>
          </cell>
          <cell r="AL127">
            <v>9526</v>
          </cell>
        </row>
        <row r="128">
          <cell r="AK128">
            <v>-2987.7071212121214</v>
          </cell>
        </row>
        <row r="129">
          <cell r="AK129">
            <v>-4268.1530303030304</v>
          </cell>
          <cell r="AL129">
            <v>8396.8666666666686</v>
          </cell>
          <cell r="AM129">
            <v>-13530.269696969699</v>
          </cell>
        </row>
        <row r="131">
          <cell r="AK131">
            <v>-1280.445909090909</v>
          </cell>
          <cell r="AO131">
            <v>0</v>
          </cell>
        </row>
        <row r="134">
          <cell r="AK134">
            <v>27258</v>
          </cell>
          <cell r="AM134">
            <v>27258</v>
          </cell>
          <cell r="AO134">
            <v>0</v>
          </cell>
          <cell r="AQ134">
            <v>0</v>
          </cell>
        </row>
        <row r="135">
          <cell r="AK135">
            <v>-13530.269696969699</v>
          </cell>
          <cell r="AO135">
            <v>0</v>
          </cell>
        </row>
        <row r="136">
          <cell r="AK136">
            <v>17.25</v>
          </cell>
          <cell r="AO136" t="e">
            <v>#DIV/0!</v>
          </cell>
        </row>
        <row r="137">
          <cell r="AK137">
            <v>25.82</v>
          </cell>
          <cell r="AO137" t="e">
            <v>#DIV/0!</v>
          </cell>
        </row>
        <row r="138">
          <cell r="AK138">
            <v>0</v>
          </cell>
          <cell r="AO138">
            <v>0</v>
          </cell>
        </row>
        <row r="140">
          <cell r="AK140">
            <v>9.61</v>
          </cell>
          <cell r="AO140" t="e">
            <v>#DIV/0!</v>
          </cell>
        </row>
        <row r="142">
          <cell r="AJ142">
            <v>0</v>
          </cell>
          <cell r="AK142">
            <v>7.49</v>
          </cell>
          <cell r="AO142" t="e">
            <v>#DIV/0!</v>
          </cell>
        </row>
        <row r="143">
          <cell r="AK143">
            <v>38020</v>
          </cell>
          <cell r="AL143">
            <v>38020</v>
          </cell>
        </row>
        <row r="145">
          <cell r="AJ145">
            <v>300</v>
          </cell>
        </row>
        <row r="146">
          <cell r="AK146">
            <v>13480</v>
          </cell>
          <cell r="AL146">
            <v>-29623.133333333331</v>
          </cell>
          <cell r="AM146">
            <v>-40788.269696969699</v>
          </cell>
        </row>
        <row r="147">
          <cell r="S147">
            <v>0</v>
          </cell>
          <cell r="AK147">
            <v>865.25</v>
          </cell>
        </row>
        <row r="149">
          <cell r="AJ149">
            <v>0</v>
          </cell>
          <cell r="AK149">
            <v>65278</v>
          </cell>
          <cell r="AL149">
            <v>38020</v>
          </cell>
          <cell r="AM149">
            <v>27258</v>
          </cell>
          <cell r="AO149">
            <v>0</v>
          </cell>
        </row>
        <row r="150">
          <cell r="AK150">
            <v>0</v>
          </cell>
        </row>
        <row r="151">
          <cell r="AK151">
            <v>65278</v>
          </cell>
          <cell r="AL151">
            <v>38020</v>
          </cell>
          <cell r="AM151">
            <v>27258</v>
          </cell>
        </row>
        <row r="152">
          <cell r="AK152">
            <v>0</v>
          </cell>
          <cell r="AO152">
            <v>2281</v>
          </cell>
          <cell r="AP152">
            <v>4868</v>
          </cell>
          <cell r="AQ152">
            <v>3793.9914329304606</v>
          </cell>
          <cell r="AR152">
            <v>10540.448368296242</v>
          </cell>
        </row>
        <row r="153">
          <cell r="AK153">
            <v>-6.1</v>
          </cell>
          <cell r="AL153">
            <v>28.3</v>
          </cell>
          <cell r="AM153">
            <v>-33.200000000000003</v>
          </cell>
        </row>
        <row r="154">
          <cell r="AK154">
            <v>19.144626324515361</v>
          </cell>
          <cell r="AL154">
            <v>-100</v>
          </cell>
          <cell r="AM154">
            <v>-100</v>
          </cell>
        </row>
        <row r="155">
          <cell r="AL155">
            <v>0</v>
          </cell>
          <cell r="AM155">
            <v>0</v>
          </cell>
        </row>
        <row r="157">
          <cell r="F157">
            <v>0</v>
          </cell>
          <cell r="P157">
            <v>0</v>
          </cell>
          <cell r="S157">
            <v>0</v>
          </cell>
          <cell r="X157">
            <v>0</v>
          </cell>
          <cell r="AC157">
            <v>0</v>
          </cell>
          <cell r="AI157">
            <v>0</v>
          </cell>
          <cell r="AJ157">
            <v>142</v>
          </cell>
          <cell r="AK157">
            <v>0</v>
          </cell>
        </row>
        <row r="158">
          <cell r="F158">
            <v>523.6</v>
          </cell>
          <cell r="P158">
            <v>650</v>
          </cell>
          <cell r="S158">
            <v>1609</v>
          </cell>
          <cell r="X158">
            <v>838</v>
          </cell>
          <cell r="AC158">
            <v>1283</v>
          </cell>
          <cell r="AF158">
            <v>652</v>
          </cell>
          <cell r="AG158">
            <v>652</v>
          </cell>
          <cell r="AH158">
            <v>0</v>
          </cell>
          <cell r="AK158">
            <v>5555.6</v>
          </cell>
        </row>
        <row r="159">
          <cell r="F159">
            <v>523.6</v>
          </cell>
          <cell r="P159">
            <v>505</v>
          </cell>
          <cell r="S159">
            <v>721</v>
          </cell>
          <cell r="X159">
            <v>468</v>
          </cell>
          <cell r="AC159">
            <v>1019</v>
          </cell>
          <cell r="AF159">
            <v>242</v>
          </cell>
          <cell r="AG159">
            <v>242</v>
          </cell>
          <cell r="AH159">
            <v>0</v>
          </cell>
          <cell r="AK159">
            <v>3236.6</v>
          </cell>
        </row>
        <row r="160">
          <cell r="F160">
            <v>523.6</v>
          </cell>
          <cell r="P160">
            <v>145</v>
          </cell>
          <cell r="S160">
            <v>145</v>
          </cell>
          <cell r="X160">
            <v>66</v>
          </cell>
          <cell r="AC160">
            <v>50</v>
          </cell>
          <cell r="AF160">
            <v>104</v>
          </cell>
          <cell r="AG160">
            <v>104</v>
          </cell>
          <cell r="AH160">
            <v>0</v>
          </cell>
          <cell r="AI160">
            <v>403</v>
          </cell>
          <cell r="AK160">
            <v>1436.6</v>
          </cell>
        </row>
        <row r="161">
          <cell r="AK161">
            <v>0</v>
          </cell>
        </row>
        <row r="162">
          <cell r="AK162">
            <v>0</v>
          </cell>
        </row>
        <row r="163">
          <cell r="F163">
            <v>14.170833333333334</v>
          </cell>
          <cell r="AK163">
            <v>14.170833333333334</v>
          </cell>
        </row>
        <row r="164">
          <cell r="P164">
            <v>89.333333333333329</v>
          </cell>
          <cell r="S164">
            <v>560</v>
          </cell>
          <cell r="X164">
            <v>300</v>
          </cell>
          <cell r="AC164">
            <v>204.36363636363637</v>
          </cell>
          <cell r="AF164">
            <v>274.27272727272725</v>
          </cell>
          <cell r="AG164">
            <v>274.27272727272725</v>
          </cell>
          <cell r="AK164">
            <v>1153.6969696969697</v>
          </cell>
        </row>
        <row r="165">
          <cell r="F165">
            <v>64.600000000000023</v>
          </cell>
          <cell r="S165">
            <v>1049</v>
          </cell>
          <cell r="X165">
            <v>538</v>
          </cell>
          <cell r="AC165">
            <v>1078.6363636363635</v>
          </cell>
          <cell r="AK165">
            <v>2730.2363636363634</v>
          </cell>
        </row>
        <row r="166">
          <cell r="S166">
            <v>1609</v>
          </cell>
          <cell r="X166">
            <v>838</v>
          </cell>
          <cell r="AC166">
            <v>1283</v>
          </cell>
        </row>
        <row r="167">
          <cell r="F167">
            <v>459</v>
          </cell>
          <cell r="P167">
            <v>0</v>
          </cell>
          <cell r="S167">
            <v>0</v>
          </cell>
          <cell r="X167">
            <v>0</v>
          </cell>
          <cell r="AC167">
            <v>0</v>
          </cell>
          <cell r="AK167">
            <v>459</v>
          </cell>
        </row>
        <row r="168">
          <cell r="S168">
            <v>0</v>
          </cell>
          <cell r="X168">
            <v>0</v>
          </cell>
          <cell r="AC168">
            <v>0</v>
          </cell>
          <cell r="AF168">
            <v>0</v>
          </cell>
          <cell r="AG168">
            <v>0</v>
          </cell>
          <cell r="AH168">
            <v>0</v>
          </cell>
          <cell r="AK168">
            <v>0</v>
          </cell>
        </row>
        <row r="169">
          <cell r="F169">
            <v>1439</v>
          </cell>
          <cell r="G169">
            <v>14937.4</v>
          </cell>
          <cell r="H169">
            <v>0</v>
          </cell>
          <cell r="P169">
            <v>630</v>
          </cell>
          <cell r="Q169">
            <v>0</v>
          </cell>
          <cell r="R169">
            <v>0</v>
          </cell>
          <cell r="S169">
            <v>1584</v>
          </cell>
          <cell r="T169">
            <v>0</v>
          </cell>
          <cell r="U169">
            <v>0</v>
          </cell>
          <cell r="V169">
            <v>0</v>
          </cell>
          <cell r="W169">
            <v>0</v>
          </cell>
          <cell r="X169">
            <v>100</v>
          </cell>
          <cell r="Y169">
            <v>17736.133333333331</v>
          </cell>
          <cell r="Z169">
            <v>0</v>
          </cell>
          <cell r="AA169">
            <v>0</v>
          </cell>
          <cell r="AB169">
            <v>0</v>
          </cell>
          <cell r="AC169">
            <v>130</v>
          </cell>
          <cell r="AD169">
            <v>14989.003030303031</v>
          </cell>
          <cell r="AE169">
            <v>0</v>
          </cell>
          <cell r="AF169">
            <v>508</v>
          </cell>
          <cell r="AG169">
            <v>350</v>
          </cell>
          <cell r="AH169">
            <v>158</v>
          </cell>
          <cell r="AI169">
            <v>118.4</v>
          </cell>
          <cell r="AJ169">
            <v>0</v>
          </cell>
          <cell r="AK169">
            <v>4451.3999999999996</v>
          </cell>
        </row>
        <row r="170">
          <cell r="F170">
            <v>1439</v>
          </cell>
          <cell r="G170">
            <v>14937.4</v>
          </cell>
          <cell r="H170">
            <v>0</v>
          </cell>
          <cell r="P170">
            <v>630</v>
          </cell>
          <cell r="Q170">
            <v>0</v>
          </cell>
          <cell r="R170">
            <v>0</v>
          </cell>
          <cell r="S170">
            <v>1584</v>
          </cell>
          <cell r="T170">
            <v>0</v>
          </cell>
          <cell r="U170">
            <v>0</v>
          </cell>
          <cell r="V170">
            <v>0</v>
          </cell>
          <cell r="W170">
            <v>0</v>
          </cell>
          <cell r="X170">
            <v>100</v>
          </cell>
          <cell r="Y170">
            <v>17736.133333333331</v>
          </cell>
          <cell r="Z170">
            <v>0</v>
          </cell>
          <cell r="AA170">
            <v>0</v>
          </cell>
          <cell r="AB170">
            <v>0</v>
          </cell>
          <cell r="AC170">
            <v>130</v>
          </cell>
          <cell r="AD170">
            <v>14989.003030303031</v>
          </cell>
          <cell r="AE170">
            <v>0</v>
          </cell>
          <cell r="AF170">
            <v>508</v>
          </cell>
          <cell r="AG170">
            <v>350</v>
          </cell>
          <cell r="AH170">
            <v>158</v>
          </cell>
          <cell r="AI170">
            <v>118.4</v>
          </cell>
          <cell r="AJ170">
            <v>0</v>
          </cell>
          <cell r="AK170">
            <v>4451.3999999999996</v>
          </cell>
        </row>
        <row r="171">
          <cell r="F171">
            <v>0</v>
          </cell>
          <cell r="G171">
            <v>0</v>
          </cell>
          <cell r="H171">
            <v>0</v>
          </cell>
          <cell r="P171">
            <v>0</v>
          </cell>
          <cell r="R171">
            <v>0</v>
          </cell>
          <cell r="S171">
            <v>0</v>
          </cell>
          <cell r="T171">
            <v>0</v>
          </cell>
          <cell r="U171">
            <v>0</v>
          </cell>
          <cell r="V171">
            <v>0</v>
          </cell>
          <cell r="W171">
            <v>0</v>
          </cell>
          <cell r="X171">
            <v>0</v>
          </cell>
          <cell r="Y171">
            <v>0</v>
          </cell>
          <cell r="Z171">
            <v>0</v>
          </cell>
          <cell r="AA171">
            <v>0</v>
          </cell>
          <cell r="AB171">
            <v>0</v>
          </cell>
          <cell r="AC171">
            <v>0</v>
          </cell>
          <cell r="AE171">
            <v>0</v>
          </cell>
          <cell r="AF171">
            <v>0</v>
          </cell>
          <cell r="AG171">
            <v>0</v>
          </cell>
          <cell r="AH171">
            <v>0</v>
          </cell>
          <cell r="AI171">
            <v>0</v>
          </cell>
          <cell r="AJ171">
            <v>0</v>
          </cell>
          <cell r="AK171">
            <v>0</v>
          </cell>
        </row>
        <row r="172">
          <cell r="F172">
            <v>0</v>
          </cell>
          <cell r="AG172">
            <v>0</v>
          </cell>
          <cell r="AK172">
            <v>0</v>
          </cell>
        </row>
        <row r="173">
          <cell r="AK173">
            <v>0</v>
          </cell>
        </row>
        <row r="174">
          <cell r="F174">
            <v>3800</v>
          </cell>
          <cell r="AK174">
            <v>3800</v>
          </cell>
        </row>
        <row r="175">
          <cell r="F175">
            <v>550</v>
          </cell>
          <cell r="P175">
            <v>794.30000000000007</v>
          </cell>
          <cell r="Q175">
            <v>0</v>
          </cell>
          <cell r="R175">
            <v>0</v>
          </cell>
          <cell r="S175">
            <v>1740.8</v>
          </cell>
          <cell r="T175">
            <v>578.8119999999999</v>
          </cell>
          <cell r="U175">
            <v>601.98800000000006</v>
          </cell>
          <cell r="V175">
            <v>0</v>
          </cell>
          <cell r="W175">
            <v>0</v>
          </cell>
          <cell r="X175">
            <v>681.8</v>
          </cell>
          <cell r="AA175">
            <v>0</v>
          </cell>
          <cell r="AB175">
            <v>0</v>
          </cell>
          <cell r="AC175">
            <v>553.70000000000005</v>
          </cell>
          <cell r="AF175">
            <v>1517.2</v>
          </cell>
          <cell r="AG175">
            <v>1434.2727272727273</v>
          </cell>
          <cell r="AH175">
            <v>82.927272727272793</v>
          </cell>
          <cell r="AJ175">
            <v>0</v>
          </cell>
          <cell r="AK175">
            <v>6007.8727272727274</v>
          </cell>
          <cell r="AO175">
            <v>263</v>
          </cell>
          <cell r="AP175">
            <v>600</v>
          </cell>
          <cell r="AQ175">
            <v>783.9666666666667</v>
          </cell>
          <cell r="AR175">
            <v>1866.9363636363637</v>
          </cell>
        </row>
        <row r="176">
          <cell r="F176">
            <v>0</v>
          </cell>
          <cell r="G176">
            <v>0</v>
          </cell>
          <cell r="H176">
            <v>0</v>
          </cell>
          <cell r="P176">
            <v>89.333333333333329</v>
          </cell>
          <cell r="Q176">
            <v>0</v>
          </cell>
          <cell r="R176">
            <v>0</v>
          </cell>
          <cell r="S176">
            <v>560</v>
          </cell>
          <cell r="T176">
            <v>0</v>
          </cell>
          <cell r="U176">
            <v>0</v>
          </cell>
          <cell r="V176">
            <v>0</v>
          </cell>
          <cell r="W176">
            <v>0</v>
          </cell>
          <cell r="X176">
            <v>300</v>
          </cell>
          <cell r="Y176">
            <v>141</v>
          </cell>
          <cell r="Z176">
            <v>159</v>
          </cell>
          <cell r="AA176">
            <v>0</v>
          </cell>
          <cell r="AB176">
            <v>0</v>
          </cell>
          <cell r="AC176">
            <v>204.36363636363637</v>
          </cell>
          <cell r="AD176">
            <v>97</v>
          </cell>
          <cell r="AE176">
            <v>107.36363636363637</v>
          </cell>
          <cell r="AF176">
            <v>274.27272727272725</v>
          </cell>
          <cell r="AG176">
            <v>274.27272727272725</v>
          </cell>
          <cell r="AH176">
            <v>0</v>
          </cell>
        </row>
        <row r="177">
          <cell r="F177">
            <v>19</v>
          </cell>
          <cell r="P177">
            <v>1.3333333333333286</v>
          </cell>
          <cell r="Q177">
            <v>0</v>
          </cell>
          <cell r="R177">
            <v>0</v>
          </cell>
          <cell r="S177">
            <v>13.666666666666666</v>
          </cell>
          <cell r="T177">
            <v>13.666666666666666</v>
          </cell>
          <cell r="U177">
            <v>0</v>
          </cell>
          <cell r="V177">
            <v>0</v>
          </cell>
          <cell r="W177">
            <v>0</v>
          </cell>
          <cell r="X177">
            <v>785.33333333333337</v>
          </cell>
          <cell r="AA177">
            <v>0</v>
          </cell>
          <cell r="AB177">
            <v>0</v>
          </cell>
          <cell r="AC177">
            <v>40.333333333333336</v>
          </cell>
          <cell r="AF177">
            <v>12.333333333333334</v>
          </cell>
          <cell r="AG177">
            <v>12</v>
          </cell>
          <cell r="AH177">
            <v>0.33333333333333331</v>
          </cell>
          <cell r="AI177">
            <v>0</v>
          </cell>
          <cell r="AJ177">
            <v>0</v>
          </cell>
          <cell r="AK177">
            <v>-408.77924242424228</v>
          </cell>
          <cell r="AO177">
            <v>385</v>
          </cell>
          <cell r="AP177">
            <v>445</v>
          </cell>
          <cell r="AQ177">
            <v>8.3333333333333286</v>
          </cell>
          <cell r="AR177">
            <v>33.333333333333329</v>
          </cell>
        </row>
        <row r="180">
          <cell r="F180">
            <v>11960.8</v>
          </cell>
          <cell r="P180">
            <v>704.3333333333336</v>
          </cell>
          <cell r="S180">
            <v>2859.1666666666665</v>
          </cell>
          <cell r="X180">
            <v>477.33333333333155</v>
          </cell>
          <cell r="AC180">
            <v>-207.66666666666805</v>
          </cell>
          <cell r="AF180">
            <v>1396.3333333333337</v>
          </cell>
          <cell r="AG180">
            <v>890.59999999999991</v>
          </cell>
          <cell r="AH180">
            <v>505.73333333333341</v>
          </cell>
          <cell r="AP180">
            <v>1507.2</v>
          </cell>
        </row>
        <row r="181">
          <cell r="AO181" t="str">
            <v>ОЧИК.18.02.</v>
          </cell>
        </row>
        <row r="184">
          <cell r="F184" t="str">
            <v>АПАРАТ ВСЬОГО</v>
          </cell>
          <cell r="G184" t="str">
            <v>АПАРАТ ЕЛЕКТРО</v>
          </cell>
          <cell r="H184" t="str">
            <v>АПАРАТ ТЕПЛО</v>
          </cell>
          <cell r="P184" t="str">
            <v>ККМ</v>
          </cell>
          <cell r="S184" t="str">
            <v>КТМ</v>
          </cell>
          <cell r="X184" t="str">
            <v>ТЕЦ-5 ВСЬОГО</v>
          </cell>
          <cell r="Y184" t="str">
            <v>Е/Е</v>
          </cell>
          <cell r="Z184" t="str">
            <v xml:space="preserve"> Т/Е</v>
          </cell>
          <cell r="AC184" t="str">
            <v>ТЕЦ-6 ВСЬОГО</v>
          </cell>
          <cell r="AD184" t="str">
            <v>Е/Е</v>
          </cell>
          <cell r="AE184" t="str">
            <v xml:space="preserve"> Т/Е</v>
          </cell>
          <cell r="AF184" t="str">
            <v>Е/Е</v>
          </cell>
          <cell r="AG184" t="str">
            <v xml:space="preserve"> Т/Е</v>
          </cell>
          <cell r="AI184" t="str">
            <v xml:space="preserve">ДОП.ВИР. </v>
          </cell>
          <cell r="AJ184" t="str">
            <v>ДОП.ВИР. СТ.ОРГ.</v>
          </cell>
          <cell r="AK184" t="str">
            <v>АК КЕ ВСЬОГО</v>
          </cell>
          <cell r="AL184" t="str">
            <v>Е/Е</v>
          </cell>
          <cell r="AM184" t="str">
            <v xml:space="preserve"> Т/Е</v>
          </cell>
          <cell r="AO184" t="str">
            <v>СТАНЦІї ЕЛЕКТРО</v>
          </cell>
          <cell r="AP184" t="str">
            <v>СТАНЦІІ ТЕПЛОВІ</v>
          </cell>
          <cell r="AQ184" t="str">
            <v>МЕРЕЖІ ЕЛЕКТРО</v>
          </cell>
          <cell r="AR184" t="str">
            <v>МЕРЕЖІ ТЕПЛОВІ</v>
          </cell>
        </row>
        <row r="187">
          <cell r="S187">
            <v>47.7</v>
          </cell>
          <cell r="X187">
            <v>75.7</v>
          </cell>
          <cell r="AC187">
            <v>66.599999999999994</v>
          </cell>
          <cell r="AK187">
            <v>190</v>
          </cell>
          <cell r="AO187">
            <v>221.49122807017542</v>
          </cell>
        </row>
        <row r="188">
          <cell r="S188">
            <v>54.5</v>
          </cell>
          <cell r="X188">
            <v>86.7</v>
          </cell>
          <cell r="AC188">
            <v>76.3</v>
          </cell>
          <cell r="AK188">
            <v>217.5</v>
          </cell>
          <cell r="AO188">
            <v>252.49999999999997</v>
          </cell>
        </row>
        <row r="189">
          <cell r="P189">
            <v>0</v>
          </cell>
          <cell r="S189">
            <v>0</v>
          </cell>
          <cell r="X189">
            <v>0</v>
          </cell>
          <cell r="AC189">
            <v>0</v>
          </cell>
          <cell r="AO189">
            <v>66</v>
          </cell>
        </row>
        <row r="190">
          <cell r="P190">
            <v>0</v>
          </cell>
          <cell r="S190">
            <v>194.5</v>
          </cell>
          <cell r="X190">
            <v>194.5</v>
          </cell>
          <cell r="AC190">
            <v>194.5</v>
          </cell>
          <cell r="AK190">
            <v>194.5</v>
          </cell>
          <cell r="AO190">
            <v>0</v>
          </cell>
        </row>
        <row r="191">
          <cell r="S191">
            <v>9278</v>
          </cell>
          <cell r="X191">
            <v>14724</v>
          </cell>
          <cell r="AC191">
            <v>12954</v>
          </cell>
          <cell r="AK191">
            <v>36955</v>
          </cell>
          <cell r="AO191">
            <v>0</v>
          </cell>
        </row>
        <row r="192">
          <cell r="AK192">
            <v>36956</v>
          </cell>
        </row>
        <row r="193">
          <cell r="X193">
            <v>0</v>
          </cell>
          <cell r="AC193">
            <v>0</v>
          </cell>
          <cell r="AK193">
            <v>0</v>
          </cell>
        </row>
        <row r="194">
          <cell r="X194">
            <v>0</v>
          </cell>
          <cell r="AC194">
            <v>0</v>
          </cell>
          <cell r="AK194">
            <v>0</v>
          </cell>
        </row>
        <row r="195">
          <cell r="X195">
            <v>82.5</v>
          </cell>
          <cell r="AC195">
            <v>82.5</v>
          </cell>
        </row>
        <row r="196">
          <cell r="X196">
            <v>0</v>
          </cell>
          <cell r="AC196">
            <v>0</v>
          </cell>
          <cell r="AK196">
            <v>0</v>
          </cell>
        </row>
        <row r="197">
          <cell r="S197">
            <v>0</v>
          </cell>
          <cell r="X197">
            <v>0</v>
          </cell>
          <cell r="AC197">
            <v>0</v>
          </cell>
          <cell r="AK197">
            <v>0</v>
          </cell>
        </row>
        <row r="199">
          <cell r="X199">
            <v>0</v>
          </cell>
          <cell r="AC199">
            <v>0</v>
          </cell>
          <cell r="AK199">
            <v>0</v>
          </cell>
          <cell r="AO199">
            <v>75.839416058394164</v>
          </cell>
        </row>
        <row r="200">
          <cell r="X200">
            <v>0</v>
          </cell>
          <cell r="AC200">
            <v>0</v>
          </cell>
          <cell r="AK200">
            <v>0</v>
          </cell>
          <cell r="AO200">
            <v>103.9</v>
          </cell>
        </row>
        <row r="201">
          <cell r="F201">
            <v>75</v>
          </cell>
          <cell r="P201">
            <v>75</v>
          </cell>
          <cell r="AJ201">
            <v>0</v>
          </cell>
          <cell r="AO201" t="e">
            <v>#DIV/0!</v>
          </cell>
          <cell r="AR201">
            <v>75</v>
          </cell>
        </row>
        <row r="202">
          <cell r="S202">
            <v>385</v>
          </cell>
          <cell r="X202">
            <v>385</v>
          </cell>
          <cell r="AC202">
            <v>385</v>
          </cell>
          <cell r="AK202">
            <v>385</v>
          </cell>
          <cell r="AO202">
            <v>195.28</v>
          </cell>
        </row>
        <row r="203">
          <cell r="S203">
            <v>0</v>
          </cell>
          <cell r="X203">
            <v>0</v>
          </cell>
          <cell r="AC203">
            <v>0</v>
          </cell>
          <cell r="AK203">
            <v>0</v>
          </cell>
          <cell r="AO203">
            <v>14810</v>
          </cell>
        </row>
        <row r="204">
          <cell r="AK204">
            <v>0</v>
          </cell>
        </row>
        <row r="205">
          <cell r="S205">
            <v>54.5</v>
          </cell>
          <cell r="X205">
            <v>86.7</v>
          </cell>
          <cell r="Y205">
            <v>40.4</v>
          </cell>
          <cell r="Z205">
            <v>46.300000000000004</v>
          </cell>
          <cell r="AC205">
            <v>76.3</v>
          </cell>
          <cell r="AD205">
            <v>35.9</v>
          </cell>
          <cell r="AE205">
            <v>40.4</v>
          </cell>
          <cell r="AK205">
            <v>217.5</v>
          </cell>
          <cell r="AL205">
            <v>76.3</v>
          </cell>
          <cell r="AM205">
            <v>141.19999999999999</v>
          </cell>
          <cell r="AO205">
            <v>356.4</v>
          </cell>
          <cell r="AP205">
            <v>74.900000000000006</v>
          </cell>
          <cell r="AQ205">
            <v>281.5</v>
          </cell>
        </row>
        <row r="206">
          <cell r="S206">
            <v>9278</v>
          </cell>
          <cell r="X206">
            <v>14724</v>
          </cell>
          <cell r="Y206">
            <v>6861</v>
          </cell>
          <cell r="Z206">
            <v>7863</v>
          </cell>
          <cell r="AA206">
            <v>7863</v>
          </cell>
          <cell r="AC206">
            <v>12954</v>
          </cell>
          <cell r="AD206">
            <v>6095</v>
          </cell>
          <cell r="AE206">
            <v>6859</v>
          </cell>
          <cell r="AK206">
            <v>36955</v>
          </cell>
          <cell r="AL206">
            <v>12956</v>
          </cell>
          <cell r="AM206">
            <v>24000</v>
          </cell>
          <cell r="AO206">
            <v>14810</v>
          </cell>
          <cell r="AP206">
            <v>3112.427048260382</v>
          </cell>
          <cell r="AQ206">
            <v>11697.572951739618</v>
          </cell>
        </row>
        <row r="207">
          <cell r="S207">
            <v>170.24</v>
          </cell>
          <cell r="X207">
            <v>169.83</v>
          </cell>
          <cell r="Y207">
            <v>169.83</v>
          </cell>
          <cell r="Z207">
            <v>169.83</v>
          </cell>
          <cell r="AC207">
            <v>169.78</v>
          </cell>
          <cell r="AD207">
            <v>169.78</v>
          </cell>
          <cell r="AE207">
            <v>169.78</v>
          </cell>
          <cell r="AI207">
            <v>0</v>
          </cell>
          <cell r="AJ207">
            <v>0</v>
          </cell>
          <cell r="AK207">
            <v>169.91</v>
          </cell>
          <cell r="AL207">
            <v>169.8</v>
          </cell>
          <cell r="AM207">
            <v>169.97</v>
          </cell>
          <cell r="AO207">
            <v>41.55</v>
          </cell>
          <cell r="AP207">
            <v>41.55</v>
          </cell>
          <cell r="AQ207">
            <v>41.55</v>
          </cell>
          <cell r="AR207">
            <v>0</v>
          </cell>
        </row>
        <row r="208">
          <cell r="AM208">
            <v>0</v>
          </cell>
          <cell r="AO208">
            <v>52</v>
          </cell>
          <cell r="AP208">
            <v>52</v>
          </cell>
        </row>
        <row r="209">
          <cell r="X209">
            <v>14724</v>
          </cell>
          <cell r="AC209">
            <v>12954</v>
          </cell>
          <cell r="AK209">
            <v>36955</v>
          </cell>
          <cell r="AL209">
            <v>12956</v>
          </cell>
          <cell r="AM209">
            <v>23999</v>
          </cell>
          <cell r="AO209">
            <v>14862</v>
          </cell>
          <cell r="AP209">
            <v>3164.427048260382</v>
          </cell>
          <cell r="AQ209">
            <v>11697.572951739618</v>
          </cell>
        </row>
        <row r="211">
          <cell r="AK211">
            <v>36956</v>
          </cell>
        </row>
        <row r="218">
          <cell r="G218" t="str">
            <v>Б.В.ЯЩЕНКО</v>
          </cell>
        </row>
        <row r="219">
          <cell r="G219" t="str">
            <v>М.В.ТЕРПИЛО</v>
          </cell>
        </row>
        <row r="220">
          <cell r="G220" t="str">
            <v xml:space="preserve">В.І.МИРГОРОДСЬКИЙ                                  </v>
          </cell>
        </row>
        <row r="221">
          <cell r="G221" t="str">
            <v xml:space="preserve">М.І.ШЕВЧЕНКО                                 </v>
          </cell>
        </row>
        <row r="222">
          <cell r="G222" t="str">
            <v>В.Ю.МОНТЬЕВ</v>
          </cell>
        </row>
        <row r="223">
          <cell r="G223" t="str">
            <v xml:space="preserve">О.М.НИКОЛЕНКО      </v>
          </cell>
        </row>
        <row r="227">
          <cell r="AP227">
            <v>1507.2</v>
          </cell>
        </row>
        <row r="242">
          <cell r="AG242" t="str">
            <v xml:space="preserve">         Затверджую</v>
          </cell>
        </row>
        <row r="243">
          <cell r="AG243" t="str">
            <v xml:space="preserve"> Голова правління </v>
          </cell>
        </row>
        <row r="244">
          <cell r="AG244" t="str">
            <v xml:space="preserve">                        І.В.Плачков</v>
          </cell>
        </row>
        <row r="245">
          <cell r="AG245" t="str">
            <v xml:space="preserve">   "_____" ________2000 р.</v>
          </cell>
        </row>
        <row r="249">
          <cell r="F249" t="str">
            <v>РОЗРАХУНОК ФІНАНСОВИХ ПОТОКІВ НА   березень  2000 року</v>
          </cell>
        </row>
        <row r="250">
          <cell r="F250" t="str">
            <v>ПО ФІЛІАЛАХ АК КИЇВЕНЕРГО</v>
          </cell>
        </row>
        <row r="255">
          <cell r="AI255" t="str">
            <v>ТИС.ГРН.</v>
          </cell>
          <cell r="AK255" t="str">
            <v>тис.грн.</v>
          </cell>
        </row>
        <row r="256">
          <cell r="F256" t="str">
            <v>ВИКОН.ДИР.</v>
          </cell>
          <cell r="G256" t="str">
            <v>АПАРАТ ЕЛЕКТРО</v>
          </cell>
          <cell r="H256" t="str">
            <v>АПАРАТ ТЕПЛО</v>
          </cell>
          <cell r="P256" t="str">
            <v>КМ</v>
          </cell>
          <cell r="Q256" t="str">
            <v>ТМ</v>
          </cell>
          <cell r="S256" t="str">
            <v>КТМ</v>
          </cell>
          <cell r="T256" t="str">
            <v>ВИРОБН</v>
          </cell>
          <cell r="U256" t="str">
            <v>ПЕРЕД</v>
          </cell>
          <cell r="X256" t="str">
            <v>ТЕЦ-5 ВСЬОГО</v>
          </cell>
          <cell r="Y256" t="str">
            <v>Е/Е</v>
          </cell>
          <cell r="Z256" t="str">
            <v xml:space="preserve"> Т/Е</v>
          </cell>
          <cell r="AC256" t="str">
            <v>ТЕЦ-6 ВСЬОГО</v>
          </cell>
          <cell r="AD256" t="str">
            <v>Е/Е</v>
          </cell>
          <cell r="AE256" t="str">
            <v xml:space="preserve"> Т/Е</v>
          </cell>
          <cell r="AF256" t="str">
            <v>ТРМ ВСЬОГО</v>
          </cell>
          <cell r="AG256" t="str">
            <v>ТРМ  АК КЕ</v>
          </cell>
          <cell r="AH256" t="str">
            <v>ТРМ СТОР</v>
          </cell>
          <cell r="AI256" t="str">
            <v xml:space="preserve">ДОП.ВИР. </v>
          </cell>
          <cell r="AJ256" t="str">
            <v>ДОП.ВИР. СТ.ОРГ.</v>
          </cell>
          <cell r="AK256" t="str">
            <v>АК КЕ осн.вир.</v>
          </cell>
          <cell r="AL256" t="str">
            <v>АК КЕ ВСЬОГО</v>
          </cell>
          <cell r="AM256" t="str">
            <v xml:space="preserve"> Т/Е</v>
          </cell>
          <cell r="AO256" t="str">
            <v>СТАНЦІї ЕЛЕКТРО</v>
          </cell>
          <cell r="AP256" t="str">
            <v>СТАНЦІІ ТЕПЛОВІ</v>
          </cell>
          <cell r="AQ256" t="str">
            <v>МЕРЕЖІ ЕЛЕКТРО</v>
          </cell>
          <cell r="AR256" t="str">
            <v>МЕРЕЖІ ТЕПЛОВІ</v>
          </cell>
        </row>
        <row r="257">
          <cell r="F257">
            <v>5557.4</v>
          </cell>
          <cell r="P257">
            <v>2690.6333333333337</v>
          </cell>
          <cell r="S257">
            <v>7246.6333333333332</v>
          </cell>
          <cell r="X257">
            <v>2582.4666666666649</v>
          </cell>
          <cell r="AC257">
            <v>1595.0030303030289</v>
          </cell>
          <cell r="AF257">
            <v>3811.5939393939398</v>
          </cell>
          <cell r="AG257">
            <v>3064.6</v>
          </cell>
          <cell r="AH257">
            <v>746.99393939393951</v>
          </cell>
          <cell r="AJ257">
            <v>7599</v>
          </cell>
          <cell r="AK257">
            <v>24529.730303030297</v>
          </cell>
        </row>
        <row r="259">
          <cell r="F259">
            <v>21632</v>
          </cell>
          <cell r="G259">
            <v>1618</v>
          </cell>
          <cell r="H259">
            <v>3555.4</v>
          </cell>
          <cell r="P259">
            <v>2690.6333333333337</v>
          </cell>
          <cell r="Q259">
            <v>0</v>
          </cell>
          <cell r="R259">
            <v>0</v>
          </cell>
          <cell r="S259">
            <v>7246.6333333333332</v>
          </cell>
          <cell r="T259">
            <v>3032.0786666666681</v>
          </cell>
          <cell r="U259">
            <v>2816.5546666666669</v>
          </cell>
          <cell r="V259">
            <v>0</v>
          </cell>
          <cell r="W259">
            <v>0</v>
          </cell>
          <cell r="X259">
            <v>2582.4666666666649</v>
          </cell>
          <cell r="Y259">
            <v>1155</v>
          </cell>
          <cell r="Z259">
            <v>1327.4666666666649</v>
          </cell>
          <cell r="AA259">
            <v>0</v>
          </cell>
          <cell r="AB259">
            <v>0</v>
          </cell>
          <cell r="AC259">
            <v>1595.0030303030289</v>
          </cell>
          <cell r="AD259">
            <v>690</v>
          </cell>
          <cell r="AE259">
            <v>775.00303030303076</v>
          </cell>
          <cell r="AF259">
            <v>3811.5939393939398</v>
          </cell>
          <cell r="AG259">
            <v>3064.6</v>
          </cell>
          <cell r="AH259">
            <v>746.99393939393951</v>
          </cell>
          <cell r="AI259">
            <v>847.2</v>
          </cell>
          <cell r="AJ259">
            <v>0</v>
          </cell>
          <cell r="AK259">
            <v>84360.203030303033</v>
          </cell>
          <cell r="AM259">
            <v>66143.25</v>
          </cell>
        </row>
        <row r="260">
          <cell r="F260">
            <v>14152.066666666669</v>
          </cell>
          <cell r="G260">
            <v>1473</v>
          </cell>
          <cell r="H260">
            <v>3150.4</v>
          </cell>
          <cell r="P260">
            <v>892.00000000000045</v>
          </cell>
          <cell r="S260">
            <v>2623</v>
          </cell>
          <cell r="T260">
            <v>2273.1066666666684</v>
          </cell>
          <cell r="U260">
            <v>1268.7266666666667</v>
          </cell>
          <cell r="X260">
            <v>1222.6666666666649</v>
          </cell>
          <cell r="Y260">
            <v>731</v>
          </cell>
          <cell r="Z260">
            <v>839.99999999999841</v>
          </cell>
          <cell r="AC260">
            <v>-224.33333333333462</v>
          </cell>
          <cell r="AD260">
            <v>257</v>
          </cell>
          <cell r="AE260">
            <v>288.66666666666714</v>
          </cell>
          <cell r="AF260">
            <v>934.06666666666706</v>
          </cell>
          <cell r="AG260">
            <v>736</v>
          </cell>
          <cell r="AH260">
            <v>198.06666666666672</v>
          </cell>
          <cell r="AI260">
            <v>229.20000000000005</v>
          </cell>
          <cell r="AJ260">
            <v>-2455</v>
          </cell>
          <cell r="AK260">
            <v>69656.672727272729</v>
          </cell>
          <cell r="AM260">
            <v>19211.600000000002</v>
          </cell>
        </row>
        <row r="261">
          <cell r="F261">
            <v>60595.933333333334</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K261">
            <v>60595.933333333334</v>
          </cell>
        </row>
        <row r="262">
          <cell r="F262">
            <v>36956</v>
          </cell>
          <cell r="AK262">
            <v>36956</v>
          </cell>
        </row>
        <row r="263">
          <cell r="F263">
            <v>9777</v>
          </cell>
          <cell r="AK263">
            <v>9777</v>
          </cell>
        </row>
        <row r="264">
          <cell r="F264">
            <v>9162.9333333333343</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K264">
            <v>9162.9333333333343</v>
          </cell>
        </row>
        <row r="265">
          <cell r="F265">
            <v>770.33333333333337</v>
          </cell>
          <cell r="AK265">
            <v>770.33333333333337</v>
          </cell>
        </row>
        <row r="266">
          <cell r="F266">
            <v>0</v>
          </cell>
          <cell r="AK266">
            <v>0</v>
          </cell>
        </row>
        <row r="267">
          <cell r="F267">
            <v>3639.6</v>
          </cell>
          <cell r="AK267">
            <v>3639.6</v>
          </cell>
        </row>
        <row r="268">
          <cell r="F268">
            <v>3500</v>
          </cell>
          <cell r="AK268">
            <v>3500</v>
          </cell>
        </row>
        <row r="269">
          <cell r="F269">
            <v>0</v>
          </cell>
          <cell r="AK269">
            <v>0</v>
          </cell>
        </row>
        <row r="270">
          <cell r="F270">
            <v>1253</v>
          </cell>
          <cell r="P270">
            <v>0</v>
          </cell>
          <cell r="S270">
            <v>0</v>
          </cell>
          <cell r="X270">
            <v>0</v>
          </cell>
          <cell r="AC270">
            <v>0</v>
          </cell>
          <cell r="AF270">
            <v>0</v>
          </cell>
          <cell r="AG270">
            <v>0</v>
          </cell>
          <cell r="AH270">
            <v>0</v>
          </cell>
          <cell r="AI270">
            <v>0</v>
          </cell>
          <cell r="AK270">
            <v>1253</v>
          </cell>
        </row>
        <row r="271">
          <cell r="F271">
            <v>4595</v>
          </cell>
          <cell r="AK271">
            <v>4595</v>
          </cell>
        </row>
        <row r="272">
          <cell r="F272">
            <v>105</v>
          </cell>
          <cell r="P272">
            <v>0</v>
          </cell>
          <cell r="S272">
            <v>0</v>
          </cell>
          <cell r="X272">
            <v>0</v>
          </cell>
          <cell r="AC272">
            <v>0</v>
          </cell>
          <cell r="AF272">
            <v>0</v>
          </cell>
          <cell r="AG272">
            <v>0</v>
          </cell>
          <cell r="AH272">
            <v>0</v>
          </cell>
          <cell r="AI272">
            <v>0</v>
          </cell>
          <cell r="AK272">
            <v>105</v>
          </cell>
        </row>
        <row r="273">
          <cell r="F273">
            <v>66153.333333333328</v>
          </cell>
          <cell r="P273">
            <v>2690.6333333333337</v>
          </cell>
          <cell r="Q273">
            <v>0</v>
          </cell>
          <cell r="R273">
            <v>0</v>
          </cell>
          <cell r="S273">
            <v>7246.6333333333332</v>
          </cell>
          <cell r="T273">
            <v>0</v>
          </cell>
          <cell r="U273">
            <v>0</v>
          </cell>
          <cell r="V273">
            <v>0</v>
          </cell>
          <cell r="W273">
            <v>0</v>
          </cell>
          <cell r="X273">
            <v>2582.4666666666649</v>
          </cell>
          <cell r="Y273">
            <v>0</v>
          </cell>
          <cell r="Z273">
            <v>0</v>
          </cell>
          <cell r="AA273">
            <v>0</v>
          </cell>
          <cell r="AB273">
            <v>0</v>
          </cell>
          <cell r="AC273">
            <v>1595.0030303030289</v>
          </cell>
          <cell r="AD273">
            <v>0</v>
          </cell>
          <cell r="AE273">
            <v>0</v>
          </cell>
          <cell r="AF273">
            <v>3811.5939393939398</v>
          </cell>
          <cell r="AG273">
            <v>3064.6</v>
          </cell>
          <cell r="AH273">
            <v>746.99393939393951</v>
          </cell>
          <cell r="AI273">
            <v>0</v>
          </cell>
          <cell r="AK273">
            <v>85125.663636363606</v>
          </cell>
        </row>
        <row r="274">
          <cell r="F274">
            <v>2114.6</v>
          </cell>
          <cell r="P274">
            <v>1527.9666666666669</v>
          </cell>
          <cell r="Q274">
            <v>0</v>
          </cell>
          <cell r="R274">
            <v>0</v>
          </cell>
          <cell r="S274">
            <v>4128.3</v>
          </cell>
          <cell r="T274">
            <v>592.47866666666653</v>
          </cell>
          <cell r="U274">
            <v>601.98800000000006</v>
          </cell>
          <cell r="V274">
            <v>0</v>
          </cell>
          <cell r="W274">
            <v>0</v>
          </cell>
          <cell r="X274">
            <v>1710.8</v>
          </cell>
          <cell r="Y274">
            <v>530</v>
          </cell>
          <cell r="Z274">
            <v>608.79999999999995</v>
          </cell>
          <cell r="AA274">
            <v>0</v>
          </cell>
          <cell r="AB274">
            <v>0</v>
          </cell>
          <cell r="AC274">
            <v>840.03333333333342</v>
          </cell>
          <cell r="AD274">
            <v>171</v>
          </cell>
          <cell r="AE274">
            <v>191.66969696969696</v>
          </cell>
          <cell r="AF274">
            <v>2708.1333333333332</v>
          </cell>
          <cell r="AG274">
            <v>2158.8727272727274</v>
          </cell>
          <cell r="AH274">
            <v>549.26060606060616</v>
          </cell>
          <cell r="AI274">
            <v>618</v>
          </cell>
          <cell r="AK274">
            <v>13758.833333333332</v>
          </cell>
        </row>
        <row r="275">
          <cell r="F275">
            <v>550</v>
          </cell>
          <cell r="G275">
            <v>145</v>
          </cell>
          <cell r="H275">
            <v>405</v>
          </cell>
          <cell r="P275">
            <v>794.30000000000007</v>
          </cell>
          <cell r="S275">
            <v>1740.8</v>
          </cell>
          <cell r="T275">
            <v>578.8119999999999</v>
          </cell>
          <cell r="U275">
            <v>601.98800000000006</v>
          </cell>
          <cell r="X275">
            <v>681.8</v>
          </cell>
          <cell r="Y275">
            <v>177</v>
          </cell>
          <cell r="Z275">
            <v>204.8</v>
          </cell>
          <cell r="AC275">
            <v>553.70000000000005</v>
          </cell>
          <cell r="AD275">
            <v>165</v>
          </cell>
          <cell r="AE275">
            <v>184.33636363636361</v>
          </cell>
          <cell r="AF275">
            <v>1517.2</v>
          </cell>
          <cell r="AG275">
            <v>1434.2727272727273</v>
          </cell>
          <cell r="AH275">
            <v>82.927272727272793</v>
          </cell>
          <cell r="AI275">
            <v>377</v>
          </cell>
          <cell r="AK275">
            <v>6090.8</v>
          </cell>
        </row>
        <row r="276">
          <cell r="F276">
            <v>0</v>
          </cell>
          <cell r="P276">
            <v>0</v>
          </cell>
          <cell r="Q276">
            <v>0</v>
          </cell>
          <cell r="R276">
            <v>0</v>
          </cell>
          <cell r="S276">
            <v>13.666666666666666</v>
          </cell>
          <cell r="T276">
            <v>13.666666666666666</v>
          </cell>
          <cell r="U276">
            <v>0</v>
          </cell>
          <cell r="V276">
            <v>0</v>
          </cell>
          <cell r="W276">
            <v>0</v>
          </cell>
          <cell r="X276">
            <v>757</v>
          </cell>
          <cell r="Y276">
            <v>353</v>
          </cell>
          <cell r="Z276">
            <v>404</v>
          </cell>
          <cell r="AA276">
            <v>0</v>
          </cell>
          <cell r="AB276">
            <v>0</v>
          </cell>
          <cell r="AC276">
            <v>-0.66666666666666607</v>
          </cell>
          <cell r="AD276">
            <v>6</v>
          </cell>
          <cell r="AE276">
            <v>7.3333333333333339</v>
          </cell>
          <cell r="AF276">
            <v>0.33333333333333331</v>
          </cell>
          <cell r="AG276">
            <v>0</v>
          </cell>
          <cell r="AH276">
            <v>0.33333333333333331</v>
          </cell>
          <cell r="AI276">
            <v>0</v>
          </cell>
          <cell r="AK276">
            <v>770.33333333333337</v>
          </cell>
        </row>
        <row r="277">
          <cell r="F277">
            <v>1556.6</v>
          </cell>
          <cell r="P277">
            <v>711</v>
          </cell>
          <cell r="Q277">
            <v>0</v>
          </cell>
          <cell r="R277">
            <v>0</v>
          </cell>
          <cell r="S277">
            <v>975.83333333333326</v>
          </cell>
          <cell r="T277">
            <v>0</v>
          </cell>
          <cell r="U277">
            <v>0</v>
          </cell>
          <cell r="V277">
            <v>0</v>
          </cell>
          <cell r="W277">
            <v>0</v>
          </cell>
          <cell r="X277">
            <v>256</v>
          </cell>
          <cell r="Y277">
            <v>0</v>
          </cell>
          <cell r="Z277">
            <v>0</v>
          </cell>
          <cell r="AA277">
            <v>0</v>
          </cell>
          <cell r="AB277">
            <v>0</v>
          </cell>
          <cell r="AC277">
            <v>240</v>
          </cell>
          <cell r="AD277">
            <v>0</v>
          </cell>
          <cell r="AE277">
            <v>0</v>
          </cell>
          <cell r="AF277">
            <v>515.6</v>
          </cell>
          <cell r="AG277">
            <v>483.6</v>
          </cell>
          <cell r="AH277">
            <v>32</v>
          </cell>
          <cell r="AI277">
            <v>0</v>
          </cell>
          <cell r="AK277">
            <v>4289.0333333333338</v>
          </cell>
        </row>
        <row r="278">
          <cell r="F278">
            <v>160</v>
          </cell>
          <cell r="P278">
            <v>56</v>
          </cell>
          <cell r="S278">
            <v>400.83333333333331</v>
          </cell>
          <cell r="X278">
            <v>60</v>
          </cell>
          <cell r="AC278">
            <v>40</v>
          </cell>
          <cell r="AF278">
            <v>236</v>
          </cell>
          <cell r="AG278">
            <v>204</v>
          </cell>
          <cell r="AH278">
            <v>32</v>
          </cell>
          <cell r="AI278">
            <v>0</v>
          </cell>
          <cell r="AK278">
            <v>986.83333333333326</v>
          </cell>
        </row>
        <row r="279">
          <cell r="F279">
            <v>813</v>
          </cell>
          <cell r="P279">
            <v>10</v>
          </cell>
          <cell r="S279">
            <v>0</v>
          </cell>
          <cell r="X279">
            <v>30</v>
          </cell>
          <cell r="AC279">
            <v>20</v>
          </cell>
          <cell r="AF279">
            <v>25.6</v>
          </cell>
          <cell r="AG279">
            <v>25.6</v>
          </cell>
          <cell r="AH279">
            <v>0</v>
          </cell>
          <cell r="AI279">
            <v>0</v>
          </cell>
          <cell r="AK279">
            <v>898.6</v>
          </cell>
        </row>
        <row r="280">
          <cell r="F280">
            <v>60</v>
          </cell>
          <cell r="P280">
            <v>500</v>
          </cell>
          <cell r="S280">
            <v>430</v>
          </cell>
          <cell r="X280">
            <v>100</v>
          </cell>
          <cell r="AC280">
            <v>130</v>
          </cell>
          <cell r="AF280">
            <v>150</v>
          </cell>
          <cell r="AG280">
            <v>150</v>
          </cell>
          <cell r="AK280">
            <v>1370</v>
          </cell>
        </row>
        <row r="281">
          <cell r="F281">
            <v>523.6</v>
          </cell>
          <cell r="P281">
            <v>145</v>
          </cell>
          <cell r="S281">
            <v>145</v>
          </cell>
          <cell r="X281">
            <v>66</v>
          </cell>
          <cell r="AC281">
            <v>50</v>
          </cell>
          <cell r="AF281">
            <v>104</v>
          </cell>
          <cell r="AG281">
            <v>104</v>
          </cell>
          <cell r="AH281">
            <v>0</v>
          </cell>
          <cell r="AK281">
            <v>1033.5999999999999</v>
          </cell>
        </row>
        <row r="282">
          <cell r="F282">
            <v>8</v>
          </cell>
          <cell r="P282">
            <v>22.666666666666668</v>
          </cell>
          <cell r="Q282">
            <v>0</v>
          </cell>
          <cell r="R282">
            <v>0</v>
          </cell>
          <cell r="S282">
            <v>1148</v>
          </cell>
          <cell r="T282">
            <v>0</v>
          </cell>
          <cell r="U282">
            <v>0</v>
          </cell>
          <cell r="V282">
            <v>0</v>
          </cell>
          <cell r="W282">
            <v>0</v>
          </cell>
          <cell r="X282">
            <v>16</v>
          </cell>
          <cell r="Y282">
            <v>0</v>
          </cell>
          <cell r="Z282">
            <v>0</v>
          </cell>
          <cell r="AA282">
            <v>0</v>
          </cell>
          <cell r="AB282">
            <v>0</v>
          </cell>
          <cell r="AC282">
            <v>47</v>
          </cell>
          <cell r="AD282">
            <v>0</v>
          </cell>
          <cell r="AE282">
            <v>0</v>
          </cell>
          <cell r="AF282">
            <v>675</v>
          </cell>
          <cell r="AG282">
            <v>241</v>
          </cell>
          <cell r="AH282">
            <v>434</v>
          </cell>
          <cell r="AI282">
            <v>241</v>
          </cell>
          <cell r="AK282">
            <v>2358.666666666667</v>
          </cell>
        </row>
        <row r="283">
          <cell r="F283">
            <v>0</v>
          </cell>
          <cell r="P283">
            <v>1</v>
          </cell>
          <cell r="S283">
            <v>0</v>
          </cell>
          <cell r="X283">
            <v>16</v>
          </cell>
          <cell r="AC283">
            <v>47</v>
          </cell>
          <cell r="AF283">
            <v>0</v>
          </cell>
          <cell r="AG283">
            <v>0</v>
          </cell>
          <cell r="AH283">
            <v>0</v>
          </cell>
          <cell r="AI283">
            <v>0</v>
          </cell>
          <cell r="AK283">
            <v>64</v>
          </cell>
        </row>
        <row r="284">
          <cell r="F284">
            <v>8</v>
          </cell>
          <cell r="P284">
            <v>21.666666666666668</v>
          </cell>
          <cell r="S284">
            <v>1148</v>
          </cell>
          <cell r="X284">
            <v>0</v>
          </cell>
          <cell r="AC284">
            <v>0</v>
          </cell>
          <cell r="AF284">
            <v>675</v>
          </cell>
          <cell r="AG284">
            <v>241</v>
          </cell>
          <cell r="AH284">
            <v>434</v>
          </cell>
          <cell r="AI284">
            <v>241</v>
          </cell>
          <cell r="AK284">
            <v>1852.6666666666667</v>
          </cell>
        </row>
        <row r="285">
          <cell r="AK285">
            <v>442</v>
          </cell>
        </row>
        <row r="286">
          <cell r="S286">
            <v>250</v>
          </cell>
          <cell r="AH286">
            <v>0</v>
          </cell>
          <cell r="AI286">
            <v>0</v>
          </cell>
          <cell r="AK286">
            <v>250</v>
          </cell>
        </row>
        <row r="287">
          <cell r="F287">
            <v>64038.73333333333</v>
          </cell>
          <cell r="P287">
            <v>1162.6666666666667</v>
          </cell>
          <cell r="Q287">
            <v>0</v>
          </cell>
          <cell r="R287">
            <v>0</v>
          </cell>
          <cell r="S287">
            <v>3118.333333333333</v>
          </cell>
          <cell r="T287">
            <v>-592.47866666666653</v>
          </cell>
          <cell r="U287">
            <v>-601.98800000000006</v>
          </cell>
          <cell r="V287">
            <v>0</v>
          </cell>
          <cell r="W287">
            <v>0</v>
          </cell>
          <cell r="X287">
            <v>871.66666666666492</v>
          </cell>
          <cell r="Y287">
            <v>-530</v>
          </cell>
          <cell r="Z287">
            <v>-608.79999999999995</v>
          </cell>
          <cell r="AA287">
            <v>0</v>
          </cell>
          <cell r="AB287">
            <v>0</v>
          </cell>
          <cell r="AC287">
            <v>754.96969696969552</v>
          </cell>
          <cell r="AD287">
            <v>-171</v>
          </cell>
          <cell r="AE287">
            <v>-191.66969696969696</v>
          </cell>
          <cell r="AF287">
            <v>1103.4606060606066</v>
          </cell>
          <cell r="AG287">
            <v>905.72727272727252</v>
          </cell>
          <cell r="AH287">
            <v>197.73333333333335</v>
          </cell>
          <cell r="AI287">
            <v>-618</v>
          </cell>
          <cell r="AK287">
            <v>71366.830303030292</v>
          </cell>
        </row>
        <row r="288">
          <cell r="AK288">
            <v>0</v>
          </cell>
        </row>
        <row r="289">
          <cell r="F289">
            <v>4117</v>
          </cell>
          <cell r="P289">
            <v>1085.6666666666667</v>
          </cell>
          <cell r="Q289">
            <v>0</v>
          </cell>
          <cell r="R289">
            <v>0</v>
          </cell>
          <cell r="S289">
            <v>2811.3333333333335</v>
          </cell>
          <cell r="T289">
            <v>0</v>
          </cell>
          <cell r="U289">
            <v>0</v>
          </cell>
          <cell r="V289">
            <v>0</v>
          </cell>
          <cell r="W289">
            <v>0</v>
          </cell>
          <cell r="X289">
            <v>871.66666666666663</v>
          </cell>
          <cell r="Y289">
            <v>0</v>
          </cell>
          <cell r="Z289">
            <v>0</v>
          </cell>
          <cell r="AA289">
            <v>0</v>
          </cell>
          <cell r="AB289">
            <v>0</v>
          </cell>
          <cell r="AC289">
            <v>1254.30303030303</v>
          </cell>
          <cell r="AD289">
            <v>0</v>
          </cell>
          <cell r="AE289">
            <v>0</v>
          </cell>
          <cell r="AF289">
            <v>1103.4606060606061</v>
          </cell>
          <cell r="AG289">
            <v>747.72727272727275</v>
          </cell>
          <cell r="AH289">
            <v>355.73333333333335</v>
          </cell>
          <cell r="AI289">
            <v>283.60000000000002</v>
          </cell>
          <cell r="AK289">
            <v>11551.430303030302</v>
          </cell>
        </row>
        <row r="290">
          <cell r="F290">
            <v>1439</v>
          </cell>
          <cell r="P290">
            <v>130</v>
          </cell>
          <cell r="S290">
            <v>904</v>
          </cell>
          <cell r="X290">
            <v>0</v>
          </cell>
          <cell r="AC290">
            <v>0</v>
          </cell>
          <cell r="AF290">
            <v>358</v>
          </cell>
          <cell r="AG290">
            <v>200</v>
          </cell>
          <cell r="AH290">
            <v>158</v>
          </cell>
          <cell r="AI290">
            <v>118.4</v>
          </cell>
          <cell r="AK290">
            <v>2931</v>
          </cell>
        </row>
        <row r="291">
          <cell r="F291">
            <v>523.6</v>
          </cell>
          <cell r="P291">
            <v>415.66666666666663</v>
          </cell>
          <cell r="Q291">
            <v>0</v>
          </cell>
          <cell r="R291">
            <v>0</v>
          </cell>
          <cell r="S291">
            <v>904</v>
          </cell>
          <cell r="T291">
            <v>0</v>
          </cell>
          <cell r="U291">
            <v>0</v>
          </cell>
          <cell r="V291">
            <v>0</v>
          </cell>
          <cell r="W291">
            <v>0</v>
          </cell>
          <cell r="X291">
            <v>472</v>
          </cell>
          <cell r="Y291">
            <v>0</v>
          </cell>
          <cell r="Z291">
            <v>0</v>
          </cell>
          <cell r="AA291">
            <v>0</v>
          </cell>
          <cell r="AB291">
            <v>0</v>
          </cell>
          <cell r="AC291">
            <v>1028.6363636363635</v>
          </cell>
          <cell r="AD291">
            <v>0</v>
          </cell>
          <cell r="AE291">
            <v>0</v>
          </cell>
          <cell r="AF291">
            <v>273.72727272727275</v>
          </cell>
          <cell r="AG291">
            <v>273.72727272727275</v>
          </cell>
          <cell r="AH291">
            <v>0</v>
          </cell>
          <cell r="AI291">
            <v>0</v>
          </cell>
          <cell r="AK291">
            <v>3617.6303030303025</v>
          </cell>
        </row>
        <row r="292">
          <cell r="F292">
            <v>0</v>
          </cell>
          <cell r="P292">
            <v>0</v>
          </cell>
          <cell r="S292">
            <v>0</v>
          </cell>
          <cell r="X292">
            <v>0</v>
          </cell>
          <cell r="AC292">
            <v>0</v>
          </cell>
          <cell r="AF292">
            <v>0</v>
          </cell>
          <cell r="AG292">
            <v>0</v>
          </cell>
          <cell r="AH292">
            <v>0</v>
          </cell>
          <cell r="AI292">
            <v>0</v>
          </cell>
          <cell r="AK292">
            <v>0</v>
          </cell>
        </row>
        <row r="293">
          <cell r="F293">
            <v>0</v>
          </cell>
          <cell r="P293">
            <v>0</v>
          </cell>
          <cell r="S293">
            <v>0</v>
          </cell>
          <cell r="X293">
            <v>0</v>
          </cell>
          <cell r="AC293">
            <v>0</v>
          </cell>
          <cell r="AF293">
            <v>0</v>
          </cell>
          <cell r="AG293">
            <v>0</v>
          </cell>
          <cell r="AH293">
            <v>0</v>
          </cell>
          <cell r="AI293">
            <v>0</v>
          </cell>
          <cell r="AK293">
            <v>0</v>
          </cell>
        </row>
        <row r="294">
          <cell r="F294">
            <v>2135.4</v>
          </cell>
          <cell r="P294">
            <v>538.66666666666674</v>
          </cell>
          <cell r="Q294">
            <v>0</v>
          </cell>
          <cell r="R294">
            <v>0</v>
          </cell>
          <cell r="S294">
            <v>1003.3333333333334</v>
          </cell>
          <cell r="T294">
            <v>0</v>
          </cell>
          <cell r="U294">
            <v>0</v>
          </cell>
          <cell r="V294">
            <v>0</v>
          </cell>
          <cell r="W294">
            <v>0</v>
          </cell>
          <cell r="X294">
            <v>371.33333333333331</v>
          </cell>
          <cell r="Y294">
            <v>0</v>
          </cell>
          <cell r="Z294">
            <v>0</v>
          </cell>
          <cell r="AA294">
            <v>0</v>
          </cell>
          <cell r="AB294">
            <v>0</v>
          </cell>
          <cell r="AC294">
            <v>198.66666666666663</v>
          </cell>
          <cell r="AD294">
            <v>0</v>
          </cell>
          <cell r="AE294">
            <v>0</v>
          </cell>
          <cell r="AF294">
            <v>459.73333333333335</v>
          </cell>
          <cell r="AG294">
            <v>262</v>
          </cell>
          <cell r="AH294">
            <v>197.73333333333332</v>
          </cell>
          <cell r="AI294">
            <v>165.2</v>
          </cell>
          <cell r="AK294">
            <v>4915.1333333333341</v>
          </cell>
        </row>
        <row r="295">
          <cell r="F295">
            <v>39</v>
          </cell>
          <cell r="P295">
            <v>393</v>
          </cell>
          <cell r="S295">
            <v>382.50000000000006</v>
          </cell>
          <cell r="X295">
            <v>98</v>
          </cell>
          <cell r="AC295">
            <v>29.333333333333314</v>
          </cell>
          <cell r="AF295">
            <v>44.4</v>
          </cell>
          <cell r="AG295">
            <v>-20.6</v>
          </cell>
          <cell r="AH295">
            <v>65</v>
          </cell>
          <cell r="AI295">
            <v>70</v>
          </cell>
          <cell r="AK295">
            <v>1181.2333333333333</v>
          </cell>
        </row>
        <row r="296">
          <cell r="F296">
            <v>2</v>
          </cell>
          <cell r="P296">
            <v>53.666666666666664</v>
          </cell>
          <cell r="S296">
            <v>355</v>
          </cell>
          <cell r="X296">
            <v>193.66666666666663</v>
          </cell>
          <cell r="AC296">
            <v>84.333333333333329</v>
          </cell>
          <cell r="AF296">
            <v>189</v>
          </cell>
          <cell r="AG296">
            <v>110</v>
          </cell>
          <cell r="AH296">
            <v>79.000000000000014</v>
          </cell>
          <cell r="AI296">
            <v>36</v>
          </cell>
          <cell r="AK296">
            <v>878.66666666666663</v>
          </cell>
        </row>
        <row r="297">
          <cell r="F297">
            <v>2094.4</v>
          </cell>
          <cell r="P297">
            <v>92</v>
          </cell>
          <cell r="S297">
            <v>265.83333333333337</v>
          </cell>
          <cell r="X297">
            <v>79.666666666666671</v>
          </cell>
          <cell r="AC297">
            <v>85</v>
          </cell>
          <cell r="AF297">
            <v>226.33333333333331</v>
          </cell>
          <cell r="AG297">
            <v>172.6</v>
          </cell>
          <cell r="AH297">
            <v>53.73333333333332</v>
          </cell>
          <cell r="AI297">
            <v>59.2</v>
          </cell>
          <cell r="AK297">
            <v>2855.2333333333336</v>
          </cell>
        </row>
        <row r="298">
          <cell r="P298">
            <v>0</v>
          </cell>
          <cell r="AF298">
            <v>0</v>
          </cell>
          <cell r="AG298">
            <v>0</v>
          </cell>
          <cell r="AH298">
            <v>0</v>
          </cell>
          <cell r="AI298">
            <v>0</v>
          </cell>
          <cell r="AK298">
            <v>0</v>
          </cell>
        </row>
        <row r="299">
          <cell r="F299">
            <v>19</v>
          </cell>
          <cell r="P299">
            <v>1.3333333333333286</v>
          </cell>
          <cell r="S299">
            <v>0</v>
          </cell>
          <cell r="X299">
            <v>28.333333333333332</v>
          </cell>
          <cell r="AC299">
            <v>27</v>
          </cell>
          <cell r="AF299">
            <v>12</v>
          </cell>
          <cell r="AG299">
            <v>12</v>
          </cell>
          <cell r="AH299">
            <v>0</v>
          </cell>
          <cell r="AI299">
            <v>0</v>
          </cell>
          <cell r="AK299">
            <v>87.666666666666657</v>
          </cell>
        </row>
        <row r="300">
          <cell r="F300">
            <v>64038.73333333333</v>
          </cell>
          <cell r="P300">
            <v>1162.6666666666667</v>
          </cell>
          <cell r="Q300">
            <v>0</v>
          </cell>
          <cell r="R300">
            <v>0</v>
          </cell>
          <cell r="S300">
            <v>3118.333333333333</v>
          </cell>
          <cell r="T300">
            <v>-592.47866666666653</v>
          </cell>
          <cell r="U300">
            <v>-601.98800000000006</v>
          </cell>
          <cell r="V300">
            <v>0</v>
          </cell>
          <cell r="W300">
            <v>0</v>
          </cell>
          <cell r="X300">
            <v>871.66666666666492</v>
          </cell>
          <cell r="Y300">
            <v>-530</v>
          </cell>
          <cell r="Z300">
            <v>-608.79999999999995</v>
          </cell>
          <cell r="AA300">
            <v>0</v>
          </cell>
          <cell r="AB300">
            <v>0</v>
          </cell>
          <cell r="AC300">
            <v>754.96969696969552</v>
          </cell>
          <cell r="AD300">
            <v>-171</v>
          </cell>
          <cell r="AE300">
            <v>-191.66969696969696</v>
          </cell>
          <cell r="AF300">
            <v>1103.4606060606066</v>
          </cell>
          <cell r="AG300">
            <v>905.72727272727252</v>
          </cell>
          <cell r="AH300">
            <v>197.73333333333335</v>
          </cell>
          <cell r="AI300">
            <v>-618</v>
          </cell>
          <cell r="AK300">
            <v>71366.830303030292</v>
          </cell>
        </row>
        <row r="301">
          <cell r="AH301">
            <v>191</v>
          </cell>
          <cell r="AK301">
            <v>0</v>
          </cell>
        </row>
        <row r="303">
          <cell r="F303">
            <v>64038.73333333333</v>
          </cell>
          <cell r="G303">
            <v>0</v>
          </cell>
          <cell r="H303">
            <v>0</v>
          </cell>
          <cell r="P303">
            <v>1162.6666666666667</v>
          </cell>
          <cell r="Q303">
            <v>0</v>
          </cell>
          <cell r="R303">
            <v>0</v>
          </cell>
          <cell r="S303">
            <v>3118.333333333333</v>
          </cell>
          <cell r="T303">
            <v>-592.47866666666653</v>
          </cell>
          <cell r="U303">
            <v>-601.98800000000006</v>
          </cell>
          <cell r="V303">
            <v>0</v>
          </cell>
          <cell r="W303">
            <v>0</v>
          </cell>
          <cell r="X303">
            <v>871.66666666666492</v>
          </cell>
          <cell r="Y303">
            <v>-530</v>
          </cell>
          <cell r="Z303">
            <v>-608.79999999999995</v>
          </cell>
          <cell r="AA303">
            <v>0</v>
          </cell>
          <cell r="AB303">
            <v>0</v>
          </cell>
          <cell r="AC303">
            <v>754.96969696969552</v>
          </cell>
          <cell r="AF303">
            <v>1103.4606060606066</v>
          </cell>
          <cell r="AG303">
            <v>714.7272727272732</v>
          </cell>
          <cell r="AH303">
            <v>388.73333333333335</v>
          </cell>
          <cell r="AK303">
            <v>71366.830303030292</v>
          </cell>
        </row>
        <row r="304">
          <cell r="F304">
            <v>0</v>
          </cell>
          <cell r="AK304">
            <v>0</v>
          </cell>
        </row>
        <row r="305">
          <cell r="F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K305">
            <v>0</v>
          </cell>
        </row>
        <row r="306">
          <cell r="F306">
            <v>0</v>
          </cell>
          <cell r="P306">
            <v>0</v>
          </cell>
          <cell r="S306">
            <v>0</v>
          </cell>
          <cell r="X306">
            <v>0</v>
          </cell>
          <cell r="AC306">
            <v>0</v>
          </cell>
          <cell r="AF306">
            <v>0</v>
          </cell>
          <cell r="AG306">
            <v>0</v>
          </cell>
          <cell r="AH306">
            <v>0</v>
          </cell>
          <cell r="AI306">
            <v>0</v>
          </cell>
          <cell r="AK306">
            <v>0</v>
          </cell>
        </row>
        <row r="307">
          <cell r="AK307">
            <v>0</v>
          </cell>
        </row>
        <row r="308">
          <cell r="F308">
            <v>64038.73333333333</v>
          </cell>
          <cell r="P308">
            <v>1162.6666666666667</v>
          </cell>
          <cell r="Q308">
            <v>0</v>
          </cell>
          <cell r="R308">
            <v>0</v>
          </cell>
          <cell r="S308">
            <v>3118.333333333333</v>
          </cell>
          <cell r="T308">
            <v>-592.47866666666653</v>
          </cell>
          <cell r="U308">
            <v>-601.98800000000006</v>
          </cell>
          <cell r="V308">
            <v>0</v>
          </cell>
          <cell r="W308">
            <v>0</v>
          </cell>
          <cell r="X308">
            <v>871.66666666666492</v>
          </cell>
          <cell r="Y308">
            <v>-530</v>
          </cell>
          <cell r="Z308">
            <v>-608.79999999999995</v>
          </cell>
          <cell r="AA308">
            <v>0</v>
          </cell>
          <cell r="AB308">
            <v>0</v>
          </cell>
          <cell r="AC308">
            <v>754.96969696969552</v>
          </cell>
          <cell r="AD308">
            <v>-171</v>
          </cell>
          <cell r="AE308">
            <v>-191.66969696969696</v>
          </cell>
          <cell r="AF308">
            <v>1103.4606060606066</v>
          </cell>
          <cell r="AG308">
            <v>714.7272727272732</v>
          </cell>
          <cell r="AH308">
            <v>388.73333333333335</v>
          </cell>
          <cell r="AI308">
            <v>-618</v>
          </cell>
          <cell r="AK308">
            <v>71366.830303030292</v>
          </cell>
        </row>
        <row r="309">
          <cell r="AK309">
            <v>0</v>
          </cell>
        </row>
        <row r="310">
          <cell r="P310">
            <v>0</v>
          </cell>
          <cell r="AK310">
            <v>0</v>
          </cell>
        </row>
        <row r="311">
          <cell r="S311">
            <v>0</v>
          </cell>
          <cell r="AK311">
            <v>0</v>
          </cell>
        </row>
        <row r="312">
          <cell r="F312">
            <v>3800</v>
          </cell>
          <cell r="AK312">
            <v>3800</v>
          </cell>
        </row>
        <row r="313">
          <cell r="S313">
            <v>0</v>
          </cell>
        </row>
        <row r="314">
          <cell r="F314">
            <v>0</v>
          </cell>
          <cell r="AK314">
            <v>0</v>
          </cell>
        </row>
        <row r="315">
          <cell r="AK315">
            <v>0</v>
          </cell>
        </row>
        <row r="317">
          <cell r="AK317">
            <v>0</v>
          </cell>
        </row>
        <row r="318">
          <cell r="S318">
            <v>0</v>
          </cell>
        </row>
        <row r="319">
          <cell r="F319">
            <v>64038.73333333333</v>
          </cell>
          <cell r="P319">
            <v>1162.6666666666667</v>
          </cell>
          <cell r="Q319">
            <v>0</v>
          </cell>
          <cell r="R319">
            <v>0</v>
          </cell>
          <cell r="S319">
            <v>3118.333333333333</v>
          </cell>
          <cell r="T319">
            <v>-592.47866666666653</v>
          </cell>
          <cell r="U319">
            <v>-601.98800000000006</v>
          </cell>
          <cell r="V319">
            <v>0</v>
          </cell>
          <cell r="W319">
            <v>0</v>
          </cell>
          <cell r="X319">
            <v>871.66666666666492</v>
          </cell>
          <cell r="Y319">
            <v>-530</v>
          </cell>
          <cell r="Z319">
            <v>-608.79999999999995</v>
          </cell>
          <cell r="AA319">
            <v>0</v>
          </cell>
          <cell r="AB319">
            <v>0</v>
          </cell>
          <cell r="AC319">
            <v>754.96969696969552</v>
          </cell>
          <cell r="AD319">
            <v>-171</v>
          </cell>
          <cell r="AE319">
            <v>-191.66969696969696</v>
          </cell>
          <cell r="AF319">
            <v>1103.4606060606066</v>
          </cell>
          <cell r="AG319">
            <v>714.7272727272732</v>
          </cell>
          <cell r="AH319">
            <v>388.73333333333335</v>
          </cell>
          <cell r="AI319">
            <v>-618</v>
          </cell>
          <cell r="AK319">
            <v>71366.830303030292</v>
          </cell>
        </row>
        <row r="328">
          <cell r="AJ328">
            <v>2455</v>
          </cell>
          <cell r="AK328">
            <v>6090.8</v>
          </cell>
          <cell r="AM328">
            <v>4950.6000000000004</v>
          </cell>
        </row>
        <row r="329">
          <cell r="F329">
            <v>150</v>
          </cell>
          <cell r="P329">
            <v>217</v>
          </cell>
          <cell r="S329">
            <v>474</v>
          </cell>
          <cell r="X329">
            <v>186</v>
          </cell>
          <cell r="AC329">
            <v>151</v>
          </cell>
          <cell r="AF329">
            <v>414</v>
          </cell>
          <cell r="AG329">
            <v>391</v>
          </cell>
          <cell r="AH329">
            <v>23</v>
          </cell>
          <cell r="AI329">
            <v>103</v>
          </cell>
          <cell r="AK329">
            <v>1661</v>
          </cell>
          <cell r="AM329">
            <v>1350</v>
          </cell>
        </row>
        <row r="330">
          <cell r="AJ330">
            <v>36</v>
          </cell>
          <cell r="AK330">
            <v>9162.9333333333343</v>
          </cell>
          <cell r="AM330">
            <v>9162.9333333333343</v>
          </cell>
        </row>
        <row r="331">
          <cell r="AK331">
            <v>770.33333333333337</v>
          </cell>
          <cell r="AM331">
            <v>770.33333333333337</v>
          </cell>
        </row>
        <row r="332">
          <cell r="AJ332">
            <v>36</v>
          </cell>
          <cell r="AK332">
            <v>87.666666666666657</v>
          </cell>
          <cell r="AM332">
            <v>75.666666666666657</v>
          </cell>
        </row>
        <row r="333">
          <cell r="AK333">
            <v>3639.6</v>
          </cell>
          <cell r="AM333">
            <v>3639.6</v>
          </cell>
        </row>
        <row r="334">
          <cell r="AK334">
            <v>3500</v>
          </cell>
          <cell r="AM334">
            <v>3500</v>
          </cell>
        </row>
        <row r="335">
          <cell r="AK335">
            <v>0</v>
          </cell>
        </row>
        <row r="336">
          <cell r="AK336">
            <v>1253</v>
          </cell>
          <cell r="AM336">
            <v>1253</v>
          </cell>
        </row>
        <row r="337">
          <cell r="AK337">
            <v>4595</v>
          </cell>
        </row>
        <row r="338">
          <cell r="AK338">
            <v>0</v>
          </cell>
          <cell r="AM338">
            <v>0</v>
          </cell>
        </row>
        <row r="339">
          <cell r="AK339">
            <v>2931</v>
          </cell>
          <cell r="AM339">
            <v>2691.4</v>
          </cell>
        </row>
        <row r="340">
          <cell r="AK340">
            <v>3617.6303030303025</v>
          </cell>
          <cell r="AM340">
            <v>3343.9030303030299</v>
          </cell>
        </row>
        <row r="341">
          <cell r="AK341">
            <v>0</v>
          </cell>
          <cell r="AM341">
            <v>0</v>
          </cell>
        </row>
        <row r="342">
          <cell r="AK342">
            <v>0</v>
          </cell>
          <cell r="AM342">
            <v>0</v>
          </cell>
        </row>
        <row r="343">
          <cell r="AK343">
            <v>0</v>
          </cell>
          <cell r="AM343">
            <v>0</v>
          </cell>
        </row>
        <row r="344">
          <cell r="AK344">
            <v>4289.0333333333338</v>
          </cell>
          <cell r="AM344">
            <v>3773.4333333333334</v>
          </cell>
        </row>
        <row r="345">
          <cell r="AK345">
            <v>986.83333333333326</v>
          </cell>
          <cell r="AM345">
            <v>750.83333333333326</v>
          </cell>
        </row>
        <row r="346">
          <cell r="AK346">
            <v>898.6</v>
          </cell>
          <cell r="AM346">
            <v>873</v>
          </cell>
        </row>
        <row r="347">
          <cell r="AK347">
            <v>1370</v>
          </cell>
        </row>
        <row r="348">
          <cell r="AK348">
            <v>1033.5999999999999</v>
          </cell>
        </row>
        <row r="349">
          <cell r="AK349">
            <v>0</v>
          </cell>
          <cell r="AM349">
            <v>0</v>
          </cell>
        </row>
        <row r="350">
          <cell r="AK350">
            <v>64</v>
          </cell>
          <cell r="AM350">
            <v>64</v>
          </cell>
        </row>
        <row r="351">
          <cell r="AK351">
            <v>1852.6666666666667</v>
          </cell>
          <cell r="AM351">
            <v>1418.6666666666667</v>
          </cell>
        </row>
        <row r="352">
          <cell r="P352">
            <v>225</v>
          </cell>
          <cell r="S352">
            <v>296</v>
          </cell>
          <cell r="X352">
            <v>56</v>
          </cell>
          <cell r="AC352">
            <v>59.636363636363626</v>
          </cell>
          <cell r="AF352">
            <v>135.72727272727272</v>
          </cell>
          <cell r="AG352">
            <v>135.72727272727272</v>
          </cell>
          <cell r="AH352">
            <v>0</v>
          </cell>
          <cell r="AK352">
            <v>772.36363636363637</v>
          </cell>
        </row>
        <row r="353">
          <cell r="AK353">
            <v>0</v>
          </cell>
        </row>
        <row r="354">
          <cell r="F354">
            <v>0</v>
          </cell>
          <cell r="P354">
            <v>0</v>
          </cell>
          <cell r="S354">
            <v>0</v>
          </cell>
          <cell r="X354">
            <v>0</v>
          </cell>
          <cell r="AC354">
            <v>0</v>
          </cell>
          <cell r="AF354">
            <v>0</v>
          </cell>
          <cell r="AG354">
            <v>0</v>
          </cell>
          <cell r="AH354">
            <v>0</v>
          </cell>
          <cell r="AI354">
            <v>0</v>
          </cell>
          <cell r="AK354">
            <v>442</v>
          </cell>
          <cell r="AM354">
            <v>442</v>
          </cell>
        </row>
        <row r="355">
          <cell r="AK355">
            <v>105</v>
          </cell>
          <cell r="AM355">
            <v>105</v>
          </cell>
        </row>
        <row r="356">
          <cell r="AK356">
            <v>0</v>
          </cell>
          <cell r="AM356">
            <v>0</v>
          </cell>
        </row>
        <row r="357">
          <cell r="AK357">
            <v>0</v>
          </cell>
          <cell r="AM357">
            <v>0</v>
          </cell>
        </row>
        <row r="358">
          <cell r="AJ358">
            <v>-2491</v>
          </cell>
          <cell r="AK358">
            <v>4915.1333333333341</v>
          </cell>
          <cell r="AM358" t="e">
            <v>#REF!</v>
          </cell>
        </row>
        <row r="359">
          <cell r="AK359">
            <v>1181.2333333333333</v>
          </cell>
        </row>
        <row r="360">
          <cell r="AK360">
            <v>878.66666666666663</v>
          </cell>
        </row>
        <row r="361">
          <cell r="AK361">
            <v>2855.2333333333336</v>
          </cell>
        </row>
        <row r="362">
          <cell r="F362">
            <v>0</v>
          </cell>
          <cell r="P362">
            <v>-172</v>
          </cell>
          <cell r="S362">
            <v>-232</v>
          </cell>
          <cell r="T362">
            <v>180.16</v>
          </cell>
          <cell r="U362">
            <v>945.84</v>
          </cell>
          <cell r="X362">
            <v>429.66666666666663</v>
          </cell>
          <cell r="Y362">
            <v>247</v>
          </cell>
          <cell r="Z362">
            <v>282.66666666666663</v>
          </cell>
          <cell r="AC362">
            <v>440</v>
          </cell>
          <cell r="AD362">
            <v>268</v>
          </cell>
          <cell r="AE362">
            <v>302</v>
          </cell>
          <cell r="AF362">
            <v>-41</v>
          </cell>
          <cell r="AG362">
            <v>-41</v>
          </cell>
          <cell r="AH362">
            <v>0</v>
          </cell>
          <cell r="AI362">
            <v>0</v>
          </cell>
          <cell r="AK362">
            <v>422.66666666666663</v>
          </cell>
          <cell r="AM362">
            <v>463.66666666666663</v>
          </cell>
        </row>
        <row r="371">
          <cell r="F371">
            <v>0</v>
          </cell>
        </row>
        <row r="383">
          <cell r="F383" t="str">
            <v>лютий</v>
          </cell>
          <cell r="P383" t="str">
            <v>лютий</v>
          </cell>
          <cell r="X383" t="str">
            <v>лютий</v>
          </cell>
          <cell r="AC383" t="str">
            <v>лютий</v>
          </cell>
        </row>
        <row r="384">
          <cell r="F384" t="str">
            <v>АППАРАТ</v>
          </cell>
          <cell r="P384" t="str">
            <v>ККМ</v>
          </cell>
          <cell r="X384" t="str">
            <v>ТЕЦ5</v>
          </cell>
          <cell r="AC384" t="str">
            <v>ТЕЦ6</v>
          </cell>
          <cell r="AK384" t="str">
            <v>АК "КЕ"</v>
          </cell>
          <cell r="AL384" t="str">
            <v>Е/Е</v>
          </cell>
        </row>
        <row r="385">
          <cell r="F385" t="str">
            <v>ПЛАН</v>
          </cell>
          <cell r="P385" t="str">
            <v>ПЛАН</v>
          </cell>
          <cell r="X385" t="str">
            <v>ПЛАН</v>
          </cell>
          <cell r="AC385" t="str">
            <v>ПЛАН</v>
          </cell>
          <cell r="AK385" t="str">
            <v>ПЛАН</v>
          </cell>
          <cell r="AL385" t="str">
            <v>ПЛАН</v>
          </cell>
        </row>
        <row r="386">
          <cell r="F386">
            <v>164.3</v>
          </cell>
          <cell r="G386">
            <v>58</v>
          </cell>
          <cell r="H386">
            <v>57</v>
          </cell>
          <cell r="P386">
            <v>14.333333333333332</v>
          </cell>
          <cell r="S386">
            <v>14.333333333333332</v>
          </cell>
          <cell r="X386">
            <v>182</v>
          </cell>
          <cell r="Y386">
            <v>85</v>
          </cell>
          <cell r="Z386">
            <v>85</v>
          </cell>
          <cell r="AC386">
            <v>323.66666666666674</v>
          </cell>
          <cell r="AD386">
            <v>152</v>
          </cell>
          <cell r="AE386">
            <v>152</v>
          </cell>
          <cell r="AK386">
            <v>735.30000000000018</v>
          </cell>
          <cell r="AL386">
            <v>362.33333333333331</v>
          </cell>
          <cell r="AM386">
            <v>323.33333333333331</v>
          </cell>
        </row>
        <row r="387">
          <cell r="F387">
            <v>29</v>
          </cell>
          <cell r="G387">
            <v>10</v>
          </cell>
          <cell r="P387">
            <v>0</v>
          </cell>
          <cell r="X387">
            <v>0</v>
          </cell>
          <cell r="Y387">
            <v>0</v>
          </cell>
          <cell r="AC387">
            <v>3.6666666666666665</v>
          </cell>
          <cell r="AD387">
            <v>2</v>
          </cell>
          <cell r="AK387">
            <v>46</v>
          </cell>
          <cell r="AL387">
            <v>15</v>
          </cell>
        </row>
        <row r="388">
          <cell r="F388">
            <v>0</v>
          </cell>
          <cell r="G388">
            <v>0</v>
          </cell>
          <cell r="P388">
            <v>0.66666666666666663</v>
          </cell>
          <cell r="X388">
            <v>146.66666666666666</v>
          </cell>
          <cell r="Y388">
            <v>68</v>
          </cell>
          <cell r="AC388">
            <v>280.66666666666669</v>
          </cell>
          <cell r="AD388">
            <v>132</v>
          </cell>
          <cell r="AK388">
            <v>428</v>
          </cell>
          <cell r="AL388">
            <v>200.66666666666669</v>
          </cell>
        </row>
        <row r="389">
          <cell r="F389">
            <v>0</v>
          </cell>
          <cell r="G389">
            <v>0</v>
          </cell>
          <cell r="P389">
            <v>2</v>
          </cell>
          <cell r="X389">
            <v>0</v>
          </cell>
          <cell r="Y389">
            <v>0</v>
          </cell>
          <cell r="AC389">
            <v>25</v>
          </cell>
          <cell r="AD389">
            <v>12</v>
          </cell>
          <cell r="AK389">
            <v>33.666666666666671</v>
          </cell>
          <cell r="AL389">
            <v>17</v>
          </cell>
        </row>
        <row r="390">
          <cell r="F390">
            <v>0</v>
          </cell>
          <cell r="G390">
            <v>0</v>
          </cell>
          <cell r="P390">
            <v>0</v>
          </cell>
          <cell r="X390">
            <v>25.333333333333332</v>
          </cell>
          <cell r="Y390">
            <v>12</v>
          </cell>
          <cell r="AC390">
            <v>0.66666666666666663</v>
          </cell>
          <cell r="AD390">
            <v>0</v>
          </cell>
          <cell r="AK390">
            <v>26</v>
          </cell>
          <cell r="AL390">
            <v>12</v>
          </cell>
        </row>
        <row r="391">
          <cell r="F391">
            <v>120.63333333333333</v>
          </cell>
          <cell r="G391">
            <v>42</v>
          </cell>
          <cell r="P391">
            <v>0</v>
          </cell>
          <cell r="X391">
            <v>0</v>
          </cell>
          <cell r="Y391">
            <v>0</v>
          </cell>
          <cell r="AC391">
            <v>0</v>
          </cell>
          <cell r="AD391">
            <v>0</v>
          </cell>
          <cell r="AK391">
            <v>120.63333333333333</v>
          </cell>
          <cell r="AL391">
            <v>44</v>
          </cell>
        </row>
        <row r="392">
          <cell r="F392">
            <v>8.6666666666666661</v>
          </cell>
          <cell r="G392">
            <v>3</v>
          </cell>
          <cell r="P392">
            <v>0</v>
          </cell>
          <cell r="X392">
            <v>0</v>
          </cell>
          <cell r="Y392">
            <v>0</v>
          </cell>
          <cell r="AC392">
            <v>0</v>
          </cell>
          <cell r="AD392">
            <v>0</v>
          </cell>
          <cell r="AK392">
            <v>8.6666666666666661</v>
          </cell>
          <cell r="AL392">
            <v>0</v>
          </cell>
        </row>
        <row r="393">
          <cell r="F393">
            <v>0</v>
          </cell>
          <cell r="G393">
            <v>0</v>
          </cell>
          <cell r="P393">
            <v>5.333333333333333</v>
          </cell>
          <cell r="X393">
            <v>0</v>
          </cell>
          <cell r="Y393">
            <v>0</v>
          </cell>
          <cell r="AC393">
            <v>0</v>
          </cell>
          <cell r="AD393">
            <v>0</v>
          </cell>
          <cell r="AK393">
            <v>22</v>
          </cell>
          <cell r="AL393">
            <v>15.333333333333332</v>
          </cell>
        </row>
        <row r="394">
          <cell r="F394">
            <v>5.333333333333333</v>
          </cell>
          <cell r="G394">
            <v>2</v>
          </cell>
          <cell r="P394">
            <v>0</v>
          </cell>
          <cell r="X394">
            <v>0</v>
          </cell>
          <cell r="Y394">
            <v>0</v>
          </cell>
          <cell r="AC394">
            <v>0</v>
          </cell>
          <cell r="AD394">
            <v>0</v>
          </cell>
          <cell r="AK394">
            <v>5.333333333333333</v>
          </cell>
          <cell r="AL394">
            <v>2</v>
          </cell>
        </row>
        <row r="395">
          <cell r="F395">
            <v>0.33333333333333331</v>
          </cell>
          <cell r="G395">
            <v>0</v>
          </cell>
          <cell r="P395">
            <v>4.333333333333333</v>
          </cell>
          <cell r="X395">
            <v>0</v>
          </cell>
          <cell r="Y395">
            <v>0</v>
          </cell>
          <cell r="AC395">
            <v>0</v>
          </cell>
          <cell r="AD395">
            <v>0</v>
          </cell>
          <cell r="AK395">
            <v>4.6666666666666661</v>
          </cell>
          <cell r="AL395">
            <v>4.333333333333333</v>
          </cell>
        </row>
        <row r="396">
          <cell r="F396">
            <v>0.33333333333333331</v>
          </cell>
          <cell r="G396">
            <v>0</v>
          </cell>
          <cell r="P396">
            <v>2</v>
          </cell>
          <cell r="X396">
            <v>10</v>
          </cell>
          <cell r="Y396">
            <v>5</v>
          </cell>
          <cell r="AC396">
            <v>13.666666666666666</v>
          </cell>
          <cell r="AD396">
            <v>6</v>
          </cell>
          <cell r="AK396">
            <v>26</v>
          </cell>
          <cell r="AL396">
            <v>13</v>
          </cell>
        </row>
        <row r="397">
          <cell r="F397">
            <v>0</v>
          </cell>
          <cell r="G397">
            <v>0</v>
          </cell>
          <cell r="P397">
            <v>0</v>
          </cell>
          <cell r="X397">
            <v>0</v>
          </cell>
          <cell r="Y397">
            <v>0</v>
          </cell>
          <cell r="AC397">
            <v>0</v>
          </cell>
          <cell r="AD397">
            <v>0</v>
          </cell>
          <cell r="AK397">
            <v>0</v>
          </cell>
        </row>
        <row r="398">
          <cell r="F398">
            <v>1.1666666666666667</v>
          </cell>
          <cell r="G398">
            <v>0</v>
          </cell>
          <cell r="P398">
            <v>20.5</v>
          </cell>
          <cell r="X398">
            <v>522.33333333333337</v>
          </cell>
          <cell r="Y398">
            <v>243</v>
          </cell>
          <cell r="AC398">
            <v>43</v>
          </cell>
          <cell r="AD398">
            <v>20</v>
          </cell>
          <cell r="AK398">
            <v>587.33333333333337</v>
          </cell>
          <cell r="AL398">
            <v>283.5</v>
          </cell>
          <cell r="AM398">
            <v>283.83333333333331</v>
          </cell>
        </row>
        <row r="399">
          <cell r="F399">
            <v>0</v>
          </cell>
          <cell r="G399">
            <v>0</v>
          </cell>
          <cell r="P399">
            <v>0</v>
          </cell>
          <cell r="X399">
            <v>0</v>
          </cell>
          <cell r="Y399">
            <v>0</v>
          </cell>
          <cell r="AC399">
            <v>0</v>
          </cell>
          <cell r="AD399">
            <v>0</v>
          </cell>
          <cell r="AK399">
            <v>0</v>
          </cell>
          <cell r="AL399">
            <v>0</v>
          </cell>
        </row>
        <row r="400">
          <cell r="F400">
            <v>0</v>
          </cell>
          <cell r="G400">
            <v>0</v>
          </cell>
          <cell r="P400">
            <v>0</v>
          </cell>
          <cell r="X400">
            <v>480.66666666666669</v>
          </cell>
          <cell r="Y400">
            <v>224</v>
          </cell>
          <cell r="AC400">
            <v>11</v>
          </cell>
          <cell r="AD400">
            <v>5</v>
          </cell>
          <cell r="AK400">
            <v>491.66666666666669</v>
          </cell>
          <cell r="AL400">
            <v>229</v>
          </cell>
        </row>
        <row r="401">
          <cell r="F401">
            <v>0</v>
          </cell>
          <cell r="G401">
            <v>0</v>
          </cell>
          <cell r="P401">
            <v>0</v>
          </cell>
          <cell r="X401">
            <v>0</v>
          </cell>
          <cell r="Y401">
            <v>0</v>
          </cell>
          <cell r="AC401">
            <v>0</v>
          </cell>
          <cell r="AD401">
            <v>0</v>
          </cell>
          <cell r="AK401">
            <v>0</v>
          </cell>
          <cell r="AL401">
            <v>0</v>
          </cell>
        </row>
        <row r="402">
          <cell r="F402">
            <v>1.1666666666666667</v>
          </cell>
          <cell r="G402">
            <v>0</v>
          </cell>
          <cell r="P402">
            <v>15.833333333333334</v>
          </cell>
          <cell r="X402">
            <v>41.666666666666664</v>
          </cell>
          <cell r="Y402">
            <v>19</v>
          </cell>
          <cell r="AC402">
            <v>32</v>
          </cell>
          <cell r="AD402">
            <v>15</v>
          </cell>
          <cell r="AK402">
            <v>91</v>
          </cell>
          <cell r="AL402">
            <v>54.833333333333336</v>
          </cell>
        </row>
        <row r="403">
          <cell r="F403">
            <v>0</v>
          </cell>
          <cell r="G403">
            <v>0</v>
          </cell>
          <cell r="P403">
            <v>4.666666666666667</v>
          </cell>
          <cell r="X403">
            <v>0</v>
          </cell>
          <cell r="Y403">
            <v>0</v>
          </cell>
          <cell r="AC403">
            <v>0</v>
          </cell>
          <cell r="AD403">
            <v>0</v>
          </cell>
          <cell r="AK403">
            <v>4.666666666666667</v>
          </cell>
          <cell r="AL403">
            <v>0</v>
          </cell>
        </row>
        <row r="404">
          <cell r="F404">
            <v>0</v>
          </cell>
          <cell r="G404">
            <v>0</v>
          </cell>
          <cell r="P404">
            <v>0</v>
          </cell>
          <cell r="X404">
            <v>0</v>
          </cell>
          <cell r="Y404">
            <v>0</v>
          </cell>
          <cell r="AC404">
            <v>0</v>
          </cell>
          <cell r="AD404">
            <v>0</v>
          </cell>
          <cell r="AK404">
            <v>0</v>
          </cell>
        </row>
        <row r="405">
          <cell r="F405">
            <v>10</v>
          </cell>
          <cell r="G405">
            <v>4</v>
          </cell>
          <cell r="P405">
            <v>39</v>
          </cell>
          <cell r="X405">
            <v>0</v>
          </cell>
          <cell r="Y405">
            <v>0</v>
          </cell>
          <cell r="AC405">
            <v>0</v>
          </cell>
          <cell r="AD405">
            <v>0</v>
          </cell>
          <cell r="AK405">
            <v>49</v>
          </cell>
          <cell r="AL405">
            <v>43</v>
          </cell>
          <cell r="AM405">
            <v>43</v>
          </cell>
        </row>
        <row r="406">
          <cell r="F406">
            <v>2.6666666666666665</v>
          </cell>
          <cell r="G406">
            <v>1</v>
          </cell>
          <cell r="P406">
            <v>3.3333333333333335</v>
          </cell>
          <cell r="X406">
            <v>0</v>
          </cell>
          <cell r="Y406">
            <v>0</v>
          </cell>
          <cell r="AC406">
            <v>0</v>
          </cell>
          <cell r="AD406">
            <v>0</v>
          </cell>
          <cell r="AK406">
            <v>6</v>
          </cell>
          <cell r="AL406">
            <v>4.3333333333333339</v>
          </cell>
        </row>
        <row r="407">
          <cell r="F407">
            <v>7.333333333333333</v>
          </cell>
          <cell r="G407">
            <v>3</v>
          </cell>
          <cell r="P407">
            <v>35.666666666666664</v>
          </cell>
          <cell r="X407">
            <v>0</v>
          </cell>
          <cell r="Y407">
            <v>0</v>
          </cell>
          <cell r="AC407">
            <v>0</v>
          </cell>
          <cell r="AD407">
            <v>0</v>
          </cell>
          <cell r="AK407">
            <v>43</v>
          </cell>
          <cell r="AL407">
            <v>38.666666666666664</v>
          </cell>
        </row>
        <row r="408">
          <cell r="F408">
            <v>0</v>
          </cell>
          <cell r="G408">
            <v>0</v>
          </cell>
          <cell r="P408">
            <v>0</v>
          </cell>
          <cell r="X408">
            <v>0</v>
          </cell>
          <cell r="Y408">
            <v>0</v>
          </cell>
          <cell r="AC408">
            <v>0</v>
          </cell>
          <cell r="AD408">
            <v>0</v>
          </cell>
          <cell r="AK408">
            <v>0</v>
          </cell>
        </row>
        <row r="409">
          <cell r="F409">
            <v>206.33333333333329</v>
          </cell>
          <cell r="G409">
            <v>72</v>
          </cell>
          <cell r="H409">
            <v>72</v>
          </cell>
          <cell r="P409">
            <v>50.166666666666671</v>
          </cell>
          <cell r="S409">
            <v>50.166666666666671</v>
          </cell>
          <cell r="X409">
            <v>37.833333333333343</v>
          </cell>
          <cell r="Y409">
            <v>18</v>
          </cell>
          <cell r="AC409">
            <v>26.000000000000004</v>
          </cell>
          <cell r="AD409">
            <v>12</v>
          </cell>
          <cell r="AK409">
            <v>1965.0000000000002</v>
          </cell>
          <cell r="AL409">
            <v>411.16666666666663</v>
          </cell>
          <cell r="AM409">
            <v>411.16666666666663</v>
          </cell>
        </row>
        <row r="410">
          <cell r="F410">
            <v>0</v>
          </cell>
          <cell r="G410">
            <v>0</v>
          </cell>
          <cell r="P410">
            <v>0</v>
          </cell>
          <cell r="X410">
            <v>0</v>
          </cell>
          <cell r="Y410">
            <v>0</v>
          </cell>
          <cell r="AC410">
            <v>0</v>
          </cell>
          <cell r="AD410">
            <v>0</v>
          </cell>
          <cell r="AK410">
            <v>1350</v>
          </cell>
          <cell r="AL410">
            <v>0</v>
          </cell>
        </row>
        <row r="411">
          <cell r="F411">
            <v>0</v>
          </cell>
          <cell r="G411">
            <v>0</v>
          </cell>
          <cell r="P411">
            <v>0</v>
          </cell>
          <cell r="X411">
            <v>0</v>
          </cell>
          <cell r="Y411">
            <v>0</v>
          </cell>
          <cell r="AC411">
            <v>0</v>
          </cell>
          <cell r="AD411">
            <v>0</v>
          </cell>
          <cell r="AK411">
            <v>95</v>
          </cell>
          <cell r="AL411">
            <v>95</v>
          </cell>
        </row>
        <row r="412">
          <cell r="F412">
            <v>0</v>
          </cell>
          <cell r="G412">
            <v>0</v>
          </cell>
          <cell r="P412">
            <v>0</v>
          </cell>
          <cell r="X412">
            <v>0</v>
          </cell>
          <cell r="Y412">
            <v>0</v>
          </cell>
          <cell r="AC412">
            <v>0</v>
          </cell>
          <cell r="AD412">
            <v>0</v>
          </cell>
          <cell r="AK412">
            <v>0</v>
          </cell>
          <cell r="AL412">
            <v>0</v>
          </cell>
        </row>
        <row r="413">
          <cell r="F413">
            <v>0</v>
          </cell>
          <cell r="G413">
            <v>0</v>
          </cell>
          <cell r="P413">
            <v>12.333333333333334</v>
          </cell>
          <cell r="X413">
            <v>0</v>
          </cell>
          <cell r="Y413">
            <v>0</v>
          </cell>
          <cell r="AC413">
            <v>0</v>
          </cell>
          <cell r="AD413">
            <v>0</v>
          </cell>
          <cell r="AK413">
            <v>12.333333333333334</v>
          </cell>
          <cell r="AL413">
            <v>12.333333333333334</v>
          </cell>
        </row>
        <row r="414">
          <cell r="F414">
            <v>0</v>
          </cell>
          <cell r="G414">
            <v>0</v>
          </cell>
          <cell r="P414">
            <v>0</v>
          </cell>
          <cell r="X414">
            <v>0</v>
          </cell>
          <cell r="Y414">
            <v>0</v>
          </cell>
          <cell r="AC414">
            <v>0</v>
          </cell>
          <cell r="AD414">
            <v>0</v>
          </cell>
          <cell r="AK414">
            <v>0</v>
          </cell>
          <cell r="AL414">
            <v>0</v>
          </cell>
        </row>
        <row r="415">
          <cell r="F415">
            <v>1.6666666666666667</v>
          </cell>
          <cell r="G415">
            <v>1</v>
          </cell>
          <cell r="P415">
            <v>5</v>
          </cell>
          <cell r="X415">
            <v>3</v>
          </cell>
          <cell r="Y415">
            <v>1</v>
          </cell>
          <cell r="AC415">
            <v>3</v>
          </cell>
          <cell r="AD415">
            <v>1</v>
          </cell>
          <cell r="AK415">
            <v>57.666666666666664</v>
          </cell>
          <cell r="AL415">
            <v>48</v>
          </cell>
        </row>
        <row r="416">
          <cell r="F416">
            <v>0</v>
          </cell>
          <cell r="G416">
            <v>0</v>
          </cell>
          <cell r="P416">
            <v>0</v>
          </cell>
          <cell r="X416">
            <v>0</v>
          </cell>
          <cell r="Y416">
            <v>0</v>
          </cell>
          <cell r="AC416">
            <v>0</v>
          </cell>
          <cell r="AD416">
            <v>0</v>
          </cell>
          <cell r="AK416">
            <v>4</v>
          </cell>
          <cell r="AL416">
            <v>0</v>
          </cell>
        </row>
        <row r="417">
          <cell r="F417">
            <v>0</v>
          </cell>
          <cell r="G417">
            <v>0</v>
          </cell>
          <cell r="P417">
            <v>0</v>
          </cell>
          <cell r="X417">
            <v>0</v>
          </cell>
          <cell r="Y417">
            <v>0</v>
          </cell>
          <cell r="AC417">
            <v>0</v>
          </cell>
          <cell r="AD417">
            <v>0</v>
          </cell>
          <cell r="AK417">
            <v>0</v>
          </cell>
          <cell r="AL417">
            <v>0</v>
          </cell>
        </row>
        <row r="418">
          <cell r="F418">
            <v>0</v>
          </cell>
          <cell r="G418">
            <v>0</v>
          </cell>
          <cell r="P418">
            <v>18.5</v>
          </cell>
          <cell r="X418">
            <v>4.5</v>
          </cell>
          <cell r="Y418">
            <v>2</v>
          </cell>
          <cell r="AC418">
            <v>1.3333333333333333</v>
          </cell>
          <cell r="AD418">
            <v>1</v>
          </cell>
          <cell r="AK418">
            <v>28.5</v>
          </cell>
          <cell r="AL418">
            <v>25.5</v>
          </cell>
        </row>
        <row r="419">
          <cell r="F419">
            <v>0</v>
          </cell>
          <cell r="G419">
            <v>0</v>
          </cell>
          <cell r="P419">
            <v>1.3333333333333333</v>
          </cell>
          <cell r="X419">
            <v>0</v>
          </cell>
          <cell r="Y419">
            <v>0</v>
          </cell>
          <cell r="AC419">
            <v>1.6666666666666667</v>
          </cell>
          <cell r="AD419">
            <v>1</v>
          </cell>
          <cell r="AK419">
            <v>69</v>
          </cell>
          <cell r="AL419">
            <v>52.333333333333336</v>
          </cell>
        </row>
        <row r="420">
          <cell r="F420">
            <v>177</v>
          </cell>
          <cell r="G420">
            <v>62</v>
          </cell>
          <cell r="P420">
            <v>0</v>
          </cell>
          <cell r="X420">
            <v>0</v>
          </cell>
          <cell r="Y420">
            <v>0</v>
          </cell>
          <cell r="AC420">
            <v>0</v>
          </cell>
          <cell r="AD420">
            <v>0</v>
          </cell>
          <cell r="AK420">
            <v>177</v>
          </cell>
          <cell r="AL420">
            <v>62</v>
          </cell>
        </row>
        <row r="421">
          <cell r="F421">
            <v>0</v>
          </cell>
          <cell r="G421">
            <v>0</v>
          </cell>
          <cell r="P421">
            <v>0</v>
          </cell>
          <cell r="X421">
            <v>10</v>
          </cell>
          <cell r="Y421">
            <v>5</v>
          </cell>
          <cell r="AC421">
            <v>7.666666666666667</v>
          </cell>
          <cell r="AD421">
            <v>4</v>
          </cell>
          <cell r="AK421">
            <v>17.666666666666668</v>
          </cell>
          <cell r="AL421">
            <v>9</v>
          </cell>
        </row>
        <row r="422">
          <cell r="F422">
            <v>0.66666666666666663</v>
          </cell>
          <cell r="G422">
            <v>0</v>
          </cell>
          <cell r="P422">
            <v>2</v>
          </cell>
          <cell r="X422">
            <v>1.3333333333333333</v>
          </cell>
          <cell r="Y422">
            <v>1</v>
          </cell>
          <cell r="AC422">
            <v>1</v>
          </cell>
          <cell r="AD422">
            <v>0</v>
          </cell>
          <cell r="AK422">
            <v>6</v>
          </cell>
          <cell r="AL422">
            <v>3</v>
          </cell>
        </row>
        <row r="423">
          <cell r="F423">
            <v>2.6666666666666665</v>
          </cell>
          <cell r="G423">
            <v>1</v>
          </cell>
          <cell r="P423">
            <v>0.33333333333333331</v>
          </cell>
          <cell r="X423">
            <v>1</v>
          </cell>
          <cell r="Y423">
            <v>0</v>
          </cell>
          <cell r="AC423">
            <v>0.66666666666666663</v>
          </cell>
          <cell r="AD423">
            <v>0</v>
          </cell>
          <cell r="AK423">
            <v>9.3333333333333339</v>
          </cell>
          <cell r="AL423">
            <v>3.3333333333333335</v>
          </cell>
        </row>
        <row r="424">
          <cell r="F424">
            <v>0</v>
          </cell>
          <cell r="G424">
            <v>0</v>
          </cell>
          <cell r="P424">
            <v>2.3333333333333335</v>
          </cell>
          <cell r="X424">
            <v>6</v>
          </cell>
          <cell r="Y424">
            <v>3</v>
          </cell>
          <cell r="AC424">
            <v>5</v>
          </cell>
          <cell r="AD424">
            <v>2</v>
          </cell>
          <cell r="AK424">
            <v>13.333333333333334</v>
          </cell>
          <cell r="AL424">
            <v>7.3333333333333339</v>
          </cell>
        </row>
        <row r="425">
          <cell r="F425">
            <v>0</v>
          </cell>
          <cell r="G425">
            <v>0</v>
          </cell>
          <cell r="P425">
            <v>0</v>
          </cell>
          <cell r="X425">
            <v>0</v>
          </cell>
          <cell r="Y425">
            <v>0</v>
          </cell>
          <cell r="AC425">
            <v>0</v>
          </cell>
          <cell r="AD425">
            <v>0</v>
          </cell>
          <cell r="AK425">
            <v>0</v>
          </cell>
          <cell r="AL425">
            <v>0</v>
          </cell>
        </row>
        <row r="426">
          <cell r="F426">
            <v>0</v>
          </cell>
          <cell r="G426">
            <v>0</v>
          </cell>
          <cell r="P426">
            <v>0</v>
          </cell>
          <cell r="X426">
            <v>0</v>
          </cell>
          <cell r="Y426">
            <v>0</v>
          </cell>
          <cell r="AC426">
            <v>0</v>
          </cell>
          <cell r="AD426">
            <v>0</v>
          </cell>
          <cell r="AK426">
            <v>0</v>
          </cell>
          <cell r="AL426">
            <v>0</v>
          </cell>
        </row>
        <row r="427">
          <cell r="F427">
            <v>9.6666666666666661</v>
          </cell>
          <cell r="G427">
            <v>3</v>
          </cell>
          <cell r="P427">
            <v>1</v>
          </cell>
          <cell r="X427">
            <v>0</v>
          </cell>
          <cell r="Y427">
            <v>0</v>
          </cell>
          <cell r="AC427">
            <v>0</v>
          </cell>
          <cell r="AD427">
            <v>0</v>
          </cell>
          <cell r="AK427">
            <v>12</v>
          </cell>
          <cell r="AL427">
            <v>5</v>
          </cell>
        </row>
        <row r="428">
          <cell r="F428">
            <v>0</v>
          </cell>
          <cell r="G428">
            <v>0</v>
          </cell>
          <cell r="P428">
            <v>0</v>
          </cell>
          <cell r="X428">
            <v>0</v>
          </cell>
          <cell r="Y428">
            <v>0</v>
          </cell>
          <cell r="AC428">
            <v>0</v>
          </cell>
          <cell r="AD428">
            <v>0</v>
          </cell>
          <cell r="AK428">
            <v>0</v>
          </cell>
          <cell r="AL428">
            <v>0</v>
          </cell>
        </row>
        <row r="429">
          <cell r="F429">
            <v>2.3333333333333335</v>
          </cell>
          <cell r="G429">
            <v>1</v>
          </cell>
          <cell r="P429">
            <v>0.66666666666666663</v>
          </cell>
          <cell r="X429">
            <v>0.66666666666666663</v>
          </cell>
          <cell r="Y429">
            <v>0</v>
          </cell>
          <cell r="AC429">
            <v>0.66666666666666663</v>
          </cell>
          <cell r="AD429">
            <v>0</v>
          </cell>
          <cell r="AK429">
            <v>4.333333333333333</v>
          </cell>
          <cell r="AL429">
            <v>1.6666666666666665</v>
          </cell>
        </row>
        <row r="430">
          <cell r="F430">
            <v>1.6666666666666667</v>
          </cell>
          <cell r="G430">
            <v>1</v>
          </cell>
          <cell r="P430">
            <v>0.66666666666666663</v>
          </cell>
          <cell r="X430">
            <v>0.66666666666666663</v>
          </cell>
          <cell r="Y430">
            <v>0</v>
          </cell>
          <cell r="AC430">
            <v>0.66666666666666663</v>
          </cell>
          <cell r="AD430">
            <v>0</v>
          </cell>
          <cell r="AK430">
            <v>3.6666666666666665</v>
          </cell>
          <cell r="AL430">
            <v>1.6666666666666665</v>
          </cell>
        </row>
        <row r="431">
          <cell r="F431">
            <v>6.666666666666667</v>
          </cell>
          <cell r="G431">
            <v>2</v>
          </cell>
          <cell r="P431">
            <v>4.666666666666667</v>
          </cell>
          <cell r="X431">
            <v>3</v>
          </cell>
          <cell r="Y431">
            <v>1</v>
          </cell>
          <cell r="AC431">
            <v>2</v>
          </cell>
          <cell r="AD431">
            <v>1</v>
          </cell>
          <cell r="AK431">
            <v>33</v>
          </cell>
          <cell r="AL431">
            <v>18.666666666666668</v>
          </cell>
        </row>
        <row r="432">
          <cell r="F432">
            <v>0</v>
          </cell>
          <cell r="G432">
            <v>0</v>
          </cell>
          <cell r="P432">
            <v>0</v>
          </cell>
          <cell r="X432">
            <v>0</v>
          </cell>
          <cell r="Y432">
            <v>0</v>
          </cell>
          <cell r="AC432">
            <v>0</v>
          </cell>
          <cell r="AD432">
            <v>0</v>
          </cell>
          <cell r="AK432">
            <v>0</v>
          </cell>
          <cell r="AL432">
            <v>0</v>
          </cell>
        </row>
        <row r="433">
          <cell r="F433">
            <v>0</v>
          </cell>
          <cell r="G433">
            <v>0</v>
          </cell>
          <cell r="P433">
            <v>0</v>
          </cell>
          <cell r="X433">
            <v>0</v>
          </cell>
          <cell r="Y433">
            <v>0</v>
          </cell>
          <cell r="AC433">
            <v>0</v>
          </cell>
          <cell r="AD433">
            <v>0</v>
          </cell>
          <cell r="AK433">
            <v>0</v>
          </cell>
          <cell r="AL433">
            <v>53</v>
          </cell>
        </row>
        <row r="434">
          <cell r="F434">
            <v>1</v>
          </cell>
          <cell r="G434">
            <v>0</v>
          </cell>
          <cell r="P434">
            <v>0</v>
          </cell>
          <cell r="X434">
            <v>0</v>
          </cell>
          <cell r="Y434">
            <v>0</v>
          </cell>
          <cell r="AC434">
            <v>0</v>
          </cell>
          <cell r="AD434">
            <v>0</v>
          </cell>
          <cell r="AK434">
            <v>1</v>
          </cell>
          <cell r="AL434">
            <v>1</v>
          </cell>
        </row>
        <row r="435">
          <cell r="F435">
            <v>0</v>
          </cell>
          <cell r="G435">
            <v>0</v>
          </cell>
          <cell r="P435">
            <v>0</v>
          </cell>
          <cell r="X435">
            <v>0</v>
          </cell>
          <cell r="Y435">
            <v>0</v>
          </cell>
          <cell r="AC435">
            <v>0</v>
          </cell>
          <cell r="AD435">
            <v>0</v>
          </cell>
          <cell r="AK435">
            <v>0</v>
          </cell>
          <cell r="AL435">
            <v>0</v>
          </cell>
        </row>
        <row r="436">
          <cell r="F436">
            <v>0</v>
          </cell>
          <cell r="G436">
            <v>0</v>
          </cell>
          <cell r="P436">
            <v>0</v>
          </cell>
          <cell r="X436">
            <v>0</v>
          </cell>
          <cell r="Y436">
            <v>0</v>
          </cell>
          <cell r="AC436">
            <v>0</v>
          </cell>
          <cell r="AD436">
            <v>0</v>
          </cell>
          <cell r="AK436">
            <v>0</v>
          </cell>
          <cell r="AL436">
            <v>0</v>
          </cell>
        </row>
        <row r="437">
          <cell r="F437">
            <v>2.6666666666666665</v>
          </cell>
          <cell r="G437">
            <v>1</v>
          </cell>
          <cell r="P437">
            <v>1</v>
          </cell>
          <cell r="X437">
            <v>4</v>
          </cell>
          <cell r="Y437">
            <v>2</v>
          </cell>
          <cell r="AC437">
            <v>2</v>
          </cell>
          <cell r="AD437">
            <v>1</v>
          </cell>
          <cell r="AK437">
            <v>15.666666666666666</v>
          </cell>
          <cell r="AL437">
            <v>8</v>
          </cell>
        </row>
        <row r="438">
          <cell r="F438">
            <v>0</v>
          </cell>
          <cell r="G438">
            <v>0</v>
          </cell>
          <cell r="P438">
            <v>0</v>
          </cell>
          <cell r="X438">
            <v>0</v>
          </cell>
          <cell r="Y438">
            <v>0</v>
          </cell>
          <cell r="AC438">
            <v>0</v>
          </cell>
          <cell r="AD438">
            <v>0</v>
          </cell>
          <cell r="AK438">
            <v>0</v>
          </cell>
          <cell r="AL438">
            <v>0</v>
          </cell>
        </row>
        <row r="439">
          <cell r="F439">
            <v>0</v>
          </cell>
          <cell r="G439">
            <v>0</v>
          </cell>
          <cell r="P439">
            <v>0</v>
          </cell>
          <cell r="X439">
            <v>3.3333333333333335</v>
          </cell>
          <cell r="Y439">
            <v>2</v>
          </cell>
          <cell r="AC439">
            <v>0</v>
          </cell>
          <cell r="AD439">
            <v>0</v>
          </cell>
          <cell r="AK439">
            <v>3.3333333333333335</v>
          </cell>
          <cell r="AL439">
            <v>2</v>
          </cell>
        </row>
        <row r="440">
          <cell r="F440">
            <v>0.33333333333333331</v>
          </cell>
          <cell r="G440">
            <v>0</v>
          </cell>
          <cell r="P440">
            <v>0.33333333333333331</v>
          </cell>
          <cell r="X440">
            <v>0.33333333333333331</v>
          </cell>
          <cell r="Y440">
            <v>0</v>
          </cell>
          <cell r="AC440">
            <v>0.33333333333333331</v>
          </cell>
          <cell r="AD440">
            <v>0</v>
          </cell>
          <cell r="AK440">
            <v>1.9999999999999998</v>
          </cell>
          <cell r="AL440">
            <v>0.33333333333333331</v>
          </cell>
        </row>
        <row r="441">
          <cell r="F441">
            <v>0</v>
          </cell>
          <cell r="G441">
            <v>0</v>
          </cell>
          <cell r="P441">
            <v>0</v>
          </cell>
          <cell r="X441">
            <v>0</v>
          </cell>
          <cell r="Y441">
            <v>0</v>
          </cell>
          <cell r="AC441">
            <v>0</v>
          </cell>
          <cell r="AD441">
            <v>0</v>
          </cell>
          <cell r="AK441">
            <v>0</v>
          </cell>
          <cell r="AL441">
            <v>0</v>
          </cell>
        </row>
        <row r="442">
          <cell r="F442">
            <v>0</v>
          </cell>
          <cell r="G442">
            <v>0</v>
          </cell>
          <cell r="P442">
            <v>0</v>
          </cell>
          <cell r="X442">
            <v>0</v>
          </cell>
          <cell r="Y442">
            <v>0</v>
          </cell>
          <cell r="AC442">
            <v>0</v>
          </cell>
          <cell r="AD442">
            <v>0</v>
          </cell>
          <cell r="AK442">
            <v>0</v>
          </cell>
          <cell r="AL442">
            <v>0</v>
          </cell>
        </row>
        <row r="443">
          <cell r="F443">
            <v>0</v>
          </cell>
          <cell r="G443">
            <v>0</v>
          </cell>
          <cell r="P443">
            <v>0</v>
          </cell>
          <cell r="X443">
            <v>0</v>
          </cell>
          <cell r="Y443">
            <v>0</v>
          </cell>
          <cell r="AC443">
            <v>0</v>
          </cell>
          <cell r="AD443">
            <v>0</v>
          </cell>
          <cell r="AK443">
            <v>0</v>
          </cell>
          <cell r="AL443">
            <v>0</v>
          </cell>
        </row>
        <row r="444">
          <cell r="F444">
            <v>0</v>
          </cell>
          <cell r="G444">
            <v>0</v>
          </cell>
          <cell r="P444">
            <v>0</v>
          </cell>
          <cell r="X444">
            <v>0</v>
          </cell>
          <cell r="Y444">
            <v>0</v>
          </cell>
          <cell r="AC444">
            <v>0</v>
          </cell>
          <cell r="AD444">
            <v>0</v>
          </cell>
          <cell r="AK444">
            <v>0</v>
          </cell>
          <cell r="AL444">
            <v>0</v>
          </cell>
        </row>
        <row r="445">
          <cell r="F445">
            <v>0</v>
          </cell>
          <cell r="G445">
            <v>0</v>
          </cell>
          <cell r="P445">
            <v>0</v>
          </cell>
          <cell r="X445">
            <v>0</v>
          </cell>
          <cell r="Y445">
            <v>0</v>
          </cell>
          <cell r="AC445">
            <v>0</v>
          </cell>
          <cell r="AD445">
            <v>0</v>
          </cell>
          <cell r="AK445">
            <v>0</v>
          </cell>
          <cell r="AL445">
            <v>0</v>
          </cell>
        </row>
        <row r="446">
          <cell r="F446">
            <v>0</v>
          </cell>
          <cell r="G446">
            <v>0</v>
          </cell>
          <cell r="P446">
            <v>0</v>
          </cell>
          <cell r="X446">
            <v>0</v>
          </cell>
          <cell r="Y446">
            <v>0</v>
          </cell>
          <cell r="AC446">
            <v>0</v>
          </cell>
          <cell r="AD446">
            <v>0</v>
          </cell>
          <cell r="AK446">
            <v>0</v>
          </cell>
          <cell r="AL446">
            <v>0</v>
          </cell>
        </row>
        <row r="447">
          <cell r="G447">
            <v>0</v>
          </cell>
          <cell r="P447">
            <v>0</v>
          </cell>
          <cell r="X447">
            <v>0</v>
          </cell>
          <cell r="Y447">
            <v>0</v>
          </cell>
          <cell r="AC447">
            <v>0</v>
          </cell>
          <cell r="AD447">
            <v>0</v>
          </cell>
          <cell r="AK447">
            <v>0</v>
          </cell>
          <cell r="AL447">
            <v>2</v>
          </cell>
        </row>
        <row r="448">
          <cell r="P448">
            <v>0</v>
          </cell>
          <cell r="X448">
            <v>0</v>
          </cell>
          <cell r="Y448">
            <v>0</v>
          </cell>
          <cell r="AC448">
            <v>0</v>
          </cell>
          <cell r="AD448">
            <v>0</v>
          </cell>
          <cell r="AK448">
            <v>0</v>
          </cell>
          <cell r="AL448">
            <v>0</v>
          </cell>
        </row>
      </sheetData>
      <sheetData sheetId="10" refreshError="1"/>
      <sheetData sheetId="11" refreshError="1">
        <row r="21">
          <cell r="AI21" t="str">
            <v xml:space="preserve">         Затверджую</v>
          </cell>
        </row>
        <row r="22">
          <cell r="AI22" t="str">
            <v xml:space="preserve"> Голова правління -</v>
          </cell>
        </row>
        <row r="23">
          <cell r="AI23" t="str">
            <v xml:space="preserve"> генеральний директор</v>
          </cell>
        </row>
        <row r="25">
          <cell r="F25">
            <v>2476</v>
          </cell>
          <cell r="G25">
            <v>968</v>
          </cell>
          <cell r="H25">
            <v>1508</v>
          </cell>
          <cell r="P25">
            <v>636.99999999999989</v>
          </cell>
          <cell r="Q25">
            <v>0</v>
          </cell>
          <cell r="R25">
            <v>0</v>
          </cell>
          <cell r="S25">
            <v>2544.666666666667</v>
          </cell>
          <cell r="T25">
            <v>1696.2666666666664</v>
          </cell>
          <cell r="U25">
            <v>848.40000000000009</v>
          </cell>
          <cell r="V25">
            <v>0</v>
          </cell>
          <cell r="W25">
            <v>0</v>
          </cell>
          <cell r="X25">
            <v>1280.3333333333333</v>
          </cell>
          <cell r="Y25">
            <v>837</v>
          </cell>
          <cell r="Z25">
            <v>443.33333333333331</v>
          </cell>
          <cell r="AA25">
            <v>0</v>
          </cell>
          <cell r="AB25">
            <v>0</v>
          </cell>
          <cell r="AC25">
            <v>549</v>
          </cell>
          <cell r="AD25">
            <v>326</v>
          </cell>
          <cell r="AE25">
            <v>222.99999999999997</v>
          </cell>
          <cell r="AF25">
            <v>1455</v>
          </cell>
          <cell r="AG25">
            <v>733</v>
          </cell>
          <cell r="AH25">
            <v>722</v>
          </cell>
          <cell r="AI25">
            <v>406.2</v>
          </cell>
          <cell r="AJ25">
            <v>0</v>
          </cell>
          <cell r="AK25">
            <v>8784</v>
          </cell>
          <cell r="AL25">
            <v>3007</v>
          </cell>
          <cell r="AM25">
            <v>5777</v>
          </cell>
          <cell r="AN25">
            <v>5777</v>
          </cell>
          <cell r="AO25">
            <v>1163</v>
          </cell>
          <cell r="AP25">
            <v>1531</v>
          </cell>
          <cell r="AQ25">
            <v>1843.9999999999998</v>
          </cell>
          <cell r="AR25">
            <v>4246</v>
          </cell>
        </row>
        <row r="26">
          <cell r="AI26" t="str">
            <v xml:space="preserve">   "_____" ________2000 р.</v>
          </cell>
        </row>
        <row r="30">
          <cell r="P30" t="str">
            <v>4мес</v>
          </cell>
          <cell r="S30" t="str">
            <v>4 мес</v>
          </cell>
          <cell r="X30" t="str">
            <v>4 мес</v>
          </cell>
          <cell r="AC30" t="str">
            <v>4 мес</v>
          </cell>
        </row>
        <row r="31">
          <cell r="P31">
            <v>9611</v>
          </cell>
          <cell r="S31">
            <v>29500</v>
          </cell>
          <cell r="X31">
            <v>9129</v>
          </cell>
          <cell r="AC31">
            <v>5177</v>
          </cell>
          <cell r="AF31">
            <v>15250</v>
          </cell>
        </row>
        <row r="32">
          <cell r="Q32" t="str">
            <v>КТМ</v>
          </cell>
          <cell r="V32" t="str">
            <v xml:space="preserve">ТЕЦ-5 </v>
          </cell>
          <cell r="AA32" t="str">
            <v xml:space="preserve">ТЕЦ-6 </v>
          </cell>
        </row>
        <row r="33">
          <cell r="P33">
            <v>12306</v>
          </cell>
          <cell r="S33">
            <v>37211</v>
          </cell>
          <cell r="X33">
            <v>13845</v>
          </cell>
          <cell r="AC33">
            <v>7693</v>
          </cell>
          <cell r="AF33">
            <v>19609</v>
          </cell>
        </row>
        <row r="34">
          <cell r="F34" t="str">
            <v>ВИКОН.ДИР.</v>
          </cell>
          <cell r="G34" t="str">
            <v>Е/Е</v>
          </cell>
          <cell r="H34" t="str">
            <v xml:space="preserve"> Т/Е</v>
          </cell>
          <cell r="P34" t="str">
            <v xml:space="preserve">КМ </v>
          </cell>
          <cell r="Q34" t="str">
            <v>КТМ</v>
          </cell>
          <cell r="S34" t="str">
            <v xml:space="preserve">ТМ </v>
          </cell>
          <cell r="T34" t="str">
            <v>ВИРОБН</v>
          </cell>
          <cell r="U34" t="str">
            <v>ПЕРЕД</v>
          </cell>
          <cell r="V34" t="str">
            <v xml:space="preserve">ТЕЦ-5 </v>
          </cell>
          <cell r="X34" t="str">
            <v>ТЕЦ-5 ВСЬОГО</v>
          </cell>
          <cell r="Y34" t="str">
            <v>Е/Е</v>
          </cell>
          <cell r="Z34" t="str">
            <v xml:space="preserve"> Т/Е</v>
          </cell>
          <cell r="AA34" t="str">
            <v xml:space="preserve">ТЕЦ-6 </v>
          </cell>
          <cell r="AC34" t="str">
            <v>ТЕЦ-6 ВСЬОГО</v>
          </cell>
          <cell r="AD34" t="str">
            <v>Е/Е</v>
          </cell>
          <cell r="AE34" t="str">
            <v xml:space="preserve"> Т/Е</v>
          </cell>
          <cell r="AF34" t="str">
            <v>ТРМ ВСЬОГО</v>
          </cell>
          <cell r="AG34" t="str">
            <v>ТРМ  АК КЕ</v>
          </cell>
          <cell r="AH34" t="str">
            <v>ТРМ СТОР</v>
          </cell>
          <cell r="AI34" t="str">
            <v xml:space="preserve">ДОП.ВИР. </v>
          </cell>
          <cell r="AJ34" t="str">
            <v>ДОП.ВИР. СТ.ОРГ.</v>
          </cell>
          <cell r="AK34" t="str">
            <v>АК КЕ ВСЬОГО</v>
          </cell>
          <cell r="AL34" t="str">
            <v xml:space="preserve"> Е/Е</v>
          </cell>
          <cell r="AM34" t="str">
            <v xml:space="preserve"> Т/Е</v>
          </cell>
          <cell r="AO34" t="str">
            <v>СТАНЦІї ЕЛЕКТРО</v>
          </cell>
          <cell r="AP34" t="str">
            <v>СТАНЦІІ ТЕПЛОВІ</v>
          </cell>
          <cell r="AQ34" t="str">
            <v>МЕРЕЖІ ЕЛЕКТРО</v>
          </cell>
          <cell r="AR34" t="str">
            <v>МЕРЕЖІ ТЕПЛОВІ</v>
          </cell>
        </row>
        <row r="35">
          <cell r="AL35">
            <v>395</v>
          </cell>
        </row>
        <row r="36">
          <cell r="F36" t="str">
            <v>ВИКОН.ДИР.</v>
          </cell>
          <cell r="G36" t="str">
            <v>Е/Е</v>
          </cell>
          <cell r="H36" t="str">
            <v xml:space="preserve"> Т/Е</v>
          </cell>
          <cell r="P36" t="str">
            <v xml:space="preserve">КМ </v>
          </cell>
          <cell r="S36" t="str">
            <v xml:space="preserve">ТМ </v>
          </cell>
          <cell r="T36" t="str">
            <v>ВИРОБН</v>
          </cell>
          <cell r="U36" t="str">
            <v>ПЕРЕД</v>
          </cell>
          <cell r="X36" t="str">
            <v>ТЕЦ-5 ВСЬОГО</v>
          </cell>
          <cell r="Y36" t="str">
            <v>Е/Е</v>
          </cell>
          <cell r="Z36" t="str">
            <v xml:space="preserve"> Т/Е</v>
          </cell>
          <cell r="AC36" t="str">
            <v>ТЕЦ-6 ВСЬОГО</v>
          </cell>
          <cell r="AD36" t="str">
            <v>Е/Е</v>
          </cell>
          <cell r="AE36" t="str">
            <v xml:space="preserve"> Т/Е</v>
          </cell>
          <cell r="AF36" t="str">
            <v>ТРМ ВСЬОГО</v>
          </cell>
          <cell r="AG36" t="str">
            <v>ТРМ  АК КЕ</v>
          </cell>
          <cell r="AH36" t="str">
            <v>ТРМ СТОР</v>
          </cell>
          <cell r="AK36" t="str">
            <v>АК КЕ ВСЬОГО</v>
          </cell>
          <cell r="AL36">
            <v>336</v>
          </cell>
          <cell r="AM36" t="str">
            <v xml:space="preserve"> Т/Е</v>
          </cell>
          <cell r="AO36" t="str">
            <v>СТАНЦІї ЕЛЕКТРО</v>
          </cell>
          <cell r="AP36" t="str">
            <v>СТАНЦІІ ТЕПЛОВІ</v>
          </cell>
          <cell r="AQ36" t="str">
            <v>МЕРЕЖІ ЕЛЕКТРО</v>
          </cell>
          <cell r="AR36" t="str">
            <v>МЕРЕЖІ ТЕПЛОВІ</v>
          </cell>
        </row>
        <row r="37">
          <cell r="AL37">
            <v>0</v>
          </cell>
        </row>
        <row r="38">
          <cell r="AL38">
            <v>336</v>
          </cell>
        </row>
        <row r="39">
          <cell r="AL39">
            <v>0</v>
          </cell>
        </row>
        <row r="40">
          <cell r="AL40">
            <v>0</v>
          </cell>
        </row>
        <row r="41">
          <cell r="AL41">
            <v>395.6</v>
          </cell>
        </row>
        <row r="42">
          <cell r="P42">
            <v>0</v>
          </cell>
          <cell r="AL42">
            <v>395.6</v>
          </cell>
        </row>
        <row r="43">
          <cell r="AL43">
            <v>395.6</v>
          </cell>
          <cell r="AM43">
            <v>1580</v>
          </cell>
        </row>
        <row r="44">
          <cell r="P44">
            <v>0</v>
          </cell>
          <cell r="AL44">
            <v>395.6</v>
          </cell>
          <cell r="AM44">
            <v>0</v>
          </cell>
        </row>
        <row r="45">
          <cell r="AM45">
            <v>1580</v>
          </cell>
        </row>
        <row r="46">
          <cell r="F46">
            <v>9995.1</v>
          </cell>
          <cell r="P46">
            <v>2694.62</v>
          </cell>
          <cell r="S46">
            <v>7710.7648484848487</v>
          </cell>
          <cell r="T46">
            <v>2690.8247757575755</v>
          </cell>
          <cell r="U46">
            <v>2611.9400727272728</v>
          </cell>
          <cell r="X46">
            <v>4714.5030303030289</v>
          </cell>
          <cell r="AC46">
            <v>2516.6951515151522</v>
          </cell>
          <cell r="AF46">
            <v>4357.5593939393939</v>
          </cell>
          <cell r="AG46">
            <v>3406</v>
          </cell>
          <cell r="AH46">
            <v>952.89272727272737</v>
          </cell>
          <cell r="AM46">
            <v>0</v>
          </cell>
        </row>
        <row r="47">
          <cell r="F47">
            <v>0.8</v>
          </cell>
          <cell r="AM47">
            <v>1580</v>
          </cell>
        </row>
        <row r="48">
          <cell r="F48">
            <v>13122</v>
          </cell>
          <cell r="P48">
            <v>2489.2866666666664</v>
          </cell>
          <cell r="S48">
            <v>6569.1989393939384</v>
          </cell>
          <cell r="T48">
            <v>2125.1968969696973</v>
          </cell>
          <cell r="U48">
            <v>2413.8020424242422</v>
          </cell>
          <cell r="X48">
            <v>3133.4075757575761</v>
          </cell>
          <cell r="AC48">
            <v>2333.3751515151525</v>
          </cell>
          <cell r="AF48">
            <v>4511.4533333333329</v>
          </cell>
          <cell r="AG48">
            <v>3609.54</v>
          </cell>
          <cell r="AH48">
            <v>856.9133333333333</v>
          </cell>
        </row>
        <row r="49">
          <cell r="F49">
            <v>759</v>
          </cell>
          <cell r="G49">
            <v>297</v>
          </cell>
          <cell r="H49">
            <v>462</v>
          </cell>
          <cell r="P49">
            <v>470</v>
          </cell>
          <cell r="S49">
            <v>885</v>
          </cell>
          <cell r="T49">
            <v>442.5</v>
          </cell>
          <cell r="U49">
            <v>442.5</v>
          </cell>
          <cell r="X49">
            <v>204</v>
          </cell>
          <cell r="Y49">
            <v>133</v>
          </cell>
          <cell r="Z49">
            <v>71</v>
          </cell>
          <cell r="AC49">
            <v>379.33333333333331</v>
          </cell>
          <cell r="AD49">
            <v>225</v>
          </cell>
          <cell r="AE49">
            <v>154.33333333333331</v>
          </cell>
          <cell r="AF49">
            <v>500</v>
          </cell>
          <cell r="AG49">
            <v>209</v>
          </cell>
          <cell r="AH49">
            <v>291</v>
          </cell>
          <cell r="AI49">
            <v>70</v>
          </cell>
          <cell r="AK49">
            <v>3035.3333333333335</v>
          </cell>
          <cell r="AL49">
            <v>1155</v>
          </cell>
          <cell r="AM49">
            <v>1880.3333333333335</v>
          </cell>
          <cell r="AN49">
            <v>1880.3333333333333</v>
          </cell>
          <cell r="AO49">
            <v>358</v>
          </cell>
          <cell r="AP49">
            <v>526</v>
          </cell>
          <cell r="AQ49">
            <v>797</v>
          </cell>
          <cell r="AR49">
            <v>1354.3333333333335</v>
          </cell>
        </row>
        <row r="50">
          <cell r="F50">
            <v>294</v>
          </cell>
          <cell r="G50">
            <v>115</v>
          </cell>
          <cell r="H50">
            <v>179</v>
          </cell>
          <cell r="P50">
            <v>450</v>
          </cell>
          <cell r="S50">
            <v>750</v>
          </cell>
          <cell r="X50">
            <v>102</v>
          </cell>
          <cell r="Y50">
            <v>67</v>
          </cell>
          <cell r="Z50">
            <v>35</v>
          </cell>
          <cell r="AC50">
            <v>97</v>
          </cell>
          <cell r="AD50">
            <v>58</v>
          </cell>
          <cell r="AE50">
            <v>39</v>
          </cell>
          <cell r="AF50">
            <v>447</v>
          </cell>
          <cell r="AG50">
            <v>415</v>
          </cell>
          <cell r="AH50">
            <v>32</v>
          </cell>
          <cell r="AK50">
            <v>2142</v>
          </cell>
          <cell r="AL50">
            <v>721</v>
          </cell>
          <cell r="AM50">
            <v>1421</v>
          </cell>
          <cell r="AN50">
            <v>1421</v>
          </cell>
        </row>
        <row r="51">
          <cell r="F51">
            <v>735</v>
          </cell>
          <cell r="G51">
            <v>0</v>
          </cell>
          <cell r="H51">
            <v>408</v>
          </cell>
          <cell r="P51">
            <v>0</v>
          </cell>
          <cell r="S51">
            <v>1069.6666666666665</v>
          </cell>
          <cell r="T51">
            <v>534.83333333333326</v>
          </cell>
          <cell r="U51">
            <v>534.83333333333326</v>
          </cell>
          <cell r="X51">
            <v>0</v>
          </cell>
          <cell r="Y51">
            <v>0</v>
          </cell>
          <cell r="Z51">
            <v>0</v>
          </cell>
          <cell r="AC51">
            <v>0</v>
          </cell>
          <cell r="AD51">
            <v>0</v>
          </cell>
          <cell r="AE51">
            <v>0</v>
          </cell>
          <cell r="AF51">
            <v>635.25</v>
          </cell>
          <cell r="AG51">
            <v>456.25</v>
          </cell>
          <cell r="AH51">
            <v>0</v>
          </cell>
          <cell r="AK51">
            <v>0</v>
          </cell>
          <cell r="AL51">
            <v>0</v>
          </cell>
          <cell r="AM51">
            <v>0</v>
          </cell>
          <cell r="AN51">
            <v>0</v>
          </cell>
          <cell r="AO51">
            <v>543</v>
          </cell>
          <cell r="AP51">
            <v>583</v>
          </cell>
          <cell r="AQ51">
            <v>519.59999999999991</v>
          </cell>
          <cell r="AR51">
            <v>1728.3000000000002</v>
          </cell>
        </row>
        <row r="52">
          <cell r="F52">
            <v>465</v>
          </cell>
          <cell r="G52">
            <v>182</v>
          </cell>
          <cell r="H52">
            <v>283</v>
          </cell>
          <cell r="P52">
            <v>20</v>
          </cell>
          <cell r="S52">
            <v>88</v>
          </cell>
          <cell r="X52">
            <v>65</v>
          </cell>
          <cell r="Y52">
            <v>43</v>
          </cell>
          <cell r="Z52">
            <v>22</v>
          </cell>
          <cell r="AC52">
            <v>66</v>
          </cell>
          <cell r="AD52">
            <v>39</v>
          </cell>
          <cell r="AE52">
            <v>27</v>
          </cell>
          <cell r="AF52">
            <v>26</v>
          </cell>
          <cell r="AG52">
            <v>0</v>
          </cell>
          <cell r="AH52">
            <v>26</v>
          </cell>
          <cell r="AK52">
            <v>704</v>
          </cell>
          <cell r="AL52">
            <v>284</v>
          </cell>
          <cell r="AM52">
            <v>420</v>
          </cell>
          <cell r="AN52">
            <v>420</v>
          </cell>
        </row>
        <row r="53">
          <cell r="F53">
            <v>20</v>
          </cell>
          <cell r="G53">
            <v>8</v>
          </cell>
          <cell r="H53">
            <v>12</v>
          </cell>
          <cell r="P53">
            <v>53.666666666666664</v>
          </cell>
          <cell r="S53">
            <v>368.66666666666669</v>
          </cell>
          <cell r="T53">
            <v>287.56</v>
          </cell>
          <cell r="U53">
            <v>81.106666666666683</v>
          </cell>
          <cell r="X53">
            <v>978.66666666666663</v>
          </cell>
          <cell r="Y53">
            <v>640</v>
          </cell>
          <cell r="Z53">
            <v>338.66666666666663</v>
          </cell>
          <cell r="AC53">
            <v>84.333333333333329</v>
          </cell>
          <cell r="AD53">
            <v>50</v>
          </cell>
          <cell r="AE53">
            <v>34.333333333333329</v>
          </cell>
          <cell r="AF53">
            <v>189.33333333333334</v>
          </cell>
          <cell r="AG53">
            <v>110</v>
          </cell>
          <cell r="AH53">
            <v>79.333333333333343</v>
          </cell>
          <cell r="AI53">
            <v>36</v>
          </cell>
          <cell r="AK53">
            <v>1615.3333333333333</v>
          </cell>
          <cell r="AL53">
            <v>751.66666666666663</v>
          </cell>
          <cell r="AM53">
            <v>863.66666666666663</v>
          </cell>
          <cell r="AN53">
            <v>863.66666666666663</v>
          </cell>
          <cell r="AO53">
            <v>690</v>
          </cell>
          <cell r="AP53">
            <v>498</v>
          </cell>
          <cell r="AQ53">
            <v>61.666666666666629</v>
          </cell>
          <cell r="AR53">
            <v>365.66666666666663</v>
          </cell>
        </row>
        <row r="54">
          <cell r="F54">
            <v>0</v>
          </cell>
          <cell r="G54">
            <v>0</v>
          </cell>
          <cell r="H54">
            <v>0</v>
          </cell>
          <cell r="P54">
            <v>30</v>
          </cell>
          <cell r="S54">
            <v>13.666666666666666</v>
          </cell>
          <cell r="T54">
            <v>13.666666666666666</v>
          </cell>
          <cell r="U54">
            <v>0</v>
          </cell>
          <cell r="X54">
            <v>757</v>
          </cell>
          <cell r="Y54">
            <v>495</v>
          </cell>
          <cell r="Z54">
            <v>262</v>
          </cell>
          <cell r="AC54">
            <v>13.333333333333334</v>
          </cell>
          <cell r="AD54">
            <v>8</v>
          </cell>
          <cell r="AE54">
            <v>5.3333333333333339</v>
          </cell>
          <cell r="AF54">
            <v>0.33333333333333331</v>
          </cell>
          <cell r="AG54">
            <v>3</v>
          </cell>
          <cell r="AH54">
            <v>0.33333333333333331</v>
          </cell>
          <cell r="AK54">
            <v>784</v>
          </cell>
          <cell r="AL54">
            <v>503</v>
          </cell>
          <cell r="AM54">
            <v>281</v>
          </cell>
          <cell r="AN54">
            <v>281</v>
          </cell>
          <cell r="AO54">
            <v>503</v>
          </cell>
          <cell r="AP54">
            <v>272</v>
          </cell>
          <cell r="AQ54">
            <v>0</v>
          </cell>
          <cell r="AR54">
            <v>9</v>
          </cell>
        </row>
        <row r="55">
          <cell r="F55">
            <v>0</v>
          </cell>
          <cell r="G55">
            <v>0</v>
          </cell>
          <cell r="H55">
            <v>0</v>
          </cell>
          <cell r="P55">
            <v>27.766666666666676</v>
          </cell>
          <cell r="S55">
            <v>2830</v>
          </cell>
          <cell r="T55">
            <v>2830</v>
          </cell>
          <cell r="U55">
            <v>0</v>
          </cell>
          <cell r="X55">
            <v>12455</v>
          </cell>
          <cell r="Y55">
            <v>8146</v>
          </cell>
          <cell r="Z55">
            <v>4309</v>
          </cell>
          <cell r="AC55">
            <v>10588</v>
          </cell>
          <cell r="AD55">
            <v>6279</v>
          </cell>
          <cell r="AE55">
            <v>4309</v>
          </cell>
          <cell r="AF55">
            <v>160.93333333333328</v>
          </cell>
          <cell r="AG55">
            <v>150</v>
          </cell>
          <cell r="AH55">
            <v>0</v>
          </cell>
          <cell r="AK55">
            <v>25873</v>
          </cell>
          <cell r="AL55">
            <v>14425</v>
          </cell>
          <cell r="AM55">
            <v>11448</v>
          </cell>
          <cell r="AN55">
            <v>11448</v>
          </cell>
          <cell r="AO55">
            <v>14425</v>
          </cell>
          <cell r="AP55">
            <v>11448</v>
          </cell>
          <cell r="AQ55">
            <v>0</v>
          </cell>
          <cell r="AR55">
            <v>0</v>
          </cell>
        </row>
        <row r="56">
          <cell r="F56">
            <v>0</v>
          </cell>
          <cell r="G56">
            <v>0</v>
          </cell>
          <cell r="H56">
            <v>0</v>
          </cell>
          <cell r="P56">
            <v>0</v>
          </cell>
          <cell r="S56">
            <v>2830</v>
          </cell>
          <cell r="T56">
            <v>2830</v>
          </cell>
          <cell r="U56">
            <v>0</v>
          </cell>
          <cell r="X56">
            <v>12455</v>
          </cell>
          <cell r="Y56">
            <v>8146</v>
          </cell>
          <cell r="Z56">
            <v>4309</v>
          </cell>
          <cell r="AC56">
            <v>10588</v>
          </cell>
          <cell r="AD56">
            <v>6279</v>
          </cell>
          <cell r="AE56">
            <v>4309</v>
          </cell>
          <cell r="AF56">
            <v>0</v>
          </cell>
          <cell r="AG56">
            <v>0</v>
          </cell>
          <cell r="AH56">
            <v>0</v>
          </cell>
          <cell r="AI56">
            <v>0</v>
          </cell>
          <cell r="AK56">
            <v>25873</v>
          </cell>
          <cell r="AL56">
            <v>14425</v>
          </cell>
          <cell r="AM56">
            <v>11448</v>
          </cell>
          <cell r="AN56">
            <v>11448</v>
          </cell>
          <cell r="AO56">
            <v>14425</v>
          </cell>
          <cell r="AP56">
            <v>11448</v>
          </cell>
          <cell r="AQ56">
            <v>0</v>
          </cell>
          <cell r="AR56">
            <v>0</v>
          </cell>
        </row>
        <row r="57">
          <cell r="F57">
            <v>0</v>
          </cell>
          <cell r="G57">
            <v>0</v>
          </cell>
          <cell r="H57">
            <v>0</v>
          </cell>
          <cell r="S57">
            <v>2945</v>
          </cell>
          <cell r="T57">
            <v>0</v>
          </cell>
          <cell r="U57">
            <v>0</v>
          </cell>
          <cell r="X57">
            <v>12359</v>
          </cell>
          <cell r="Y57">
            <v>8878</v>
          </cell>
          <cell r="Z57">
            <v>3481</v>
          </cell>
          <cell r="AC57">
            <v>10357</v>
          </cell>
          <cell r="AD57">
            <v>7369</v>
          </cell>
          <cell r="AE57">
            <v>2988</v>
          </cell>
          <cell r="AF57">
            <v>0</v>
          </cell>
          <cell r="AH57">
            <v>0</v>
          </cell>
          <cell r="AK57">
            <v>0</v>
          </cell>
          <cell r="AL57">
            <v>0</v>
          </cell>
          <cell r="AM57">
            <v>0</v>
          </cell>
          <cell r="AN57">
            <v>0</v>
          </cell>
          <cell r="AO57">
            <v>16247</v>
          </cell>
          <cell r="AP57">
            <v>0</v>
          </cell>
          <cell r="AQ57">
            <v>0</v>
          </cell>
          <cell r="AR57">
            <v>0</v>
          </cell>
        </row>
        <row r="58">
          <cell r="F58">
            <v>8</v>
          </cell>
          <cell r="G58">
            <v>3</v>
          </cell>
          <cell r="H58">
            <v>5</v>
          </cell>
          <cell r="P58">
            <v>21.666666666666668</v>
          </cell>
          <cell r="S58">
            <v>865.66666666666663</v>
          </cell>
          <cell r="T58">
            <v>865.66666666666663</v>
          </cell>
          <cell r="U58">
            <v>0</v>
          </cell>
          <cell r="X58">
            <v>0</v>
          </cell>
          <cell r="Y58">
            <v>0</v>
          </cell>
          <cell r="Z58">
            <v>0</v>
          </cell>
          <cell r="AC58">
            <v>0</v>
          </cell>
          <cell r="AD58">
            <v>0</v>
          </cell>
          <cell r="AE58">
            <v>0</v>
          </cell>
          <cell r="AF58">
            <v>539.33333333333337</v>
          </cell>
          <cell r="AG58">
            <v>241</v>
          </cell>
          <cell r="AH58">
            <v>298.33333333333337</v>
          </cell>
          <cell r="AI58">
            <v>241</v>
          </cell>
          <cell r="AK58">
            <v>1136.3333333333333</v>
          </cell>
          <cell r="AL58">
            <v>24.666666666666668</v>
          </cell>
          <cell r="AM58">
            <v>1111.6666666666665</v>
          </cell>
          <cell r="AN58">
            <v>1111.6666666666665</v>
          </cell>
          <cell r="AO58">
            <v>0</v>
          </cell>
          <cell r="AP58">
            <v>294</v>
          </cell>
          <cell r="AQ58">
            <v>24.666666666666668</v>
          </cell>
          <cell r="AR58">
            <v>817.66666666666652</v>
          </cell>
        </row>
        <row r="59">
          <cell r="F59">
            <v>367.1</v>
          </cell>
          <cell r="G59">
            <v>143</v>
          </cell>
          <cell r="H59">
            <v>224.10000000000002</v>
          </cell>
          <cell r="P59">
            <v>539.62000000000012</v>
          </cell>
          <cell r="S59">
            <v>924.09818181818162</v>
          </cell>
          <cell r="T59">
            <v>452.808109090909</v>
          </cell>
          <cell r="U59">
            <v>471.29007272727262</v>
          </cell>
          <cell r="X59">
            <v>315.83636363636361</v>
          </cell>
          <cell r="Y59">
            <v>207</v>
          </cell>
          <cell r="Z59">
            <v>108.83636363636361</v>
          </cell>
          <cell r="AC59">
            <v>277.36181818181819</v>
          </cell>
          <cell r="AD59">
            <v>164</v>
          </cell>
          <cell r="AE59">
            <v>113.36181818181819</v>
          </cell>
          <cell r="AF59">
            <v>957.89272727272737</v>
          </cell>
          <cell r="AG59">
            <v>844</v>
          </cell>
          <cell r="AH59">
            <v>113.89272727272737</v>
          </cell>
          <cell r="AI59">
            <v>274</v>
          </cell>
          <cell r="AK59">
            <v>3517.0163636363641</v>
          </cell>
          <cell r="AL59">
            <v>1221.6200000000001</v>
          </cell>
          <cell r="AM59">
            <v>2295.3963636363642</v>
          </cell>
          <cell r="AN59">
            <v>2295.3963636363633</v>
          </cell>
          <cell r="AO59">
            <v>371</v>
          </cell>
          <cell r="AP59">
            <v>536</v>
          </cell>
          <cell r="AQ59">
            <v>850.62000000000012</v>
          </cell>
          <cell r="AR59">
            <v>1759.3963636363642</v>
          </cell>
        </row>
        <row r="60">
          <cell r="F60">
            <v>20</v>
          </cell>
          <cell r="G60">
            <v>8</v>
          </cell>
          <cell r="H60">
            <v>12</v>
          </cell>
          <cell r="P60">
            <v>30</v>
          </cell>
          <cell r="S60">
            <v>51</v>
          </cell>
          <cell r="T60">
            <v>25</v>
          </cell>
          <cell r="U60">
            <v>26</v>
          </cell>
          <cell r="X60">
            <v>17</v>
          </cell>
          <cell r="Y60">
            <v>11</v>
          </cell>
          <cell r="Z60">
            <v>6</v>
          </cell>
          <cell r="AC60">
            <v>15</v>
          </cell>
          <cell r="AD60">
            <v>9</v>
          </cell>
          <cell r="AE60">
            <v>6</v>
          </cell>
          <cell r="AF60">
            <v>53</v>
          </cell>
          <cell r="AG60">
            <v>46</v>
          </cell>
          <cell r="AH60">
            <v>7</v>
          </cell>
          <cell r="AI60">
            <v>15</v>
          </cell>
          <cell r="AK60">
            <v>192</v>
          </cell>
          <cell r="AL60">
            <v>67</v>
          </cell>
          <cell r="AM60">
            <v>125</v>
          </cell>
          <cell r="AN60">
            <v>125</v>
          </cell>
          <cell r="AO60">
            <v>20</v>
          </cell>
          <cell r="AP60">
            <v>22</v>
          </cell>
          <cell r="AQ60">
            <v>47</v>
          </cell>
          <cell r="AR60">
            <v>103</v>
          </cell>
        </row>
        <row r="61">
          <cell r="F61">
            <v>117</v>
          </cell>
          <cell r="G61">
            <v>46</v>
          </cell>
          <cell r="H61">
            <v>71</v>
          </cell>
          <cell r="P61">
            <v>173</v>
          </cell>
          <cell r="S61">
            <v>296</v>
          </cell>
          <cell r="T61">
            <v>145</v>
          </cell>
          <cell r="U61">
            <v>151</v>
          </cell>
          <cell r="X61">
            <v>101</v>
          </cell>
          <cell r="Y61">
            <v>66</v>
          </cell>
          <cell r="Z61">
            <v>35</v>
          </cell>
          <cell r="AC61">
            <v>89</v>
          </cell>
          <cell r="AD61">
            <v>53</v>
          </cell>
          <cell r="AE61">
            <v>36</v>
          </cell>
          <cell r="AF61">
            <v>307</v>
          </cell>
          <cell r="AG61">
            <v>270</v>
          </cell>
          <cell r="AH61">
            <v>37</v>
          </cell>
          <cell r="AI61">
            <v>88</v>
          </cell>
          <cell r="AK61">
            <v>1126</v>
          </cell>
          <cell r="AL61">
            <v>391</v>
          </cell>
          <cell r="AM61">
            <v>735</v>
          </cell>
          <cell r="AN61">
            <v>734</v>
          </cell>
          <cell r="AO61">
            <v>0</v>
          </cell>
          <cell r="AP61">
            <v>0</v>
          </cell>
          <cell r="AQ61">
            <v>0</v>
          </cell>
          <cell r="AR61">
            <v>0</v>
          </cell>
        </row>
        <row r="62">
          <cell r="F62">
            <v>0</v>
          </cell>
          <cell r="G62">
            <v>0</v>
          </cell>
          <cell r="H62">
            <v>12</v>
          </cell>
          <cell r="P62">
            <v>0</v>
          </cell>
          <cell r="S62">
            <v>54</v>
          </cell>
          <cell r="T62">
            <v>26</v>
          </cell>
          <cell r="U62">
            <v>27</v>
          </cell>
          <cell r="X62">
            <v>0</v>
          </cell>
          <cell r="Y62">
            <v>11</v>
          </cell>
          <cell r="Z62">
            <v>5</v>
          </cell>
          <cell r="AC62">
            <v>16</v>
          </cell>
          <cell r="AD62">
            <v>11</v>
          </cell>
          <cell r="AE62">
            <v>5</v>
          </cell>
          <cell r="AF62">
            <v>61</v>
          </cell>
          <cell r="AG62">
            <v>55</v>
          </cell>
          <cell r="AH62">
            <v>0</v>
          </cell>
          <cell r="AK62">
            <v>0</v>
          </cell>
          <cell r="AL62">
            <v>74</v>
          </cell>
          <cell r="AM62">
            <v>135</v>
          </cell>
          <cell r="AN62">
            <v>0</v>
          </cell>
          <cell r="AO62">
            <v>22</v>
          </cell>
          <cell r="AP62">
            <v>20</v>
          </cell>
          <cell r="AQ62">
            <v>52</v>
          </cell>
          <cell r="AR62">
            <v>115</v>
          </cell>
        </row>
        <row r="63">
          <cell r="F63">
            <v>79</v>
          </cell>
          <cell r="G63">
            <v>31</v>
          </cell>
          <cell r="H63">
            <v>48</v>
          </cell>
          <cell r="P63">
            <v>573</v>
          </cell>
          <cell r="S63">
            <v>1126</v>
          </cell>
          <cell r="T63">
            <v>180.16</v>
          </cell>
          <cell r="U63">
            <v>945.84</v>
          </cell>
          <cell r="X63">
            <v>563</v>
          </cell>
          <cell r="Y63">
            <v>368</v>
          </cell>
          <cell r="Z63">
            <v>195</v>
          </cell>
          <cell r="AC63">
            <v>713</v>
          </cell>
          <cell r="AD63">
            <v>423</v>
          </cell>
          <cell r="AE63">
            <v>290</v>
          </cell>
          <cell r="AF63">
            <v>526</v>
          </cell>
          <cell r="AG63">
            <v>526</v>
          </cell>
          <cell r="AH63">
            <v>0</v>
          </cell>
          <cell r="AK63">
            <v>3590</v>
          </cell>
          <cell r="AL63">
            <v>1402</v>
          </cell>
          <cell r="AM63">
            <v>2188</v>
          </cell>
          <cell r="AN63">
            <v>2188</v>
          </cell>
          <cell r="AO63">
            <v>791</v>
          </cell>
          <cell r="AP63">
            <v>868</v>
          </cell>
          <cell r="AQ63">
            <v>611</v>
          </cell>
          <cell r="AR63">
            <v>1320</v>
          </cell>
        </row>
        <row r="64">
          <cell r="F64">
            <v>0</v>
          </cell>
          <cell r="G64">
            <v>0</v>
          </cell>
          <cell r="P64">
            <v>0</v>
          </cell>
          <cell r="T64">
            <v>18</v>
          </cell>
          <cell r="U64">
            <v>95</v>
          </cell>
          <cell r="X64">
            <v>0</v>
          </cell>
          <cell r="AH64">
            <v>0</v>
          </cell>
          <cell r="AI64">
            <v>0</v>
          </cell>
          <cell r="AJ64">
            <v>0</v>
          </cell>
          <cell r="AK64">
            <v>0</v>
          </cell>
          <cell r="AN64">
            <v>0</v>
          </cell>
          <cell r="AO64">
            <v>79</v>
          </cell>
          <cell r="AP64">
            <v>87</v>
          </cell>
          <cell r="AQ64">
            <v>61</v>
          </cell>
          <cell r="AR64">
            <v>132</v>
          </cell>
        </row>
        <row r="65">
          <cell r="F65">
            <v>0</v>
          </cell>
          <cell r="G65">
            <v>0</v>
          </cell>
          <cell r="H65">
            <v>0</v>
          </cell>
          <cell r="P65">
            <v>689</v>
          </cell>
          <cell r="S65">
            <v>2348</v>
          </cell>
          <cell r="T65">
            <v>87.84</v>
          </cell>
          <cell r="U65">
            <v>461.15999999999997</v>
          </cell>
          <cell r="X65">
            <v>218</v>
          </cell>
          <cell r="Y65">
            <v>359</v>
          </cell>
          <cell r="Z65">
            <v>141.33333333333337</v>
          </cell>
          <cell r="AC65">
            <v>195</v>
          </cell>
          <cell r="AD65">
            <v>289</v>
          </cell>
          <cell r="AE65">
            <v>117</v>
          </cell>
          <cell r="AF65">
            <v>400</v>
          </cell>
          <cell r="AG65">
            <v>400</v>
          </cell>
          <cell r="AH65">
            <v>0</v>
          </cell>
          <cell r="AK65">
            <v>3860</v>
          </cell>
          <cell r="AL65">
            <v>696</v>
          </cell>
          <cell r="AM65">
            <v>3164</v>
          </cell>
          <cell r="AN65">
            <v>2751</v>
          </cell>
          <cell r="AO65">
            <v>648</v>
          </cell>
          <cell r="AP65">
            <v>646</v>
          </cell>
          <cell r="AQ65">
            <v>402</v>
          </cell>
          <cell r="AR65">
            <v>998.33333333333348</v>
          </cell>
        </row>
        <row r="66">
          <cell r="F66">
            <v>0</v>
          </cell>
          <cell r="G66">
            <v>0</v>
          </cell>
          <cell r="P66">
            <v>0</v>
          </cell>
          <cell r="S66">
            <v>0</v>
          </cell>
          <cell r="T66">
            <v>9</v>
          </cell>
          <cell r="U66">
            <v>46</v>
          </cell>
          <cell r="X66">
            <v>0</v>
          </cell>
          <cell r="AC66">
            <v>0</v>
          </cell>
          <cell r="AD66">
            <v>0</v>
          </cell>
          <cell r="AH66">
            <v>0</v>
          </cell>
          <cell r="AK66">
            <v>0</v>
          </cell>
          <cell r="AL66">
            <v>0</v>
          </cell>
          <cell r="AM66">
            <v>0</v>
          </cell>
          <cell r="AN66">
            <v>0</v>
          </cell>
          <cell r="AO66">
            <v>65</v>
          </cell>
          <cell r="AP66">
            <v>0</v>
          </cell>
          <cell r="AQ66">
            <v>40</v>
          </cell>
          <cell r="AR66">
            <v>100</v>
          </cell>
        </row>
        <row r="67">
          <cell r="F67">
            <v>79</v>
          </cell>
          <cell r="G67">
            <v>31</v>
          </cell>
          <cell r="H67">
            <v>48</v>
          </cell>
          <cell r="P67">
            <v>-116</v>
          </cell>
          <cell r="S67">
            <v>-1222</v>
          </cell>
          <cell r="T67">
            <v>162.16</v>
          </cell>
          <cell r="U67">
            <v>850.84</v>
          </cell>
          <cell r="X67">
            <v>345</v>
          </cell>
          <cell r="Y67">
            <v>368</v>
          </cell>
          <cell r="Z67">
            <v>195</v>
          </cell>
          <cell r="AC67">
            <v>518</v>
          </cell>
          <cell r="AD67">
            <v>423</v>
          </cell>
          <cell r="AE67">
            <v>290</v>
          </cell>
          <cell r="AF67">
            <v>126</v>
          </cell>
          <cell r="AG67">
            <v>126</v>
          </cell>
          <cell r="AH67">
            <v>0</v>
          </cell>
          <cell r="AI67">
            <v>0</v>
          </cell>
          <cell r="AJ67">
            <v>0</v>
          </cell>
          <cell r="AK67">
            <v>-270</v>
          </cell>
          <cell r="AL67">
            <v>398</v>
          </cell>
          <cell r="AM67">
            <v>953</v>
          </cell>
          <cell r="AN67">
            <v>-563</v>
          </cell>
          <cell r="AO67">
            <v>712</v>
          </cell>
          <cell r="AP67">
            <v>135</v>
          </cell>
          <cell r="AQ67">
            <v>550</v>
          </cell>
          <cell r="AR67">
            <v>1188</v>
          </cell>
        </row>
        <row r="68">
          <cell r="F68">
            <v>340</v>
          </cell>
          <cell r="G68">
            <v>133</v>
          </cell>
          <cell r="H68">
            <v>207</v>
          </cell>
          <cell r="P68">
            <v>560</v>
          </cell>
          <cell r="S68">
            <v>1487</v>
          </cell>
          <cell r="T68">
            <v>371.75</v>
          </cell>
          <cell r="U68">
            <v>1115.25</v>
          </cell>
          <cell r="X68">
            <v>2754</v>
          </cell>
          <cell r="Y68">
            <v>1801</v>
          </cell>
          <cell r="Z68">
            <v>953</v>
          </cell>
          <cell r="AC68">
            <v>1364</v>
          </cell>
          <cell r="AD68">
            <v>809</v>
          </cell>
          <cell r="AE68">
            <v>555</v>
          </cell>
          <cell r="AF68">
            <v>1173</v>
          </cell>
          <cell r="AG68">
            <v>1100</v>
          </cell>
          <cell r="AH68">
            <v>73</v>
          </cell>
          <cell r="AK68">
            <v>7614</v>
          </cell>
          <cell r="AL68">
            <v>3310</v>
          </cell>
          <cell r="AM68">
            <v>4304</v>
          </cell>
          <cell r="AN68">
            <v>4304</v>
          </cell>
          <cell r="AO68">
            <v>2610</v>
          </cell>
          <cell r="AP68">
            <v>2014</v>
          </cell>
          <cell r="AQ68">
            <v>700</v>
          </cell>
          <cell r="AR68">
            <v>2290</v>
          </cell>
        </row>
        <row r="69">
          <cell r="G69">
            <v>0</v>
          </cell>
          <cell r="H69">
            <v>0</v>
          </cell>
          <cell r="P69">
            <v>90</v>
          </cell>
          <cell r="S69">
            <v>450.18181818181819</v>
          </cell>
          <cell r="T69">
            <v>78.84</v>
          </cell>
          <cell r="U69">
            <v>415.15999999999997</v>
          </cell>
          <cell r="X69">
            <v>220.36363636363637</v>
          </cell>
          <cell r="Y69">
            <v>144</v>
          </cell>
          <cell r="Z69">
            <v>76.363636363636374</v>
          </cell>
          <cell r="AC69">
            <v>149.81818181818181</v>
          </cell>
          <cell r="AD69">
            <v>89</v>
          </cell>
          <cell r="AE69">
            <v>60.818181818181813</v>
          </cell>
          <cell r="AF69">
            <v>224.72727272727272</v>
          </cell>
          <cell r="AG69">
            <v>224.72727272727272</v>
          </cell>
          <cell r="AH69">
            <v>0</v>
          </cell>
          <cell r="AK69">
            <v>1135.0909090909092</v>
          </cell>
          <cell r="AL69">
            <v>323</v>
          </cell>
          <cell r="AM69">
            <v>812.09090909090924</v>
          </cell>
          <cell r="AN69">
            <v>812.09090909090901</v>
          </cell>
          <cell r="AO69">
            <v>583</v>
          </cell>
          <cell r="AP69">
            <v>249</v>
          </cell>
          <cell r="AQ69">
            <v>362</v>
          </cell>
          <cell r="AR69">
            <v>898.33333333333348</v>
          </cell>
        </row>
        <row r="70">
          <cell r="F70">
            <v>0</v>
          </cell>
          <cell r="G70">
            <v>0</v>
          </cell>
          <cell r="H70">
            <v>0</v>
          </cell>
          <cell r="P70">
            <v>5</v>
          </cell>
          <cell r="S70">
            <v>25</v>
          </cell>
          <cell r="T70">
            <v>304.9375</v>
          </cell>
          <cell r="U70">
            <v>914.8125</v>
          </cell>
          <cell r="X70">
            <v>12</v>
          </cell>
          <cell r="Y70">
            <v>8</v>
          </cell>
          <cell r="Z70">
            <v>4</v>
          </cell>
          <cell r="AC70">
            <v>8</v>
          </cell>
          <cell r="AD70">
            <v>5</v>
          </cell>
          <cell r="AE70">
            <v>3</v>
          </cell>
          <cell r="AF70">
            <v>12</v>
          </cell>
          <cell r="AG70">
            <v>12</v>
          </cell>
          <cell r="AH70">
            <v>0</v>
          </cell>
          <cell r="AK70">
            <v>62</v>
          </cell>
          <cell r="AL70">
            <v>18</v>
          </cell>
          <cell r="AM70">
            <v>44</v>
          </cell>
          <cell r="AN70">
            <v>44</v>
          </cell>
          <cell r="AO70">
            <v>1816</v>
          </cell>
          <cell r="AP70">
            <v>1135</v>
          </cell>
          <cell r="AQ70">
            <v>835.59999999999991</v>
          </cell>
          <cell r="AR70">
            <v>1816.6</v>
          </cell>
        </row>
        <row r="71">
          <cell r="F71">
            <v>0</v>
          </cell>
          <cell r="G71">
            <v>0</v>
          </cell>
          <cell r="H71">
            <v>0</v>
          </cell>
          <cell r="P71">
            <v>29</v>
          </cell>
          <cell r="S71">
            <v>143</v>
          </cell>
          <cell r="X71">
            <v>71</v>
          </cell>
          <cell r="Y71">
            <v>46</v>
          </cell>
          <cell r="Z71">
            <v>25</v>
          </cell>
          <cell r="AC71">
            <v>49</v>
          </cell>
          <cell r="AD71">
            <v>29</v>
          </cell>
          <cell r="AE71">
            <v>20</v>
          </cell>
          <cell r="AF71">
            <v>72</v>
          </cell>
          <cell r="AG71">
            <v>72</v>
          </cell>
          <cell r="AH71">
            <v>0</v>
          </cell>
          <cell r="AK71">
            <v>364</v>
          </cell>
          <cell r="AL71">
            <v>104</v>
          </cell>
          <cell r="AM71">
            <v>260</v>
          </cell>
          <cell r="AN71">
            <v>260</v>
          </cell>
        </row>
        <row r="72">
          <cell r="F72">
            <v>0</v>
          </cell>
          <cell r="G72">
            <v>0</v>
          </cell>
          <cell r="H72">
            <v>0</v>
          </cell>
          <cell r="P72">
            <v>5</v>
          </cell>
          <cell r="S72">
            <v>23</v>
          </cell>
          <cell r="X72">
            <v>0</v>
          </cell>
          <cell r="Y72">
            <v>9</v>
          </cell>
          <cell r="Z72">
            <v>4</v>
          </cell>
          <cell r="AC72">
            <v>0</v>
          </cell>
          <cell r="AD72">
            <v>6</v>
          </cell>
          <cell r="AE72">
            <v>2</v>
          </cell>
          <cell r="AF72">
            <v>0</v>
          </cell>
          <cell r="AG72">
            <v>0</v>
          </cell>
          <cell r="AH72">
            <v>0</v>
          </cell>
          <cell r="AK72">
            <v>0</v>
          </cell>
          <cell r="AL72">
            <v>0</v>
          </cell>
          <cell r="AM72">
            <v>0</v>
          </cell>
          <cell r="AN72">
            <v>0</v>
          </cell>
        </row>
        <row r="73">
          <cell r="F73">
            <v>0</v>
          </cell>
          <cell r="G73">
            <v>0</v>
          </cell>
          <cell r="H73">
            <v>0</v>
          </cell>
          <cell r="P73">
            <v>810</v>
          </cell>
          <cell r="S73">
            <v>1487</v>
          </cell>
          <cell r="X73">
            <v>2754</v>
          </cell>
          <cell r="Y73">
            <v>1801</v>
          </cell>
          <cell r="Z73">
            <v>953</v>
          </cell>
          <cell r="AC73">
            <v>1364</v>
          </cell>
          <cell r="AD73">
            <v>809</v>
          </cell>
          <cell r="AE73">
            <v>555</v>
          </cell>
          <cell r="AF73">
            <v>1173</v>
          </cell>
          <cell r="AG73">
            <v>1100</v>
          </cell>
          <cell r="AH73">
            <v>73</v>
          </cell>
          <cell r="AK73">
            <v>7515</v>
          </cell>
          <cell r="AL73">
            <v>3420</v>
          </cell>
          <cell r="AM73">
            <v>4095</v>
          </cell>
          <cell r="AN73">
            <v>4095</v>
          </cell>
        </row>
        <row r="74">
          <cell r="F74">
            <v>0</v>
          </cell>
          <cell r="G74">
            <v>0</v>
          </cell>
          <cell r="P74">
            <v>0</v>
          </cell>
          <cell r="S74">
            <v>0</v>
          </cell>
          <cell r="X74">
            <v>0</v>
          </cell>
          <cell r="Z74">
            <v>0</v>
          </cell>
          <cell r="AC74">
            <v>0</v>
          </cell>
          <cell r="AD74">
            <v>0</v>
          </cell>
          <cell r="AE74">
            <v>0</v>
          </cell>
          <cell r="AF74">
            <v>0</v>
          </cell>
          <cell r="AG74">
            <v>0</v>
          </cell>
          <cell r="AH74">
            <v>0</v>
          </cell>
          <cell r="AK74">
            <v>0</v>
          </cell>
          <cell r="AL74">
            <v>0</v>
          </cell>
          <cell r="AM74">
            <v>0</v>
          </cell>
          <cell r="AN74">
            <v>0</v>
          </cell>
        </row>
        <row r="75">
          <cell r="F75">
            <v>1689</v>
          </cell>
          <cell r="G75">
            <v>660</v>
          </cell>
          <cell r="H75">
            <v>1029</v>
          </cell>
          <cell r="P75">
            <v>91.666666666666671</v>
          </cell>
          <cell r="S75">
            <v>425.33333333333337</v>
          </cell>
          <cell r="T75">
            <v>100.54</v>
          </cell>
          <cell r="U75">
            <v>324.79333333333335</v>
          </cell>
          <cell r="X75">
            <v>97.666666666666671</v>
          </cell>
          <cell r="Y75">
            <v>64</v>
          </cell>
          <cell r="Z75">
            <v>33.666666666666671</v>
          </cell>
          <cell r="AC75">
            <v>85.333333333333343</v>
          </cell>
          <cell r="AD75">
            <v>51</v>
          </cell>
          <cell r="AE75">
            <v>34.333333333333343</v>
          </cell>
          <cell r="AF75">
            <v>226.33333333333331</v>
          </cell>
          <cell r="AG75">
            <v>173</v>
          </cell>
          <cell r="AH75">
            <v>53.333333333333314</v>
          </cell>
          <cell r="AI75">
            <v>59.2</v>
          </cell>
          <cell r="AK75">
            <v>2997</v>
          </cell>
          <cell r="AL75">
            <v>1075.6666666666665</v>
          </cell>
          <cell r="AM75">
            <v>1921.3333333333335</v>
          </cell>
          <cell r="AN75">
            <v>1921.3333333333335</v>
          </cell>
          <cell r="AO75">
            <v>115</v>
          </cell>
          <cell r="AP75">
            <v>213</v>
          </cell>
          <cell r="AQ75">
            <v>960.66666666666652</v>
          </cell>
          <cell r="AR75">
            <v>1708.3333333333335</v>
          </cell>
        </row>
        <row r="76">
          <cell r="F76">
            <v>83</v>
          </cell>
          <cell r="G76">
            <v>32</v>
          </cell>
          <cell r="H76">
            <v>51</v>
          </cell>
          <cell r="P76">
            <v>289</v>
          </cell>
          <cell r="S76">
            <v>1765.45</v>
          </cell>
          <cell r="T76">
            <v>0</v>
          </cell>
          <cell r="U76">
            <v>0</v>
          </cell>
          <cell r="X76">
            <v>0</v>
          </cell>
          <cell r="Y76">
            <v>0</v>
          </cell>
          <cell r="Z76">
            <v>0</v>
          </cell>
          <cell r="AC76">
            <v>0</v>
          </cell>
          <cell r="AD76">
            <v>0</v>
          </cell>
          <cell r="AE76">
            <v>0</v>
          </cell>
          <cell r="AH76">
            <v>0</v>
          </cell>
          <cell r="AK76">
            <v>83</v>
          </cell>
          <cell r="AL76">
            <v>32</v>
          </cell>
          <cell r="AM76">
            <v>51</v>
          </cell>
          <cell r="AN76">
            <v>51</v>
          </cell>
          <cell r="AO76">
            <v>0</v>
          </cell>
          <cell r="AP76">
            <v>0</v>
          </cell>
          <cell r="AQ76">
            <v>32</v>
          </cell>
          <cell r="AR76">
            <v>51</v>
          </cell>
        </row>
        <row r="77">
          <cell r="F77">
            <v>1606</v>
          </cell>
          <cell r="G77">
            <v>628</v>
          </cell>
          <cell r="H77">
            <v>978</v>
          </cell>
          <cell r="P77">
            <v>91.666666666666671</v>
          </cell>
          <cell r="S77">
            <v>425.33333333333337</v>
          </cell>
          <cell r="T77">
            <v>100.54</v>
          </cell>
          <cell r="U77">
            <v>324.79333333333335</v>
          </cell>
          <cell r="X77">
            <v>97.666666666666671</v>
          </cell>
          <cell r="Y77">
            <v>64</v>
          </cell>
          <cell r="Z77">
            <v>33.666666666666671</v>
          </cell>
          <cell r="AC77">
            <v>85.333333333333343</v>
          </cell>
          <cell r="AD77">
            <v>51</v>
          </cell>
          <cell r="AE77">
            <v>34.333333333333343</v>
          </cell>
          <cell r="AF77">
            <v>226.33333333333331</v>
          </cell>
          <cell r="AG77">
            <v>172.4</v>
          </cell>
          <cell r="AH77">
            <v>53.933333333333309</v>
          </cell>
          <cell r="AI77">
            <v>59</v>
          </cell>
          <cell r="AK77">
            <v>2913.4</v>
          </cell>
          <cell r="AL77">
            <v>1043.6666666666665</v>
          </cell>
          <cell r="AM77">
            <v>1869.7333333333336</v>
          </cell>
          <cell r="AN77">
            <v>1869.7333333333336</v>
          </cell>
          <cell r="AO77">
            <v>115</v>
          </cell>
          <cell r="AP77">
            <v>213</v>
          </cell>
          <cell r="AQ77">
            <v>928.66666666666652</v>
          </cell>
          <cell r="AR77">
            <v>1656.7333333333336</v>
          </cell>
        </row>
        <row r="78">
          <cell r="F78">
            <v>550</v>
          </cell>
          <cell r="G78">
            <v>215</v>
          </cell>
          <cell r="H78">
            <v>335</v>
          </cell>
          <cell r="P78">
            <v>66</v>
          </cell>
          <cell r="S78">
            <v>152.33333333333334</v>
          </cell>
          <cell r="T78">
            <v>100.54</v>
          </cell>
          <cell r="U78">
            <v>51.793333333333337</v>
          </cell>
          <cell r="X78">
            <v>54</v>
          </cell>
          <cell r="Y78">
            <v>35</v>
          </cell>
          <cell r="Z78">
            <v>19</v>
          </cell>
          <cell r="AC78">
            <v>40</v>
          </cell>
          <cell r="AD78">
            <v>51</v>
          </cell>
          <cell r="AE78">
            <v>-11</v>
          </cell>
          <cell r="AF78">
            <v>141</v>
          </cell>
          <cell r="AG78">
            <v>119</v>
          </cell>
          <cell r="AH78">
            <v>22</v>
          </cell>
          <cell r="AK78">
            <v>981.33333333333337</v>
          </cell>
          <cell r="AL78">
            <v>367</v>
          </cell>
          <cell r="AM78">
            <v>614.33333333333337</v>
          </cell>
          <cell r="AN78">
            <v>614.33333333333337</v>
          </cell>
          <cell r="AO78">
            <v>0</v>
          </cell>
          <cell r="AP78">
            <v>0</v>
          </cell>
          <cell r="AQ78">
            <v>71</v>
          </cell>
          <cell r="AR78">
            <v>614.33333333333337</v>
          </cell>
        </row>
        <row r="79">
          <cell r="F79">
            <v>2822</v>
          </cell>
          <cell r="G79">
            <v>0</v>
          </cell>
          <cell r="H79">
            <v>0</v>
          </cell>
          <cell r="P79">
            <v>0</v>
          </cell>
          <cell r="S79">
            <v>0</v>
          </cell>
          <cell r="T79">
            <v>85.458999999999975</v>
          </cell>
          <cell r="U79">
            <v>145.96600000000001</v>
          </cell>
          <cell r="X79">
            <v>98.11666666666666</v>
          </cell>
          <cell r="Y79">
            <v>70</v>
          </cell>
          <cell r="Z79">
            <v>28.11666666666666</v>
          </cell>
          <cell r="AC79">
            <v>63.466666666666669</v>
          </cell>
          <cell r="AD79">
            <v>45</v>
          </cell>
          <cell r="AE79">
            <v>18.466666666666669</v>
          </cell>
          <cell r="AF79">
            <v>193.38333333333335</v>
          </cell>
          <cell r="AG79">
            <v>176.29000000000002</v>
          </cell>
          <cell r="AH79">
            <v>17.093333333333334</v>
          </cell>
          <cell r="AK79">
            <v>364</v>
          </cell>
          <cell r="AL79">
            <v>206</v>
          </cell>
          <cell r="AM79">
            <v>158</v>
          </cell>
          <cell r="AN79">
            <v>158</v>
          </cell>
          <cell r="AO79">
            <v>115</v>
          </cell>
          <cell r="AP79">
            <v>125</v>
          </cell>
          <cell r="AQ79">
            <v>1656.8833333333332</v>
          </cell>
          <cell r="AR79">
            <v>158</v>
          </cell>
        </row>
        <row r="80">
          <cell r="F80">
            <v>42</v>
          </cell>
          <cell r="G80">
            <v>16</v>
          </cell>
          <cell r="H80">
            <v>26</v>
          </cell>
          <cell r="P80">
            <v>8.6666666666666661</v>
          </cell>
          <cell r="S80">
            <v>222.33333333333334</v>
          </cell>
          <cell r="T80">
            <v>85.458999999999975</v>
          </cell>
          <cell r="U80">
            <v>44.024333333333317</v>
          </cell>
          <cell r="X80">
            <v>18.666666666666668</v>
          </cell>
          <cell r="Y80">
            <v>44</v>
          </cell>
          <cell r="Z80">
            <v>17</v>
          </cell>
          <cell r="AC80">
            <v>13.333333333333334</v>
          </cell>
          <cell r="AD80">
            <v>14</v>
          </cell>
          <cell r="AE80">
            <v>10.649999999999999</v>
          </cell>
          <cell r="AF80">
            <v>45.666666666666664</v>
          </cell>
          <cell r="AG80">
            <v>27.4</v>
          </cell>
          <cell r="AH80">
            <v>18.266666666666666</v>
          </cell>
          <cell r="AI80">
            <v>18.600000000000001</v>
          </cell>
          <cell r="AK80">
            <v>332.4</v>
          </cell>
          <cell r="AL80">
            <v>24.666666666666664</v>
          </cell>
          <cell r="AM80">
            <v>307.73333333333329</v>
          </cell>
          <cell r="AN80">
            <v>275.73333333333335</v>
          </cell>
          <cell r="AR80">
            <v>653.13333333333344</v>
          </cell>
        </row>
        <row r="81">
          <cell r="F81">
            <v>1014</v>
          </cell>
          <cell r="G81">
            <v>396</v>
          </cell>
          <cell r="H81">
            <v>618</v>
          </cell>
          <cell r="P81">
            <v>17</v>
          </cell>
          <cell r="S81">
            <v>50.666666666666664</v>
          </cell>
          <cell r="X81">
            <v>25</v>
          </cell>
          <cell r="AC81">
            <v>32</v>
          </cell>
          <cell r="AF81">
            <v>39.666666666666664</v>
          </cell>
          <cell r="AG81">
            <v>26</v>
          </cell>
          <cell r="AH81">
            <v>13.666666666666664</v>
          </cell>
          <cell r="AI81">
            <v>15.3</v>
          </cell>
          <cell r="AK81">
            <v>1179.9666666666667</v>
          </cell>
          <cell r="AL81">
            <v>418.82193059521194</v>
          </cell>
          <cell r="AM81">
            <v>761.14473607145476</v>
          </cell>
          <cell r="AN81">
            <v>694.66666666666663</v>
          </cell>
          <cell r="AR81">
            <v>194</v>
          </cell>
        </row>
        <row r="82">
          <cell r="F82">
            <v>265</v>
          </cell>
          <cell r="G82">
            <v>0</v>
          </cell>
          <cell r="H82">
            <v>0</v>
          </cell>
          <cell r="P82">
            <v>7.0833333333333348</v>
          </cell>
          <cell r="S82">
            <v>72</v>
          </cell>
          <cell r="X82">
            <v>15.866666666666662</v>
          </cell>
          <cell r="AC82">
            <v>11.616666666666664</v>
          </cell>
          <cell r="AF82">
            <v>38.816666666666677</v>
          </cell>
          <cell r="AG82">
            <v>23.290000000000006</v>
          </cell>
          <cell r="AH82">
            <v>15.526666666666671</v>
          </cell>
          <cell r="AK82">
            <v>0</v>
          </cell>
          <cell r="AL82">
            <v>0</v>
          </cell>
          <cell r="AM82">
            <v>0</v>
          </cell>
          <cell r="AN82">
            <v>0</v>
          </cell>
        </row>
        <row r="83">
          <cell r="F83">
            <v>0</v>
          </cell>
          <cell r="G83">
            <v>0</v>
          </cell>
          <cell r="H83">
            <v>0</v>
          </cell>
          <cell r="P83">
            <v>8</v>
          </cell>
          <cell r="S83">
            <v>60</v>
          </cell>
          <cell r="X83">
            <v>0</v>
          </cell>
          <cell r="AC83">
            <v>2</v>
          </cell>
          <cell r="AF83">
            <v>47</v>
          </cell>
          <cell r="AG83">
            <v>47</v>
          </cell>
          <cell r="AH83">
            <v>0</v>
          </cell>
          <cell r="AK83">
            <v>117</v>
          </cell>
          <cell r="AL83">
            <v>8</v>
          </cell>
          <cell r="AM83">
            <v>109</v>
          </cell>
          <cell r="AN83">
            <v>107</v>
          </cell>
        </row>
        <row r="84">
          <cell r="F84">
            <v>3399.1</v>
          </cell>
          <cell r="G84">
            <v>1329</v>
          </cell>
          <cell r="H84">
            <v>2070.1</v>
          </cell>
          <cell r="P84">
            <v>2512.62</v>
          </cell>
          <cell r="Q84">
            <v>0</v>
          </cell>
          <cell r="R84">
            <v>0</v>
          </cell>
          <cell r="S84">
            <v>9258.7648484848487</v>
          </cell>
          <cell r="T84">
            <v>5700.9847757575753</v>
          </cell>
          <cell r="U84">
            <v>3557.7800727272729</v>
          </cell>
          <cell r="X84">
            <v>17486.169696969697</v>
          </cell>
          <cell r="Y84">
            <v>11436</v>
          </cell>
          <cell r="Z84">
            <v>6050.1696969696977</v>
          </cell>
          <cell r="AA84">
            <v>0</v>
          </cell>
          <cell r="AB84">
            <v>0</v>
          </cell>
          <cell r="AC84">
            <v>13595.361818181818</v>
          </cell>
          <cell r="AD84">
            <v>8063</v>
          </cell>
          <cell r="AE84">
            <v>5532.3618181818183</v>
          </cell>
          <cell r="AF84">
            <v>4470.8927272727269</v>
          </cell>
          <cell r="AG84">
            <v>3519</v>
          </cell>
          <cell r="AH84">
            <v>952.89272727272737</v>
          </cell>
          <cell r="AI84">
            <v>783.2</v>
          </cell>
          <cell r="AK84">
            <v>50696.016363636365</v>
          </cell>
          <cell r="AL84">
            <v>23823.62</v>
          </cell>
          <cell r="AM84">
            <v>26872.396363636362</v>
          </cell>
          <cell r="AN84">
            <v>26871.396363636362</v>
          </cell>
          <cell r="AO84">
            <v>19380</v>
          </cell>
          <cell r="AP84">
            <v>16419</v>
          </cell>
          <cell r="AQ84">
            <v>4052.62</v>
          </cell>
          <cell r="AR84">
            <v>9718.3963636363642</v>
          </cell>
        </row>
        <row r="85">
          <cell r="F85">
            <v>504.1</v>
          </cell>
          <cell r="G85">
            <v>143</v>
          </cell>
          <cell r="H85">
            <v>224.10000000000002</v>
          </cell>
          <cell r="P85">
            <v>629.62000000000012</v>
          </cell>
          <cell r="Q85">
            <v>0</v>
          </cell>
          <cell r="R85">
            <v>0</v>
          </cell>
          <cell r="S85">
            <v>7.5</v>
          </cell>
          <cell r="T85">
            <v>452.808109090909</v>
          </cell>
          <cell r="U85">
            <v>471.29007272727262</v>
          </cell>
          <cell r="V85">
            <v>0</v>
          </cell>
          <cell r="W85">
            <v>0</v>
          </cell>
          <cell r="X85">
            <v>5</v>
          </cell>
          <cell r="Y85">
            <v>351</v>
          </cell>
          <cell r="Z85">
            <v>185.2</v>
          </cell>
          <cell r="AA85">
            <v>0</v>
          </cell>
          <cell r="AB85">
            <v>0</v>
          </cell>
          <cell r="AC85">
            <v>1.7</v>
          </cell>
          <cell r="AD85">
            <v>253</v>
          </cell>
          <cell r="AE85">
            <v>174.18</v>
          </cell>
          <cell r="AF85">
            <v>85</v>
          </cell>
          <cell r="AG85">
            <v>85</v>
          </cell>
          <cell r="AH85">
            <v>113.89272727272737</v>
          </cell>
          <cell r="AI85">
            <v>274</v>
          </cell>
          <cell r="AK85">
            <v>4652.1072727272731</v>
          </cell>
          <cell r="AL85">
            <v>1544.6200000000001</v>
          </cell>
          <cell r="AM85">
            <v>3107.4872727272732</v>
          </cell>
          <cell r="AN85">
            <v>664.48</v>
          </cell>
        </row>
        <row r="86">
          <cell r="F86">
            <v>4573</v>
          </cell>
          <cell r="G86">
            <v>2426</v>
          </cell>
          <cell r="H86">
            <v>2147</v>
          </cell>
          <cell r="P86">
            <v>2143.7866666666664</v>
          </cell>
          <cell r="Q86">
            <v>0</v>
          </cell>
          <cell r="R86">
            <v>0</v>
          </cell>
          <cell r="S86">
            <v>8033.9989393939386</v>
          </cell>
          <cell r="T86">
            <v>5158.0368969696974</v>
          </cell>
          <cell r="U86">
            <v>2874.9620424242421</v>
          </cell>
          <cell r="X86">
            <v>15812.24090909091</v>
          </cell>
          <cell r="Y86">
            <v>11356</v>
          </cell>
          <cell r="Z86">
            <v>4456.2409090909096</v>
          </cell>
          <cell r="AA86">
            <v>0</v>
          </cell>
          <cell r="AB86">
            <v>0</v>
          </cell>
          <cell r="AC86">
            <v>12605.875151515153</v>
          </cell>
          <cell r="AD86">
            <v>8968</v>
          </cell>
          <cell r="AE86">
            <v>3637.8751515151521</v>
          </cell>
          <cell r="AF86">
            <v>4836.4533333333329</v>
          </cell>
          <cell r="AG86">
            <v>3979.54</v>
          </cell>
          <cell r="AH86">
            <v>856.9133333333333</v>
          </cell>
          <cell r="AK86">
            <v>48266.441666666666</v>
          </cell>
          <cell r="AL86">
            <v>23824.62</v>
          </cell>
          <cell r="AM86">
            <v>22746.654999999999</v>
          </cell>
          <cell r="AN86">
            <v>0</v>
          </cell>
          <cell r="AO86">
            <v>20189</v>
          </cell>
          <cell r="AP86">
            <v>12601</v>
          </cell>
          <cell r="AQ86">
            <v>4508.7866666666669</v>
          </cell>
          <cell r="AR86">
            <v>9356.6550000000025</v>
          </cell>
        </row>
        <row r="87">
          <cell r="F87">
            <v>7538</v>
          </cell>
          <cell r="G87">
            <v>7538</v>
          </cell>
          <cell r="H87">
            <v>223</v>
          </cell>
          <cell r="P87">
            <v>633.5200000000001</v>
          </cell>
          <cell r="Q87">
            <v>0</v>
          </cell>
          <cell r="R87">
            <v>0</v>
          </cell>
          <cell r="T87">
            <v>477.82706363636368</v>
          </cell>
          <cell r="U87">
            <v>497.33020909090914</v>
          </cell>
          <cell r="V87">
            <v>0</v>
          </cell>
          <cell r="W87">
            <v>0</v>
          </cell>
          <cell r="Y87">
            <v>389</v>
          </cell>
          <cell r="Z87">
            <v>153.15</v>
          </cell>
          <cell r="AA87">
            <v>0</v>
          </cell>
          <cell r="AB87">
            <v>0</v>
          </cell>
          <cell r="AD87">
            <v>314</v>
          </cell>
          <cell r="AE87">
            <v>126.86000000000001</v>
          </cell>
          <cell r="AH87">
            <v>109.07000000000016</v>
          </cell>
          <cell r="AK87">
            <v>7538</v>
          </cell>
          <cell r="AL87">
            <v>7538</v>
          </cell>
          <cell r="AM87">
            <v>0</v>
          </cell>
          <cell r="AN87">
            <v>0</v>
          </cell>
          <cell r="AO87">
            <v>0</v>
          </cell>
          <cell r="AP87">
            <v>0</v>
          </cell>
          <cell r="AQ87">
            <v>0</v>
          </cell>
          <cell r="AR87">
            <v>0</v>
          </cell>
        </row>
        <row r="88">
          <cell r="F88">
            <v>10937.1</v>
          </cell>
          <cell r="G88">
            <v>8867</v>
          </cell>
          <cell r="H88">
            <v>2070.1</v>
          </cell>
          <cell r="P88">
            <v>2512.62</v>
          </cell>
          <cell r="Q88">
            <v>0</v>
          </cell>
          <cell r="R88">
            <v>0</v>
          </cell>
          <cell r="S88">
            <v>9258.7648484848487</v>
          </cell>
          <cell r="T88">
            <v>5700.9847757575753</v>
          </cell>
          <cell r="U88">
            <v>3557.7800727272729</v>
          </cell>
          <cell r="V88">
            <v>0</v>
          </cell>
          <cell r="W88">
            <v>0</v>
          </cell>
          <cell r="X88">
            <v>17486.169696969697</v>
          </cell>
          <cell r="Y88">
            <v>11436</v>
          </cell>
          <cell r="Z88">
            <v>6050.1696969696977</v>
          </cell>
          <cell r="AA88">
            <v>0</v>
          </cell>
          <cell r="AB88">
            <v>0</v>
          </cell>
          <cell r="AC88">
            <v>13595.361818181818</v>
          </cell>
          <cell r="AD88">
            <v>8063</v>
          </cell>
          <cell r="AE88">
            <v>5532.3618181818183</v>
          </cell>
          <cell r="AF88">
            <v>4470.8927272727269</v>
          </cell>
          <cell r="AG88">
            <v>3519</v>
          </cell>
          <cell r="AH88">
            <v>952.89272727272737</v>
          </cell>
          <cell r="AI88">
            <v>783.2</v>
          </cell>
          <cell r="AK88">
            <v>58234.016363636365</v>
          </cell>
          <cell r="AL88">
            <v>31361.62</v>
          </cell>
          <cell r="AM88">
            <v>26872.396363636362</v>
          </cell>
          <cell r="AN88">
            <v>26871.396363636362</v>
          </cell>
          <cell r="AO88">
            <v>19380</v>
          </cell>
          <cell r="AP88">
            <v>16419</v>
          </cell>
          <cell r="AQ88">
            <v>4052.62</v>
          </cell>
          <cell r="AR88">
            <v>9718.3963636363642</v>
          </cell>
        </row>
        <row r="89">
          <cell r="F89">
            <v>0</v>
          </cell>
          <cell r="G89">
            <v>0</v>
          </cell>
          <cell r="H89">
            <v>0</v>
          </cell>
          <cell r="AH89">
            <v>0</v>
          </cell>
          <cell r="AK89">
            <v>4189</v>
          </cell>
          <cell r="AL89">
            <v>4189</v>
          </cell>
          <cell r="AM89">
            <v>0</v>
          </cell>
          <cell r="AN89">
            <v>0</v>
          </cell>
          <cell r="AO89">
            <v>0</v>
          </cell>
          <cell r="AP89">
            <v>0</v>
          </cell>
          <cell r="AQ89">
            <v>0</v>
          </cell>
          <cell r="AR89">
            <v>-1</v>
          </cell>
        </row>
        <row r="90">
          <cell r="F90">
            <v>479</v>
          </cell>
          <cell r="G90">
            <v>378</v>
          </cell>
          <cell r="H90">
            <v>101</v>
          </cell>
          <cell r="P90">
            <v>2143.7866666666664</v>
          </cell>
          <cell r="Q90">
            <v>0</v>
          </cell>
          <cell r="R90">
            <v>0</v>
          </cell>
          <cell r="S90">
            <v>8033.9989393939386</v>
          </cell>
          <cell r="T90">
            <v>5158.0368969696974</v>
          </cell>
          <cell r="U90">
            <v>2874.9620424242421</v>
          </cell>
          <cell r="V90">
            <v>0</v>
          </cell>
          <cell r="W90">
            <v>0</v>
          </cell>
          <cell r="X90">
            <v>15812.24090909091</v>
          </cell>
          <cell r="Y90">
            <v>11356</v>
          </cell>
          <cell r="Z90">
            <v>4456.2409090909096</v>
          </cell>
          <cell r="AA90">
            <v>0</v>
          </cell>
          <cell r="AB90">
            <v>0</v>
          </cell>
          <cell r="AC90">
            <v>12605.875151515153</v>
          </cell>
          <cell r="AD90">
            <v>8968</v>
          </cell>
          <cell r="AE90">
            <v>3637.8751515151521</v>
          </cell>
          <cell r="AF90">
            <v>4836.4533333333329</v>
          </cell>
          <cell r="AG90">
            <v>3979.54</v>
          </cell>
          <cell r="AH90">
            <v>0</v>
          </cell>
          <cell r="AK90">
            <v>479</v>
          </cell>
          <cell r="AL90">
            <v>378</v>
          </cell>
          <cell r="AM90">
            <v>101</v>
          </cell>
          <cell r="AN90">
            <v>101</v>
          </cell>
          <cell r="AO90">
            <v>0</v>
          </cell>
          <cell r="AP90">
            <v>0</v>
          </cell>
          <cell r="AQ90">
            <v>24.045096781680069</v>
          </cell>
          <cell r="AR90">
            <v>16.190126715398556</v>
          </cell>
        </row>
        <row r="91">
          <cell r="F91">
            <v>127</v>
          </cell>
          <cell r="G91">
            <v>70.766579973992179</v>
          </cell>
          <cell r="H91">
            <v>56.233420026007821</v>
          </cell>
          <cell r="S91">
            <v>0</v>
          </cell>
          <cell r="T91">
            <v>0</v>
          </cell>
          <cell r="U91">
            <v>0</v>
          </cell>
          <cell r="X91">
            <v>0</v>
          </cell>
          <cell r="Y91">
            <v>0</v>
          </cell>
          <cell r="Z91">
            <v>0</v>
          </cell>
          <cell r="AA91">
            <v>0</v>
          </cell>
          <cell r="AB91">
            <v>0</v>
          </cell>
          <cell r="AC91">
            <v>0</v>
          </cell>
          <cell r="AD91">
            <v>0</v>
          </cell>
          <cell r="AE91">
            <v>0</v>
          </cell>
          <cell r="AH91">
            <v>0</v>
          </cell>
          <cell r="AK91">
            <v>127</v>
          </cell>
          <cell r="AL91">
            <v>70.766579973992179</v>
          </cell>
          <cell r="AM91">
            <v>56.233420026007821</v>
          </cell>
          <cell r="AN91">
            <v>56.233420026007821</v>
          </cell>
          <cell r="AO91">
            <v>0</v>
          </cell>
          <cell r="AP91">
            <v>0</v>
          </cell>
          <cell r="AQ91">
            <v>0</v>
          </cell>
          <cell r="AR91">
            <v>0</v>
          </cell>
        </row>
        <row r="92">
          <cell r="F92">
            <v>19</v>
          </cell>
          <cell r="G92">
            <v>10.58712613784135</v>
          </cell>
          <cell r="H92">
            <v>8.4128738621586496</v>
          </cell>
          <cell r="P92">
            <v>66</v>
          </cell>
          <cell r="S92">
            <v>0</v>
          </cell>
          <cell r="X92">
            <v>28.333333333333332</v>
          </cell>
          <cell r="Y92">
            <v>19</v>
          </cell>
          <cell r="Z92">
            <v>9.3333333333333321</v>
          </cell>
          <cell r="AC92">
            <v>27.333333333333332</v>
          </cell>
          <cell r="AD92">
            <v>16</v>
          </cell>
          <cell r="AE92">
            <v>11.333333333333332</v>
          </cell>
          <cell r="AF92">
            <v>12.666666666666666</v>
          </cell>
          <cell r="AG92">
            <v>13</v>
          </cell>
          <cell r="AH92">
            <v>0</v>
          </cell>
          <cell r="AK92">
            <v>153.66666666666666</v>
          </cell>
          <cell r="AL92">
            <v>111.58712613784135</v>
          </cell>
          <cell r="AM92">
            <v>42.079540528825305</v>
          </cell>
          <cell r="AN92">
            <v>42.079540528825319</v>
          </cell>
          <cell r="AO92">
            <v>35</v>
          </cell>
          <cell r="AP92">
            <v>21</v>
          </cell>
          <cell r="AQ92">
            <v>76.587126137841352</v>
          </cell>
          <cell r="AR92">
            <v>21.079540528825305</v>
          </cell>
        </row>
        <row r="93">
          <cell r="F93">
            <v>67</v>
          </cell>
          <cell r="G93">
            <v>42.401178010471199</v>
          </cell>
          <cell r="H93">
            <v>24.598821989528801</v>
          </cell>
          <cell r="S93">
            <v>0</v>
          </cell>
          <cell r="T93">
            <v>0</v>
          </cell>
          <cell r="U93">
            <v>0</v>
          </cell>
          <cell r="X93">
            <v>0</v>
          </cell>
          <cell r="Y93">
            <v>0</v>
          </cell>
          <cell r="Z93">
            <v>0</v>
          </cell>
          <cell r="AA93">
            <v>0</v>
          </cell>
          <cell r="AB93">
            <v>0</v>
          </cell>
          <cell r="AC93">
            <v>0</v>
          </cell>
          <cell r="AD93">
            <v>0</v>
          </cell>
          <cell r="AE93">
            <v>0</v>
          </cell>
          <cell r="AH93">
            <v>0</v>
          </cell>
          <cell r="AK93">
            <v>67</v>
          </cell>
          <cell r="AL93">
            <v>42.401178010471199</v>
          </cell>
          <cell r="AM93">
            <v>24.598821989528801</v>
          </cell>
          <cell r="AN93">
            <v>0</v>
          </cell>
          <cell r="AO93">
            <v>0</v>
          </cell>
          <cell r="AP93">
            <v>0</v>
          </cell>
          <cell r="AQ93">
            <v>0</v>
          </cell>
          <cell r="AR93">
            <v>0</v>
          </cell>
        </row>
        <row r="94">
          <cell r="F94">
            <v>11</v>
          </cell>
          <cell r="G94">
            <v>6.9613874345549736</v>
          </cell>
          <cell r="H94">
            <v>4.0386125654450264</v>
          </cell>
          <cell r="P94">
            <v>1</v>
          </cell>
          <cell r="S94">
            <v>81</v>
          </cell>
          <cell r="X94">
            <v>172</v>
          </cell>
          <cell r="Y94">
            <v>124</v>
          </cell>
          <cell r="Z94">
            <v>48</v>
          </cell>
          <cell r="AC94">
            <v>261</v>
          </cell>
          <cell r="AD94">
            <v>186</v>
          </cell>
          <cell r="AE94">
            <v>75</v>
          </cell>
          <cell r="AF94">
            <v>58</v>
          </cell>
          <cell r="AG94">
            <v>13</v>
          </cell>
          <cell r="AH94">
            <v>0</v>
          </cell>
          <cell r="AK94">
            <v>539</v>
          </cell>
          <cell r="AL94">
            <v>317.96138743455498</v>
          </cell>
          <cell r="AM94">
            <v>221.03861256544502</v>
          </cell>
          <cell r="AN94">
            <v>0</v>
          </cell>
          <cell r="AO94">
            <v>310</v>
          </cell>
          <cell r="AP94">
            <v>145</v>
          </cell>
          <cell r="AQ94">
            <v>7.9613874345549789</v>
          </cell>
          <cell r="AR94">
            <v>76.038612565445021</v>
          </cell>
        </row>
        <row r="95">
          <cell r="F95">
            <v>11562.1</v>
          </cell>
          <cell r="G95">
            <v>9326.3537061118332</v>
          </cell>
          <cell r="H95">
            <v>2235.7462938881663</v>
          </cell>
          <cell r="P95">
            <v>2578.62</v>
          </cell>
          <cell r="Q95">
            <v>0</v>
          </cell>
          <cell r="R95">
            <v>0</v>
          </cell>
          <cell r="S95">
            <v>9258.7648484848487</v>
          </cell>
          <cell r="T95">
            <v>5700.9847757575753</v>
          </cell>
          <cell r="U95">
            <v>3557.7800727272729</v>
          </cell>
          <cell r="V95">
            <v>0</v>
          </cell>
          <cell r="W95">
            <v>0</v>
          </cell>
          <cell r="X95">
            <v>17514.503030303029</v>
          </cell>
          <cell r="Y95">
            <v>11455</v>
          </cell>
          <cell r="Z95">
            <v>6059.5030303030308</v>
          </cell>
          <cell r="AA95">
            <v>0</v>
          </cell>
          <cell r="AB95">
            <v>0</v>
          </cell>
          <cell r="AC95">
            <v>13622.695151515152</v>
          </cell>
          <cell r="AD95">
            <v>8079</v>
          </cell>
          <cell r="AE95">
            <v>5543.6951515151513</v>
          </cell>
          <cell r="AF95">
            <v>4483.5593939393939</v>
          </cell>
          <cell r="AG95">
            <v>3532</v>
          </cell>
          <cell r="AH95">
            <v>952.89272727272737</v>
          </cell>
          <cell r="AI95">
            <v>783.2</v>
          </cell>
          <cell r="AJ95">
            <v>0</v>
          </cell>
          <cell r="AK95">
            <v>58993.683030303029</v>
          </cell>
          <cell r="AL95">
            <v>31921.973706111832</v>
          </cell>
          <cell r="AM95">
            <v>27071.709324191197</v>
          </cell>
          <cell r="AN95">
            <v>27070.709324191201</v>
          </cell>
          <cell r="AO95">
            <v>19415</v>
          </cell>
          <cell r="AP95">
            <v>16440</v>
          </cell>
          <cell r="AQ95">
            <v>4153.252222919521</v>
          </cell>
          <cell r="AR95">
            <v>9754.6660308805876</v>
          </cell>
        </row>
        <row r="96">
          <cell r="F96">
            <v>4024.1000000000004</v>
          </cell>
          <cell r="G96">
            <v>1788.3537061118332</v>
          </cell>
          <cell r="H96">
            <v>2235.7462938881663</v>
          </cell>
          <cell r="P96">
            <v>2578.62</v>
          </cell>
          <cell r="Q96">
            <v>0</v>
          </cell>
          <cell r="R96">
            <v>0</v>
          </cell>
          <cell r="S96">
            <v>6428.7648484848487</v>
          </cell>
          <cell r="T96">
            <v>2870.9847757575753</v>
          </cell>
          <cell r="U96">
            <v>3557.7800727272729</v>
          </cell>
          <cell r="V96">
            <v>0</v>
          </cell>
          <cell r="W96">
            <v>0</v>
          </cell>
          <cell r="X96">
            <v>5059.5030303030289</v>
          </cell>
          <cell r="Y96">
            <v>3309</v>
          </cell>
          <cell r="Z96">
            <v>1750.5030303030308</v>
          </cell>
          <cell r="AA96">
            <v>0</v>
          </cell>
          <cell r="AB96">
            <v>0</v>
          </cell>
          <cell r="AC96">
            <v>3034.6951515151522</v>
          </cell>
          <cell r="AD96">
            <v>1800</v>
          </cell>
          <cell r="AE96">
            <v>1234.6951515151513</v>
          </cell>
          <cell r="AF96">
            <v>4483.5593939393939</v>
          </cell>
          <cell r="AG96">
            <v>3532</v>
          </cell>
          <cell r="AH96">
            <v>952.89272727272737</v>
          </cell>
          <cell r="AI96">
            <v>783.2</v>
          </cell>
          <cell r="AJ96">
            <v>0</v>
          </cell>
          <cell r="AK96">
            <v>25582.683030303029</v>
          </cell>
          <cell r="AL96">
            <v>9958.9737061118321</v>
          </cell>
          <cell r="AM96">
            <v>15623.709324191197</v>
          </cell>
          <cell r="AN96">
            <v>15622.709324191197</v>
          </cell>
          <cell r="AO96">
            <v>4990</v>
          </cell>
          <cell r="AP96">
            <v>4992</v>
          </cell>
          <cell r="AQ96">
            <v>4153.252222919521</v>
          </cell>
          <cell r="AR96">
            <v>9754.6660308805876</v>
          </cell>
        </row>
        <row r="97">
          <cell r="F97">
            <v>850</v>
          </cell>
          <cell r="G97">
            <v>11562.099999999999</v>
          </cell>
          <cell r="H97">
            <v>2263.6374345549739</v>
          </cell>
          <cell r="P97">
            <v>689</v>
          </cell>
          <cell r="Q97">
            <v>0</v>
          </cell>
          <cell r="R97">
            <v>0</v>
          </cell>
          <cell r="S97">
            <v>2408</v>
          </cell>
          <cell r="T97">
            <v>5158.0368969696974</v>
          </cell>
          <cell r="U97">
            <v>2874.9620424242421</v>
          </cell>
          <cell r="V97">
            <v>0</v>
          </cell>
          <cell r="W97">
            <v>0</v>
          </cell>
          <cell r="X97">
            <v>218</v>
          </cell>
          <cell r="Y97">
            <v>17514.503030303029</v>
          </cell>
          <cell r="Z97">
            <v>4504.2409090909096</v>
          </cell>
          <cell r="AA97">
            <v>0</v>
          </cell>
          <cell r="AB97">
            <v>0</v>
          </cell>
          <cell r="AC97">
            <v>195</v>
          </cell>
          <cell r="AD97">
            <v>13622.695151515152</v>
          </cell>
          <cell r="AE97">
            <v>3712.8751515151521</v>
          </cell>
          <cell r="AF97">
            <v>400</v>
          </cell>
          <cell r="AG97">
            <v>400</v>
          </cell>
          <cell r="AH97">
            <v>0</v>
          </cell>
          <cell r="AI97">
            <v>54.400000000000006</v>
          </cell>
          <cell r="AJ97">
            <v>0</v>
          </cell>
          <cell r="AK97">
            <v>4914.3999999999996</v>
          </cell>
          <cell r="AL97">
            <v>59776.883030303026</v>
          </cell>
          <cell r="AM97">
            <v>23080.292434554973</v>
          </cell>
          <cell r="AN97">
            <v>23081.292434554976</v>
          </cell>
          <cell r="AO97">
            <v>20499</v>
          </cell>
          <cell r="AP97">
            <v>12746</v>
          </cell>
          <cell r="AQ97">
            <v>4539.1670630816652</v>
          </cell>
          <cell r="AR97">
            <v>9446.6320413742123</v>
          </cell>
        </row>
        <row r="98">
          <cell r="F98">
            <v>0</v>
          </cell>
          <cell r="G98">
            <v>2806.3625654450261</v>
          </cell>
          <cell r="H98">
            <v>2263.6374345549739</v>
          </cell>
          <cell r="P98">
            <v>689</v>
          </cell>
          <cell r="Q98">
            <v>0</v>
          </cell>
          <cell r="R98">
            <v>0</v>
          </cell>
          <cell r="S98">
            <v>2348</v>
          </cell>
          <cell r="T98">
            <v>2213.0368969696974</v>
          </cell>
          <cell r="U98">
            <v>2874.9620424242421</v>
          </cell>
          <cell r="V98">
            <v>0</v>
          </cell>
          <cell r="W98">
            <v>0</v>
          </cell>
          <cell r="X98">
            <v>218</v>
          </cell>
          <cell r="Y98">
            <v>2602</v>
          </cell>
          <cell r="Z98">
            <v>1023.2409090909096</v>
          </cell>
          <cell r="AA98">
            <v>0</v>
          </cell>
          <cell r="AB98">
            <v>0</v>
          </cell>
          <cell r="AC98">
            <v>195</v>
          </cell>
          <cell r="AD98">
            <v>1785</v>
          </cell>
          <cell r="AE98">
            <v>724.87515151515208</v>
          </cell>
          <cell r="AF98">
            <v>400</v>
          </cell>
          <cell r="AG98">
            <v>400</v>
          </cell>
          <cell r="AH98">
            <v>0</v>
          </cell>
          <cell r="AI98">
            <v>54.400000000000006</v>
          </cell>
          <cell r="AK98">
            <v>3914.4</v>
          </cell>
          <cell r="AL98">
            <v>58993.683030303029</v>
          </cell>
          <cell r="AM98">
            <v>31922.973706111836</v>
          </cell>
          <cell r="AN98">
            <v>13667.292434554976</v>
          </cell>
          <cell r="AO98">
            <v>4252</v>
          </cell>
          <cell r="AP98">
            <v>3332</v>
          </cell>
          <cell r="AQ98">
            <v>4539.1670630816652</v>
          </cell>
          <cell r="AR98">
            <v>9446.6320413742123</v>
          </cell>
        </row>
        <row r="99">
          <cell r="F99">
            <v>0</v>
          </cell>
          <cell r="P99">
            <v>0</v>
          </cell>
          <cell r="S99">
            <v>1948.2</v>
          </cell>
          <cell r="X99">
            <v>0</v>
          </cell>
          <cell r="Y99">
            <v>15984.24090909091</v>
          </cell>
          <cell r="AC99">
            <v>229.5</v>
          </cell>
          <cell r="AD99">
            <v>12866.875151515153</v>
          </cell>
          <cell r="AF99">
            <v>202.29999999999998</v>
          </cell>
          <cell r="AG99">
            <v>119</v>
          </cell>
          <cell r="AH99">
            <v>83.299999999999983</v>
          </cell>
          <cell r="AK99">
            <v>0</v>
          </cell>
          <cell r="AL99">
            <v>53480.441666666673</v>
          </cell>
        </row>
        <row r="100">
          <cell r="F100">
            <v>850</v>
          </cell>
          <cell r="P100">
            <v>0</v>
          </cell>
          <cell r="S100">
            <v>60</v>
          </cell>
          <cell r="X100">
            <v>0</v>
          </cell>
          <cell r="AC100">
            <v>0</v>
          </cell>
          <cell r="AF100">
            <v>0</v>
          </cell>
          <cell r="AG100">
            <v>0</v>
          </cell>
          <cell r="AH100">
            <v>0</v>
          </cell>
          <cell r="AI100">
            <v>0</v>
          </cell>
          <cell r="AK100">
            <v>1000</v>
          </cell>
          <cell r="AL100">
            <v>53480.441666666666</v>
          </cell>
          <cell r="AM100">
            <v>30399.149232111693</v>
          </cell>
        </row>
        <row r="101">
          <cell r="F101">
            <v>0</v>
          </cell>
          <cell r="P101">
            <v>0</v>
          </cell>
          <cell r="S101">
            <v>0</v>
          </cell>
          <cell r="X101">
            <v>9</v>
          </cell>
          <cell r="AK101">
            <v>287</v>
          </cell>
        </row>
        <row r="102">
          <cell r="F102">
            <v>0</v>
          </cell>
          <cell r="P102">
            <v>344.5</v>
          </cell>
          <cell r="S102">
            <v>0</v>
          </cell>
          <cell r="X102">
            <v>0</v>
          </cell>
          <cell r="AC102">
            <v>0</v>
          </cell>
          <cell r="AF102">
            <v>0.29999999999998295</v>
          </cell>
          <cell r="AG102">
            <v>0</v>
          </cell>
          <cell r="AH102">
            <v>83.299999999999983</v>
          </cell>
          <cell r="AK102">
            <v>2316.6999999999998</v>
          </cell>
        </row>
        <row r="103">
          <cell r="S103">
            <v>30</v>
          </cell>
        </row>
        <row r="104">
          <cell r="P104">
            <v>289</v>
          </cell>
          <cell r="S104">
            <v>1765.45</v>
          </cell>
          <cell r="AK104">
            <v>0</v>
          </cell>
        </row>
        <row r="105">
          <cell r="S105">
            <v>0</v>
          </cell>
          <cell r="X105">
            <v>0</v>
          </cell>
          <cell r="AK105">
            <v>0</v>
          </cell>
        </row>
        <row r="106">
          <cell r="F106">
            <v>850</v>
          </cell>
          <cell r="P106">
            <v>0</v>
          </cell>
          <cell r="S106">
            <v>0</v>
          </cell>
          <cell r="X106">
            <v>0</v>
          </cell>
          <cell r="AC106">
            <v>0</v>
          </cell>
          <cell r="AF106">
            <v>0</v>
          </cell>
          <cell r="AG106">
            <v>0</v>
          </cell>
          <cell r="AH106">
            <v>0</v>
          </cell>
          <cell r="AI106">
            <v>0</v>
          </cell>
          <cell r="AK106">
            <v>850</v>
          </cell>
        </row>
        <row r="107">
          <cell r="F107">
            <v>850</v>
          </cell>
          <cell r="S107">
            <v>0</v>
          </cell>
          <cell r="AC107">
            <v>0</v>
          </cell>
          <cell r="AF107">
            <v>0</v>
          </cell>
          <cell r="AG107">
            <v>0</v>
          </cell>
          <cell r="AH107">
            <v>0</v>
          </cell>
          <cell r="AI107">
            <v>0</v>
          </cell>
          <cell r="AK107">
            <v>850</v>
          </cell>
        </row>
        <row r="108">
          <cell r="F108">
            <v>0</v>
          </cell>
          <cell r="P108">
            <v>0</v>
          </cell>
          <cell r="S108">
            <v>0</v>
          </cell>
          <cell r="AC108">
            <v>0</v>
          </cell>
          <cell r="AF108">
            <v>0</v>
          </cell>
          <cell r="AG108">
            <v>0</v>
          </cell>
          <cell r="AH108">
            <v>0</v>
          </cell>
          <cell r="AI108">
            <v>0</v>
          </cell>
          <cell r="AK108">
            <v>0</v>
          </cell>
        </row>
        <row r="109">
          <cell r="F109">
            <v>0</v>
          </cell>
          <cell r="P109">
            <v>0</v>
          </cell>
          <cell r="S109">
            <v>0</v>
          </cell>
          <cell r="X109">
            <v>0</v>
          </cell>
          <cell r="AC109">
            <v>0</v>
          </cell>
          <cell r="AF109">
            <v>0</v>
          </cell>
          <cell r="AG109">
            <v>0</v>
          </cell>
          <cell r="AH109">
            <v>0</v>
          </cell>
          <cell r="AK109">
            <v>0</v>
          </cell>
        </row>
        <row r="110">
          <cell r="F110">
            <v>0</v>
          </cell>
          <cell r="P110">
            <v>0</v>
          </cell>
          <cell r="S110">
            <v>60</v>
          </cell>
          <cell r="X110">
            <v>0</v>
          </cell>
          <cell r="AC110">
            <v>0</v>
          </cell>
          <cell r="AF110">
            <v>0</v>
          </cell>
          <cell r="AG110">
            <v>0</v>
          </cell>
          <cell r="AH110">
            <v>0</v>
          </cell>
          <cell r="AI110">
            <v>64</v>
          </cell>
          <cell r="AK110">
            <v>124</v>
          </cell>
        </row>
        <row r="111">
          <cell r="F111">
            <v>0</v>
          </cell>
          <cell r="P111">
            <v>0</v>
          </cell>
          <cell r="S111">
            <v>60</v>
          </cell>
          <cell r="AC111">
            <v>0</v>
          </cell>
          <cell r="AF111">
            <v>0</v>
          </cell>
          <cell r="AG111">
            <v>0</v>
          </cell>
          <cell r="AH111">
            <v>0</v>
          </cell>
          <cell r="AI111">
            <v>64</v>
          </cell>
          <cell r="AK111">
            <v>124</v>
          </cell>
        </row>
        <row r="112">
          <cell r="F112">
            <v>0</v>
          </cell>
          <cell r="P112">
            <v>0</v>
          </cell>
          <cell r="S112">
            <v>0</v>
          </cell>
          <cell r="X112">
            <v>0</v>
          </cell>
          <cell r="AC112">
            <v>0</v>
          </cell>
          <cell r="AF112">
            <v>0</v>
          </cell>
          <cell r="AG112">
            <v>0</v>
          </cell>
          <cell r="AH112">
            <v>0</v>
          </cell>
          <cell r="AK112">
            <v>0</v>
          </cell>
        </row>
        <row r="113">
          <cell r="F113">
            <v>0</v>
          </cell>
          <cell r="P113">
            <v>0</v>
          </cell>
          <cell r="S113">
            <v>0</v>
          </cell>
          <cell r="X113">
            <v>0</v>
          </cell>
          <cell r="AC113">
            <v>0</v>
          </cell>
          <cell r="AF113">
            <v>0</v>
          </cell>
          <cell r="AG113">
            <v>0</v>
          </cell>
          <cell r="AH113">
            <v>0</v>
          </cell>
          <cell r="AK113">
            <v>0</v>
          </cell>
          <cell r="AM113">
            <v>0</v>
          </cell>
        </row>
        <row r="114">
          <cell r="F114">
            <v>0</v>
          </cell>
          <cell r="P114">
            <v>0</v>
          </cell>
          <cell r="S114">
            <v>0</v>
          </cell>
          <cell r="AC114">
            <v>0</v>
          </cell>
          <cell r="AF114">
            <v>0</v>
          </cell>
          <cell r="AG114">
            <v>0</v>
          </cell>
          <cell r="AH114">
            <v>0</v>
          </cell>
          <cell r="AK114">
            <v>0</v>
          </cell>
        </row>
        <row r="115">
          <cell r="F115">
            <v>0</v>
          </cell>
          <cell r="P115">
            <v>0</v>
          </cell>
          <cell r="S115">
            <v>0</v>
          </cell>
          <cell r="X115">
            <v>0</v>
          </cell>
          <cell r="AC115">
            <v>0</v>
          </cell>
          <cell r="AF115">
            <v>0</v>
          </cell>
          <cell r="AG115">
            <v>0</v>
          </cell>
          <cell r="AH115">
            <v>0</v>
          </cell>
          <cell r="AK115">
            <v>0</v>
          </cell>
          <cell r="AL115">
            <v>0</v>
          </cell>
          <cell r="AM115">
            <v>0</v>
          </cell>
        </row>
        <row r="116">
          <cell r="F116">
            <v>0</v>
          </cell>
          <cell r="P116">
            <v>0</v>
          </cell>
          <cell r="S116">
            <v>0</v>
          </cell>
          <cell r="AC116">
            <v>0</v>
          </cell>
          <cell r="AG116">
            <v>0</v>
          </cell>
          <cell r="AH116">
            <v>0</v>
          </cell>
          <cell r="AK116">
            <v>0</v>
          </cell>
          <cell r="AM116">
            <v>0</v>
          </cell>
        </row>
        <row r="117">
          <cell r="F117">
            <v>0</v>
          </cell>
          <cell r="P117">
            <v>0</v>
          </cell>
          <cell r="S117">
            <v>0</v>
          </cell>
          <cell r="AC117">
            <v>0</v>
          </cell>
          <cell r="AF117">
            <v>0</v>
          </cell>
          <cell r="AG117">
            <v>0</v>
          </cell>
          <cell r="AH117">
            <v>0</v>
          </cell>
          <cell r="AK117">
            <v>0</v>
          </cell>
        </row>
        <row r="118">
          <cell r="F118">
            <v>0</v>
          </cell>
          <cell r="P118">
            <v>0</v>
          </cell>
          <cell r="S118">
            <v>0</v>
          </cell>
          <cell r="X118">
            <v>0</v>
          </cell>
          <cell r="AC118">
            <v>0</v>
          </cell>
          <cell r="AG118">
            <v>0</v>
          </cell>
          <cell r="AH118">
            <v>0</v>
          </cell>
          <cell r="AK118">
            <v>0</v>
          </cell>
          <cell r="AL118">
            <v>0</v>
          </cell>
          <cell r="AM118">
            <v>0</v>
          </cell>
        </row>
        <row r="119">
          <cell r="F119">
            <v>700</v>
          </cell>
          <cell r="P119">
            <v>0</v>
          </cell>
          <cell r="S119">
            <v>0</v>
          </cell>
          <cell r="AC119">
            <v>0</v>
          </cell>
          <cell r="AG119">
            <v>0</v>
          </cell>
          <cell r="AH119">
            <v>0</v>
          </cell>
          <cell r="AK119">
            <v>700</v>
          </cell>
        </row>
        <row r="120">
          <cell r="F120">
            <v>1000</v>
          </cell>
          <cell r="P120">
            <v>0</v>
          </cell>
          <cell r="S120">
            <v>0</v>
          </cell>
          <cell r="X120">
            <v>0</v>
          </cell>
          <cell r="AC120">
            <v>0</v>
          </cell>
          <cell r="AF120">
            <v>0</v>
          </cell>
          <cell r="AG120">
            <v>0</v>
          </cell>
          <cell r="AH120">
            <v>0</v>
          </cell>
          <cell r="AK120">
            <v>1000</v>
          </cell>
        </row>
        <row r="121">
          <cell r="F121">
            <v>3500</v>
          </cell>
          <cell r="P121">
            <v>0</v>
          </cell>
          <cell r="S121">
            <v>0</v>
          </cell>
          <cell r="X121">
            <v>0</v>
          </cell>
          <cell r="AC121">
            <v>0</v>
          </cell>
          <cell r="AG121">
            <v>0</v>
          </cell>
          <cell r="AH121">
            <v>0</v>
          </cell>
          <cell r="AK121">
            <v>3500</v>
          </cell>
        </row>
        <row r="122">
          <cell r="F122">
            <v>595</v>
          </cell>
          <cell r="AK122">
            <v>0</v>
          </cell>
        </row>
        <row r="123">
          <cell r="S123">
            <v>0</v>
          </cell>
          <cell r="X123">
            <v>0</v>
          </cell>
          <cell r="AF123">
            <v>0</v>
          </cell>
          <cell r="AK123">
            <v>0</v>
          </cell>
          <cell r="AL123">
            <v>-13345.80312121212</v>
          </cell>
        </row>
        <row r="124">
          <cell r="F124">
            <v>0</v>
          </cell>
          <cell r="AK124">
            <v>0</v>
          </cell>
        </row>
        <row r="125">
          <cell r="F125">
            <v>6050</v>
          </cell>
          <cell r="G125">
            <v>0</v>
          </cell>
          <cell r="H125">
            <v>0</v>
          </cell>
          <cell r="P125">
            <v>0</v>
          </cell>
          <cell r="Q125">
            <v>0</v>
          </cell>
          <cell r="R125">
            <v>0</v>
          </cell>
          <cell r="S125">
            <v>60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64</v>
          </cell>
          <cell r="AJ125">
            <v>0</v>
          </cell>
          <cell r="AK125">
            <v>6174</v>
          </cell>
          <cell r="AO125">
            <v>0</v>
          </cell>
          <cell r="AP125">
            <v>0</v>
          </cell>
          <cell r="AQ125">
            <v>0</v>
          </cell>
          <cell r="AR125">
            <v>0</v>
          </cell>
        </row>
        <row r="126">
          <cell r="F126">
            <v>6050</v>
          </cell>
          <cell r="G126">
            <v>0</v>
          </cell>
          <cell r="H126">
            <v>0</v>
          </cell>
          <cell r="P126">
            <v>0</v>
          </cell>
          <cell r="S126">
            <v>120</v>
          </cell>
          <cell r="X126">
            <v>0</v>
          </cell>
          <cell r="Y126">
            <v>0</v>
          </cell>
          <cell r="Z126">
            <v>0</v>
          </cell>
          <cell r="AC126">
            <v>0</v>
          </cell>
          <cell r="AD126">
            <v>0</v>
          </cell>
          <cell r="AE126">
            <v>0</v>
          </cell>
          <cell r="AF126">
            <v>0</v>
          </cell>
          <cell r="AG126">
            <v>0</v>
          </cell>
          <cell r="AH126">
            <v>0</v>
          </cell>
          <cell r="AI126">
            <v>64</v>
          </cell>
          <cell r="AJ126">
            <v>0</v>
          </cell>
          <cell r="AK126">
            <v>6174</v>
          </cell>
          <cell r="AL126">
            <v>-13112.934166666666</v>
          </cell>
        </row>
        <row r="127">
          <cell r="F127">
            <v>0</v>
          </cell>
          <cell r="AK127">
            <v>-7171.8031212121205</v>
          </cell>
          <cell r="AL127">
            <v>6264</v>
          </cell>
        </row>
        <row r="128">
          <cell r="F128">
            <v>3863</v>
          </cell>
          <cell r="G128">
            <v>0</v>
          </cell>
          <cell r="H128">
            <v>0</v>
          </cell>
          <cell r="P128">
            <v>344.5</v>
          </cell>
          <cell r="Q128">
            <v>0</v>
          </cell>
          <cell r="R128">
            <v>0</v>
          </cell>
          <cell r="S128">
            <v>1399.2</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K128">
            <v>-7171.8031212121205</v>
          </cell>
          <cell r="AO128">
            <v>0</v>
          </cell>
          <cell r="AP128">
            <v>0</v>
          </cell>
          <cell r="AQ128">
            <v>0</v>
          </cell>
          <cell r="AR128">
            <v>0</v>
          </cell>
        </row>
        <row r="129">
          <cell r="F129">
            <v>3863</v>
          </cell>
          <cell r="G129">
            <v>0</v>
          </cell>
          <cell r="H129">
            <v>0</v>
          </cell>
          <cell r="P129">
            <v>689</v>
          </cell>
          <cell r="S129">
            <v>2798.4</v>
          </cell>
          <cell r="X129">
            <v>0</v>
          </cell>
          <cell r="Y129">
            <v>0</v>
          </cell>
          <cell r="Z129">
            <v>0</v>
          </cell>
          <cell r="AC129">
            <v>0</v>
          </cell>
          <cell r="AD129">
            <v>0</v>
          </cell>
          <cell r="AE129">
            <v>0</v>
          </cell>
          <cell r="AF129">
            <v>0.29999999999998295</v>
          </cell>
          <cell r="AG129">
            <v>0</v>
          </cell>
          <cell r="AH129">
            <v>83.299999999999983</v>
          </cell>
          <cell r="AK129">
            <v>-10245.433030303029</v>
          </cell>
          <cell r="AL129">
            <v>5888.0262938881679</v>
          </cell>
          <cell r="AM129">
            <v>-16998.709324191197</v>
          </cell>
        </row>
        <row r="130">
          <cell r="AK130">
            <v>-7506.2341666666662</v>
          </cell>
          <cell r="AL130">
            <v>5716.7</v>
          </cell>
        </row>
        <row r="131">
          <cell r="AK131">
            <v>-3073.6299090909088</v>
          </cell>
          <cell r="AO131">
            <v>0</v>
          </cell>
        </row>
        <row r="132">
          <cell r="AK132">
            <v>-10723.191666666666</v>
          </cell>
          <cell r="AL132">
            <v>2697.850767888307</v>
          </cell>
          <cell r="AM132">
            <v>-14286.292434554973</v>
          </cell>
        </row>
        <row r="134">
          <cell r="AK134">
            <v>10073</v>
          </cell>
          <cell r="AM134">
            <v>10073</v>
          </cell>
          <cell r="AO134">
            <v>0</v>
          </cell>
          <cell r="AQ134">
            <v>0</v>
          </cell>
        </row>
        <row r="135">
          <cell r="AK135">
            <v>-16998.709324191197</v>
          </cell>
          <cell r="AO135">
            <v>0</v>
          </cell>
        </row>
        <row r="136">
          <cell r="AK136">
            <v>6.38</v>
          </cell>
          <cell r="AO136" t="e">
            <v>#DIV/0!</v>
          </cell>
        </row>
        <row r="137">
          <cell r="AK137">
            <v>17.13</v>
          </cell>
          <cell r="AM137">
            <v>8794</v>
          </cell>
          <cell r="AO137" t="e">
            <v>#DIV/0!</v>
          </cell>
          <cell r="AQ137">
            <v>0</v>
          </cell>
        </row>
        <row r="138">
          <cell r="AK138">
            <v>0</v>
          </cell>
          <cell r="AO138">
            <v>0</v>
          </cell>
        </row>
        <row r="139">
          <cell r="AK139">
            <v>5.57</v>
          </cell>
          <cell r="AO139" t="e">
            <v>#DIV/0!</v>
          </cell>
        </row>
        <row r="140">
          <cell r="AK140">
            <v>9.56</v>
          </cell>
          <cell r="AO140" t="e">
            <v>#DIV/0!</v>
          </cell>
        </row>
        <row r="141">
          <cell r="AK141">
            <v>0</v>
          </cell>
          <cell r="AO141">
            <v>0</v>
          </cell>
        </row>
        <row r="142">
          <cell r="AJ142">
            <v>0</v>
          </cell>
          <cell r="AK142">
            <v>8.07</v>
          </cell>
          <cell r="AO142" t="e">
            <v>#DIV/0!</v>
          </cell>
        </row>
        <row r="143">
          <cell r="AK143">
            <v>37810</v>
          </cell>
          <cell r="AL143">
            <v>37810</v>
          </cell>
          <cell r="AO143" t="e">
            <v>#DIV/0!</v>
          </cell>
        </row>
        <row r="145">
          <cell r="AJ145">
            <v>300</v>
          </cell>
          <cell r="AK145">
            <v>7.68</v>
          </cell>
          <cell r="AO145" t="e">
            <v>#DIV/0!</v>
          </cell>
        </row>
        <row r="146">
          <cell r="AK146">
            <v>8820</v>
          </cell>
          <cell r="AL146">
            <v>-31921.973706111832</v>
          </cell>
          <cell r="AM146">
            <v>-27071.709324191197</v>
          </cell>
        </row>
        <row r="147">
          <cell r="S147">
            <v>0</v>
          </cell>
          <cell r="AK147">
            <v>865.25</v>
          </cell>
        </row>
        <row r="149">
          <cell r="AJ149">
            <v>0</v>
          </cell>
          <cell r="AK149">
            <v>47883</v>
          </cell>
          <cell r="AL149">
            <v>37810</v>
          </cell>
          <cell r="AM149">
            <v>10073</v>
          </cell>
          <cell r="AO149">
            <v>0</v>
          </cell>
        </row>
        <row r="150">
          <cell r="S150">
            <v>0</v>
          </cell>
          <cell r="AK150">
            <v>0</v>
          </cell>
        </row>
        <row r="151">
          <cell r="AK151">
            <v>47883</v>
          </cell>
          <cell r="AL151">
            <v>37810</v>
          </cell>
          <cell r="AM151">
            <v>10073</v>
          </cell>
        </row>
        <row r="152">
          <cell r="AK152">
            <v>0</v>
          </cell>
          <cell r="AL152">
            <v>33098</v>
          </cell>
          <cell r="AM152">
            <v>8794</v>
          </cell>
          <cell r="AO152">
            <v>4990</v>
          </cell>
          <cell r="AP152">
            <v>4992</v>
          </cell>
          <cell r="AQ152">
            <v>4153.252222919521</v>
          </cell>
          <cell r="AR152">
            <v>9754.6660308805876</v>
          </cell>
        </row>
        <row r="153">
          <cell r="AK153">
            <v>-17.399999999999999</v>
          </cell>
          <cell r="AL153">
            <v>18.399999999999999</v>
          </cell>
          <cell r="AM153">
            <v>-62.8</v>
          </cell>
        </row>
        <row r="154">
          <cell r="AK154">
            <v>14.95075327890525</v>
          </cell>
          <cell r="AL154">
            <v>-100</v>
          </cell>
          <cell r="AM154">
            <v>-100</v>
          </cell>
        </row>
        <row r="155">
          <cell r="AK155">
            <v>0</v>
          </cell>
          <cell r="AL155">
            <v>0</v>
          </cell>
          <cell r="AM155">
            <v>0</v>
          </cell>
          <cell r="AO155">
            <v>4252</v>
          </cell>
          <cell r="AP155">
            <v>3332</v>
          </cell>
          <cell r="AQ155">
            <v>4539.1670630816652</v>
          </cell>
          <cell r="AR155">
            <v>9446.6320413742123</v>
          </cell>
        </row>
        <row r="156">
          <cell r="AK156">
            <v>-20.100000000000001</v>
          </cell>
          <cell r="AL156">
            <v>8.9</v>
          </cell>
          <cell r="AM156">
            <v>-61.9</v>
          </cell>
        </row>
        <row r="157">
          <cell r="F157">
            <v>0</v>
          </cell>
          <cell r="P157">
            <v>0</v>
          </cell>
          <cell r="S157">
            <v>0</v>
          </cell>
          <cell r="X157">
            <v>0</v>
          </cell>
          <cell r="AC157">
            <v>0</v>
          </cell>
          <cell r="AI157">
            <v>0</v>
          </cell>
          <cell r="AJ157">
            <v>142</v>
          </cell>
          <cell r="AK157">
            <v>0</v>
          </cell>
          <cell r="AL157">
            <v>-100</v>
          </cell>
          <cell r="AM157">
            <v>-100</v>
          </cell>
        </row>
        <row r="158">
          <cell r="F158">
            <v>320</v>
          </cell>
          <cell r="P158">
            <v>810</v>
          </cell>
          <cell r="S158">
            <v>1487</v>
          </cell>
          <cell r="X158">
            <v>2754</v>
          </cell>
          <cell r="AC158">
            <v>1364</v>
          </cell>
          <cell r="AF158">
            <v>1173</v>
          </cell>
          <cell r="AG158">
            <v>1100</v>
          </cell>
          <cell r="AH158">
            <v>73</v>
          </cell>
          <cell r="AK158">
            <v>7908</v>
          </cell>
          <cell r="AL158">
            <v>0</v>
          </cell>
          <cell r="AM158">
            <v>0</v>
          </cell>
        </row>
        <row r="159">
          <cell r="F159">
            <v>320</v>
          </cell>
          <cell r="P159">
            <v>390</v>
          </cell>
          <cell r="S159">
            <v>512</v>
          </cell>
          <cell r="X159">
            <v>2374</v>
          </cell>
          <cell r="AC159">
            <v>1081</v>
          </cell>
          <cell r="AF159">
            <v>560</v>
          </cell>
          <cell r="AG159">
            <v>500</v>
          </cell>
          <cell r="AH159">
            <v>60</v>
          </cell>
          <cell r="AK159">
            <v>4677</v>
          </cell>
        </row>
        <row r="160">
          <cell r="F160">
            <v>320</v>
          </cell>
          <cell r="P160">
            <v>160</v>
          </cell>
          <cell r="S160">
            <v>239</v>
          </cell>
          <cell r="X160">
            <v>107</v>
          </cell>
          <cell r="AC160">
            <v>72</v>
          </cell>
          <cell r="AF160">
            <v>125</v>
          </cell>
          <cell r="AG160">
            <v>125</v>
          </cell>
          <cell r="AH160">
            <v>0</v>
          </cell>
          <cell r="AI160">
            <v>210</v>
          </cell>
          <cell r="AK160">
            <v>1233</v>
          </cell>
        </row>
        <row r="161">
          <cell r="F161">
            <v>204</v>
          </cell>
          <cell r="P161">
            <v>110</v>
          </cell>
          <cell r="S161">
            <v>59</v>
          </cell>
          <cell r="X161">
            <v>74</v>
          </cell>
          <cell r="AB161">
            <v>9</v>
          </cell>
          <cell r="AC161">
            <v>34</v>
          </cell>
          <cell r="AF161">
            <v>115</v>
          </cell>
          <cell r="AG161">
            <v>115</v>
          </cell>
          <cell r="AH161">
            <v>0</v>
          </cell>
          <cell r="AK161">
            <v>277</v>
          </cell>
        </row>
        <row r="162">
          <cell r="F162">
            <v>204</v>
          </cell>
          <cell r="P162">
            <v>497.6</v>
          </cell>
          <cell r="S162">
            <v>916.75</v>
          </cell>
          <cell r="X162">
            <v>1694.1499999999999</v>
          </cell>
          <cell r="AF162">
            <v>242</v>
          </cell>
          <cell r="AG162">
            <v>242</v>
          </cell>
          <cell r="AH162">
            <v>0</v>
          </cell>
          <cell r="AK162">
            <v>0</v>
          </cell>
        </row>
        <row r="163">
          <cell r="F163">
            <v>14.170833333333334</v>
          </cell>
          <cell r="P163">
            <v>247</v>
          </cell>
          <cell r="S163">
            <v>303</v>
          </cell>
          <cell r="X163">
            <v>73</v>
          </cell>
          <cell r="AC163">
            <v>87</v>
          </cell>
          <cell r="AF163">
            <v>99</v>
          </cell>
          <cell r="AG163">
            <v>99</v>
          </cell>
          <cell r="AH163">
            <v>0</v>
          </cell>
          <cell r="AK163">
            <v>14.170833333333334</v>
          </cell>
        </row>
        <row r="164">
          <cell r="P164">
            <v>124</v>
          </cell>
          <cell r="S164">
            <v>618.18181818181824</v>
          </cell>
          <cell r="X164">
            <v>303.36363636363637</v>
          </cell>
          <cell r="AC164">
            <v>206.81818181818181</v>
          </cell>
          <cell r="AF164">
            <v>308.72727272727275</v>
          </cell>
          <cell r="AG164">
            <v>308.72727272727275</v>
          </cell>
          <cell r="AK164">
            <v>1252.3636363636363</v>
          </cell>
        </row>
        <row r="165">
          <cell r="F165">
            <v>260</v>
          </cell>
          <cell r="S165">
            <v>868.81818181818176</v>
          </cell>
          <cell r="X165">
            <v>2450.6363636363635</v>
          </cell>
          <cell r="AC165">
            <v>1157.1818181818182</v>
          </cell>
          <cell r="AK165">
            <v>4736.6363636363631</v>
          </cell>
        </row>
        <row r="166">
          <cell r="F166">
            <v>14.170833333333334</v>
          </cell>
          <cell r="S166">
            <v>1487</v>
          </cell>
          <cell r="X166">
            <v>2754</v>
          </cell>
          <cell r="AC166">
            <v>1364</v>
          </cell>
          <cell r="AK166">
            <v>14.170833333333334</v>
          </cell>
        </row>
        <row r="167">
          <cell r="F167">
            <v>60</v>
          </cell>
          <cell r="P167">
            <v>0</v>
          </cell>
          <cell r="S167">
            <v>0</v>
          </cell>
          <cell r="X167">
            <v>0</v>
          </cell>
          <cell r="AC167">
            <v>0</v>
          </cell>
          <cell r="AF167">
            <v>187</v>
          </cell>
          <cell r="AG167">
            <v>187</v>
          </cell>
          <cell r="AK167">
            <v>60</v>
          </cell>
        </row>
        <row r="168">
          <cell r="F168">
            <v>-255</v>
          </cell>
          <cell r="S168">
            <v>0</v>
          </cell>
          <cell r="X168">
            <v>0</v>
          </cell>
          <cell r="AC168">
            <v>0</v>
          </cell>
          <cell r="AF168">
            <v>0</v>
          </cell>
          <cell r="AG168">
            <v>0</v>
          </cell>
          <cell r="AH168">
            <v>0</v>
          </cell>
          <cell r="AK168">
            <v>0</v>
          </cell>
        </row>
        <row r="169">
          <cell r="F169">
            <v>850</v>
          </cell>
          <cell r="G169">
            <v>11562.099999999999</v>
          </cell>
          <cell r="H169">
            <v>0</v>
          </cell>
          <cell r="P169">
            <v>689</v>
          </cell>
          <cell r="Q169">
            <v>0</v>
          </cell>
          <cell r="R169">
            <v>0</v>
          </cell>
          <cell r="S169">
            <v>2468</v>
          </cell>
          <cell r="T169">
            <v>0</v>
          </cell>
          <cell r="U169">
            <v>0</v>
          </cell>
          <cell r="V169">
            <v>0</v>
          </cell>
          <cell r="W169">
            <v>0</v>
          </cell>
          <cell r="X169">
            <v>218</v>
          </cell>
          <cell r="Y169">
            <v>17514.503030303029</v>
          </cell>
          <cell r="Z169">
            <v>0</v>
          </cell>
          <cell r="AA169">
            <v>0</v>
          </cell>
          <cell r="AB169">
            <v>0</v>
          </cell>
          <cell r="AC169">
            <v>195</v>
          </cell>
          <cell r="AD169">
            <v>13622.695151515152</v>
          </cell>
          <cell r="AE169">
            <v>0</v>
          </cell>
          <cell r="AF169">
            <v>400</v>
          </cell>
          <cell r="AG169">
            <v>400</v>
          </cell>
          <cell r="AH169">
            <v>0</v>
          </cell>
          <cell r="AI169">
            <v>118.4</v>
          </cell>
          <cell r="AJ169">
            <v>0</v>
          </cell>
          <cell r="AK169">
            <v>5038.3999999999996</v>
          </cell>
        </row>
        <row r="170">
          <cell r="F170">
            <v>850</v>
          </cell>
          <cell r="G170">
            <v>11562.099999999999</v>
          </cell>
          <cell r="H170">
            <v>0</v>
          </cell>
          <cell r="P170">
            <v>689</v>
          </cell>
          <cell r="Q170">
            <v>0</v>
          </cell>
          <cell r="R170">
            <v>0</v>
          </cell>
          <cell r="S170">
            <v>2468</v>
          </cell>
          <cell r="T170">
            <v>0</v>
          </cell>
          <cell r="U170">
            <v>0</v>
          </cell>
          <cell r="V170">
            <v>0</v>
          </cell>
          <cell r="W170">
            <v>0</v>
          </cell>
          <cell r="X170">
            <v>218</v>
          </cell>
          <cell r="Y170">
            <v>17514.503030303029</v>
          </cell>
          <cell r="Z170">
            <v>0</v>
          </cell>
          <cell r="AA170">
            <v>0</v>
          </cell>
          <cell r="AB170">
            <v>0</v>
          </cell>
          <cell r="AC170">
            <v>195</v>
          </cell>
          <cell r="AD170">
            <v>13622.695151515152</v>
          </cell>
          <cell r="AE170">
            <v>0</v>
          </cell>
          <cell r="AF170">
            <v>400</v>
          </cell>
          <cell r="AG170">
            <v>400</v>
          </cell>
          <cell r="AH170">
            <v>0</v>
          </cell>
          <cell r="AI170">
            <v>118.4</v>
          </cell>
          <cell r="AJ170">
            <v>0</v>
          </cell>
          <cell r="AK170">
            <v>5038.3999999999996</v>
          </cell>
        </row>
        <row r="171">
          <cell r="F171">
            <v>0</v>
          </cell>
          <cell r="G171">
            <v>0</v>
          </cell>
          <cell r="H171">
            <v>0</v>
          </cell>
          <cell r="P171">
            <v>0</v>
          </cell>
          <cell r="R171">
            <v>0</v>
          </cell>
          <cell r="S171">
            <v>0</v>
          </cell>
          <cell r="T171">
            <v>0</v>
          </cell>
          <cell r="U171">
            <v>0</v>
          </cell>
          <cell r="V171">
            <v>0</v>
          </cell>
          <cell r="W171">
            <v>0</v>
          </cell>
          <cell r="X171">
            <v>0</v>
          </cell>
          <cell r="Y171">
            <v>0</v>
          </cell>
          <cell r="Z171">
            <v>0</v>
          </cell>
          <cell r="AA171">
            <v>0</v>
          </cell>
          <cell r="AB171">
            <v>0</v>
          </cell>
          <cell r="AC171">
            <v>0</v>
          </cell>
          <cell r="AE171">
            <v>0</v>
          </cell>
          <cell r="AF171">
            <v>0</v>
          </cell>
          <cell r="AG171">
            <v>0</v>
          </cell>
          <cell r="AH171">
            <v>0</v>
          </cell>
          <cell r="AI171">
            <v>0</v>
          </cell>
          <cell r="AJ171">
            <v>0</v>
          </cell>
          <cell r="AK171">
            <v>0</v>
          </cell>
        </row>
        <row r="172">
          <cell r="F172">
            <v>0</v>
          </cell>
          <cell r="G172">
            <v>0</v>
          </cell>
          <cell r="H172">
            <v>0</v>
          </cell>
          <cell r="P172">
            <v>705.5</v>
          </cell>
          <cell r="Q172">
            <v>0</v>
          </cell>
          <cell r="R172">
            <v>0</v>
          </cell>
          <cell r="S172">
            <v>1978.2</v>
          </cell>
          <cell r="T172">
            <v>0</v>
          </cell>
          <cell r="U172">
            <v>0</v>
          </cell>
          <cell r="V172">
            <v>0</v>
          </cell>
          <cell r="W172">
            <v>0</v>
          </cell>
          <cell r="X172">
            <v>8.5</v>
          </cell>
          <cell r="Y172">
            <v>15984.24090909091</v>
          </cell>
          <cell r="Z172">
            <v>0</v>
          </cell>
          <cell r="AA172">
            <v>0</v>
          </cell>
          <cell r="AB172">
            <v>0</v>
          </cell>
          <cell r="AC172">
            <v>229.5</v>
          </cell>
          <cell r="AD172">
            <v>12866.875151515153</v>
          </cell>
          <cell r="AE172">
            <v>0</v>
          </cell>
          <cell r="AF172">
            <v>202.29999999999998</v>
          </cell>
          <cell r="AG172">
            <v>0</v>
          </cell>
          <cell r="AH172">
            <v>83.299999999999983</v>
          </cell>
          <cell r="AK172">
            <v>0</v>
          </cell>
        </row>
        <row r="173">
          <cell r="F173">
            <v>555</v>
          </cell>
          <cell r="G173">
            <v>0</v>
          </cell>
          <cell r="H173">
            <v>0</v>
          </cell>
          <cell r="P173">
            <v>705.5</v>
          </cell>
          <cell r="Q173">
            <v>0</v>
          </cell>
          <cell r="R173">
            <v>0</v>
          </cell>
          <cell r="S173">
            <v>1978.2</v>
          </cell>
          <cell r="T173">
            <v>0</v>
          </cell>
          <cell r="U173">
            <v>0</v>
          </cell>
          <cell r="V173">
            <v>0</v>
          </cell>
          <cell r="W173">
            <v>0</v>
          </cell>
          <cell r="X173">
            <v>8.5</v>
          </cell>
          <cell r="Y173">
            <v>15984.24090909091</v>
          </cell>
          <cell r="Z173">
            <v>0</v>
          </cell>
          <cell r="AA173">
            <v>0</v>
          </cell>
          <cell r="AB173">
            <v>0</v>
          </cell>
          <cell r="AC173">
            <v>229.5</v>
          </cell>
          <cell r="AD173">
            <v>12866.875151515153</v>
          </cell>
          <cell r="AE173">
            <v>0</v>
          </cell>
          <cell r="AF173">
            <v>202.29999999999998</v>
          </cell>
          <cell r="AG173">
            <v>119</v>
          </cell>
          <cell r="AH173">
            <v>83.299999999999983</v>
          </cell>
          <cell r="AK173">
            <v>0</v>
          </cell>
        </row>
        <row r="174">
          <cell r="F174">
            <v>3500</v>
          </cell>
          <cell r="G174">
            <v>0</v>
          </cell>
          <cell r="H174">
            <v>0</v>
          </cell>
          <cell r="P174">
            <v>0</v>
          </cell>
          <cell r="R174">
            <v>0</v>
          </cell>
          <cell r="S174">
            <v>0</v>
          </cell>
          <cell r="T174">
            <v>0</v>
          </cell>
          <cell r="U174">
            <v>0</v>
          </cell>
          <cell r="V174">
            <v>0</v>
          </cell>
          <cell r="W174">
            <v>0</v>
          </cell>
          <cell r="X174">
            <v>0</v>
          </cell>
          <cell r="Y174">
            <v>0</v>
          </cell>
          <cell r="Z174">
            <v>0</v>
          </cell>
          <cell r="AA174">
            <v>0</v>
          </cell>
          <cell r="AB174">
            <v>0</v>
          </cell>
          <cell r="AC174">
            <v>0</v>
          </cell>
          <cell r="AE174">
            <v>0</v>
          </cell>
          <cell r="AF174">
            <v>0</v>
          </cell>
          <cell r="AG174">
            <v>0</v>
          </cell>
          <cell r="AH174">
            <v>0</v>
          </cell>
          <cell r="AK174">
            <v>3500</v>
          </cell>
        </row>
        <row r="175">
          <cell r="F175">
            <v>504.1</v>
          </cell>
          <cell r="P175">
            <v>866.62000000000012</v>
          </cell>
          <cell r="Q175">
            <v>0</v>
          </cell>
          <cell r="R175">
            <v>0</v>
          </cell>
          <cell r="S175">
            <v>1889.28</v>
          </cell>
          <cell r="T175">
            <v>622.80810909090906</v>
          </cell>
          <cell r="U175">
            <v>648.29007272727267</v>
          </cell>
          <cell r="V175">
            <v>0</v>
          </cell>
          <cell r="W175">
            <v>0</v>
          </cell>
          <cell r="X175">
            <v>737.2</v>
          </cell>
          <cell r="AA175">
            <v>0</v>
          </cell>
          <cell r="AB175">
            <v>0</v>
          </cell>
          <cell r="AC175">
            <v>588.18000000000006</v>
          </cell>
          <cell r="AF175">
            <v>1626.6200000000001</v>
          </cell>
          <cell r="AG175">
            <v>1468.7272727272727</v>
          </cell>
          <cell r="AH175">
            <v>157.89272727272737</v>
          </cell>
          <cell r="AJ175">
            <v>0</v>
          </cell>
          <cell r="AK175">
            <v>6396.1072727272731</v>
          </cell>
          <cell r="AO175">
            <v>391</v>
          </cell>
          <cell r="AP175">
            <v>558</v>
          </cell>
          <cell r="AQ175">
            <v>897.62000000000012</v>
          </cell>
          <cell r="AR175">
            <v>1862.3963636363642</v>
          </cell>
        </row>
        <row r="176">
          <cell r="F176">
            <v>0</v>
          </cell>
          <cell r="G176">
            <v>0</v>
          </cell>
          <cell r="H176">
            <v>0</v>
          </cell>
          <cell r="P176">
            <v>124</v>
          </cell>
          <cell r="Q176">
            <v>0</v>
          </cell>
          <cell r="R176">
            <v>0</v>
          </cell>
          <cell r="S176">
            <v>618.18181818181824</v>
          </cell>
          <cell r="T176">
            <v>0</v>
          </cell>
          <cell r="U176">
            <v>0</v>
          </cell>
          <cell r="V176">
            <v>0</v>
          </cell>
          <cell r="W176">
            <v>0</v>
          </cell>
          <cell r="X176">
            <v>303.36363636363637</v>
          </cell>
          <cell r="Y176">
            <v>198</v>
          </cell>
          <cell r="Z176">
            <v>105.36363636363637</v>
          </cell>
          <cell r="AA176">
            <v>0</v>
          </cell>
          <cell r="AB176">
            <v>0</v>
          </cell>
          <cell r="AC176">
            <v>206.81818181818181</v>
          </cell>
          <cell r="AD176">
            <v>123</v>
          </cell>
          <cell r="AE176">
            <v>83.818181818181813</v>
          </cell>
          <cell r="AF176">
            <v>308.72727272727275</v>
          </cell>
          <cell r="AG176">
            <v>308.72727272727275</v>
          </cell>
          <cell r="AH176">
            <v>0</v>
          </cell>
          <cell r="AK176">
            <v>0</v>
          </cell>
        </row>
        <row r="177">
          <cell r="F177">
            <v>19</v>
          </cell>
          <cell r="P177">
            <v>66</v>
          </cell>
          <cell r="Q177">
            <v>0</v>
          </cell>
          <cell r="R177">
            <v>0</v>
          </cell>
          <cell r="S177">
            <v>13.666666666666666</v>
          </cell>
          <cell r="T177">
            <v>13.666666666666666</v>
          </cell>
          <cell r="U177">
            <v>0</v>
          </cell>
          <cell r="V177">
            <v>0</v>
          </cell>
          <cell r="W177">
            <v>0</v>
          </cell>
          <cell r="X177">
            <v>785.33333333333337</v>
          </cell>
          <cell r="AA177">
            <v>0</v>
          </cell>
          <cell r="AB177">
            <v>0</v>
          </cell>
          <cell r="AC177">
            <v>40.666666666666664</v>
          </cell>
          <cell r="AF177">
            <v>13</v>
          </cell>
          <cell r="AG177">
            <v>13</v>
          </cell>
          <cell r="AH177">
            <v>0.33333333333333331</v>
          </cell>
          <cell r="AI177">
            <v>0</v>
          </cell>
          <cell r="AJ177">
            <v>0</v>
          </cell>
          <cell r="AK177">
            <v>-2135.9632424242423</v>
          </cell>
          <cell r="AO177">
            <v>538</v>
          </cell>
          <cell r="AP177">
            <v>293</v>
          </cell>
          <cell r="AQ177">
            <v>76.587126137841352</v>
          </cell>
          <cell r="AR177">
            <v>30.079540528825305</v>
          </cell>
        </row>
        <row r="178">
          <cell r="F178">
            <v>553</v>
          </cell>
          <cell r="P178">
            <v>871.5200000000001</v>
          </cell>
          <cell r="Q178">
            <v>0</v>
          </cell>
          <cell r="R178">
            <v>0</v>
          </cell>
          <cell r="S178">
            <v>1917.7936363636363</v>
          </cell>
          <cell r="T178">
            <v>656.82706363636362</v>
          </cell>
          <cell r="U178">
            <v>683.33020909090919</v>
          </cell>
          <cell r="V178">
            <v>0</v>
          </cell>
          <cell r="W178">
            <v>0</v>
          </cell>
          <cell r="X178">
            <v>745.15</v>
          </cell>
          <cell r="AA178">
            <v>0</v>
          </cell>
          <cell r="AB178">
            <v>0</v>
          </cell>
          <cell r="AC178">
            <v>606.86</v>
          </cell>
          <cell r="AF178">
            <v>1712.0700000000002</v>
          </cell>
          <cell r="AG178">
            <v>1562</v>
          </cell>
          <cell r="AH178">
            <v>150.07000000000016</v>
          </cell>
          <cell r="AK178">
            <v>6664.3236363636361</v>
          </cell>
          <cell r="AO178">
            <v>444</v>
          </cell>
          <cell r="AP178">
            <v>520</v>
          </cell>
          <cell r="AQ178">
            <v>974.52</v>
          </cell>
          <cell r="AR178">
            <v>2078.44</v>
          </cell>
        </row>
        <row r="179">
          <cell r="F179">
            <v>0</v>
          </cell>
          <cell r="G179">
            <v>0</v>
          </cell>
          <cell r="H179">
            <v>0</v>
          </cell>
          <cell r="P179">
            <v>124</v>
          </cell>
          <cell r="Q179">
            <v>0</v>
          </cell>
          <cell r="R179">
            <v>0</v>
          </cell>
          <cell r="S179">
            <v>576.63636363636363</v>
          </cell>
          <cell r="T179">
            <v>0</v>
          </cell>
          <cell r="U179">
            <v>0</v>
          </cell>
          <cell r="V179">
            <v>0</v>
          </cell>
          <cell r="W179">
            <v>0</v>
          </cell>
          <cell r="X179">
            <v>333.90909090909088</v>
          </cell>
          <cell r="Y179">
            <v>239</v>
          </cell>
          <cell r="Z179">
            <v>94.909090909090907</v>
          </cell>
          <cell r="AA179">
            <v>0</v>
          </cell>
          <cell r="AB179">
            <v>0</v>
          </cell>
          <cell r="AC179">
            <v>206.81818181818181</v>
          </cell>
          <cell r="AD179">
            <v>148</v>
          </cell>
          <cell r="AE179">
            <v>58.818181818181813</v>
          </cell>
          <cell r="AF179">
            <v>187</v>
          </cell>
          <cell r="AG179">
            <v>187</v>
          </cell>
          <cell r="AH179">
            <v>0</v>
          </cell>
        </row>
        <row r="180">
          <cell r="F180">
            <v>8302</v>
          </cell>
          <cell r="P180">
            <v>386.99999999999977</v>
          </cell>
          <cell r="Q180">
            <v>0</v>
          </cell>
          <cell r="R180">
            <v>0</v>
          </cell>
          <cell r="S180">
            <v>2471</v>
          </cell>
          <cell r="T180">
            <v>13.666666666666666</v>
          </cell>
          <cell r="U180">
            <v>0</v>
          </cell>
          <cell r="V180">
            <v>0</v>
          </cell>
          <cell r="W180">
            <v>0</v>
          </cell>
          <cell r="X180">
            <v>523.33333333333189</v>
          </cell>
          <cell r="AA180">
            <v>0</v>
          </cell>
          <cell r="AB180">
            <v>0</v>
          </cell>
          <cell r="AC180">
            <v>535.66666666666731</v>
          </cell>
          <cell r="AF180">
            <v>1453.6666666666665</v>
          </cell>
          <cell r="AG180">
            <v>733</v>
          </cell>
          <cell r="AH180">
            <v>721.66666666666663</v>
          </cell>
          <cell r="AK180">
            <v>-2374.9574999999995</v>
          </cell>
          <cell r="AO180">
            <v>518</v>
          </cell>
          <cell r="AP180">
            <v>1507.2</v>
          </cell>
          <cell r="AQ180">
            <v>7.9613874345549789</v>
          </cell>
          <cell r="AR180">
            <v>85.038612565445021</v>
          </cell>
        </row>
        <row r="181">
          <cell r="AO181" t="str">
            <v>ОЧИК.18.02.</v>
          </cell>
        </row>
        <row r="183">
          <cell r="F183">
            <v>11799</v>
          </cell>
          <cell r="P183">
            <v>290.6666666666664</v>
          </cell>
          <cell r="S183">
            <v>1936.4249999999993</v>
          </cell>
          <cell r="X183">
            <v>497.51666666666711</v>
          </cell>
          <cell r="AC183">
            <v>660.80000000000098</v>
          </cell>
          <cell r="AF183">
            <v>1826.7499999999993</v>
          </cell>
          <cell r="AG183">
            <v>1203.54</v>
          </cell>
          <cell r="AH183">
            <v>623.20999999999981</v>
          </cell>
          <cell r="AP183">
            <v>1507.2</v>
          </cell>
        </row>
        <row r="184">
          <cell r="F184" t="str">
            <v>АПАРАТ ВСЬОГО</v>
          </cell>
          <cell r="G184" t="str">
            <v>АПАРАТ ЕЛЕКТРО</v>
          </cell>
          <cell r="H184" t="str">
            <v>АПАРАТ ТЕПЛО</v>
          </cell>
          <cell r="P184" t="str">
            <v>ККМ</v>
          </cell>
          <cell r="S184" t="str">
            <v>КТМ</v>
          </cell>
          <cell r="X184" t="str">
            <v>ТЕЦ-5 ВСЬОГО</v>
          </cell>
          <cell r="Y184" t="str">
            <v>Е/Е</v>
          </cell>
          <cell r="Z184" t="str">
            <v xml:space="preserve"> Т/Е</v>
          </cell>
          <cell r="AC184" t="str">
            <v>ТЕЦ-6 ВСЬОГО</v>
          </cell>
          <cell r="AD184" t="str">
            <v>Е/Е</v>
          </cell>
          <cell r="AE184" t="str">
            <v xml:space="preserve"> Т/Е</v>
          </cell>
          <cell r="AF184" t="str">
            <v>Е/Е</v>
          </cell>
          <cell r="AG184" t="str">
            <v xml:space="preserve"> Т/Е</v>
          </cell>
          <cell r="AI184" t="str">
            <v xml:space="preserve">ДОП.ВИР. </v>
          </cell>
          <cell r="AJ184" t="str">
            <v>ДОП.ВИР. СТ.ОРГ.</v>
          </cell>
          <cell r="AK184" t="str">
            <v>АК КЕ ВСЬОГО</v>
          </cell>
          <cell r="AL184" t="str">
            <v>Е/Е</v>
          </cell>
          <cell r="AM184" t="str">
            <v xml:space="preserve"> Т/Е</v>
          </cell>
          <cell r="AO184" t="str">
            <v>СТАНЦІї ЕЛЕКТРО</v>
          </cell>
          <cell r="AP184" t="str">
            <v>СТАНЦІІ ТЕПЛОВІ</v>
          </cell>
          <cell r="AQ184" t="str">
            <v>МЕРЕЖІ ЕЛЕКТРО</v>
          </cell>
          <cell r="AR184" t="str">
            <v>МЕРЕЖІ ТЕПЛОВІ</v>
          </cell>
        </row>
        <row r="187">
          <cell r="F187" t="str">
            <v>АПАРАТ ВСЬОГО</v>
          </cell>
          <cell r="G187" t="str">
            <v>АПАРАТ ЕЛЕКТРО</v>
          </cell>
          <cell r="H187" t="str">
            <v>АПАРАТ ТЕПЛО</v>
          </cell>
          <cell r="P187" t="str">
            <v>ККМ</v>
          </cell>
          <cell r="S187">
            <v>14.7</v>
          </cell>
          <cell r="X187">
            <v>64.7</v>
          </cell>
          <cell r="Y187" t="str">
            <v>Е/Е</v>
          </cell>
          <cell r="Z187" t="str">
            <v xml:space="preserve"> Т/Е</v>
          </cell>
          <cell r="AC187">
            <v>55</v>
          </cell>
          <cell r="AD187" t="str">
            <v>Е/Е</v>
          </cell>
          <cell r="AE187" t="str">
            <v xml:space="preserve"> Т/Е</v>
          </cell>
          <cell r="AF187" t="str">
            <v>Е/Е</v>
          </cell>
          <cell r="AG187" t="str">
            <v xml:space="preserve"> Т/Е</v>
          </cell>
          <cell r="AK187">
            <v>134.4</v>
          </cell>
          <cell r="AL187" t="str">
            <v>Е/Е</v>
          </cell>
          <cell r="AM187" t="str">
            <v xml:space="preserve"> Т/Е</v>
          </cell>
          <cell r="AO187">
            <v>221.49122807017542</v>
          </cell>
          <cell r="AP187" t="str">
            <v>СТАНЦІІ ТЕПЛОВІ</v>
          </cell>
          <cell r="AQ187" t="str">
            <v>МЕРЕЖІ ЕЛЕКТРО</v>
          </cell>
          <cell r="AR187" t="str">
            <v>МЕРЕЖІ ТЕПЛОВІ</v>
          </cell>
        </row>
        <row r="188">
          <cell r="S188">
            <v>16.899999999999999</v>
          </cell>
          <cell r="X188">
            <v>74</v>
          </cell>
          <cell r="AC188">
            <v>62.9</v>
          </cell>
          <cell r="AK188">
            <v>153.80000000000001</v>
          </cell>
          <cell r="AO188">
            <v>252.49999999999997</v>
          </cell>
        </row>
        <row r="189">
          <cell r="P189">
            <v>0</v>
          </cell>
          <cell r="S189">
            <v>0</v>
          </cell>
          <cell r="X189">
            <v>0</v>
          </cell>
          <cell r="AC189">
            <v>0</v>
          </cell>
          <cell r="AO189">
            <v>66</v>
          </cell>
        </row>
        <row r="190">
          <cell r="P190">
            <v>0</v>
          </cell>
          <cell r="S190">
            <v>192.5</v>
          </cell>
          <cell r="X190">
            <v>192.5</v>
          </cell>
          <cell r="AC190">
            <v>192.5</v>
          </cell>
          <cell r="AK190">
            <v>192.5</v>
          </cell>
          <cell r="AO190">
            <v>0</v>
          </cell>
        </row>
        <row r="191">
          <cell r="S191">
            <v>2830</v>
          </cell>
          <cell r="X191">
            <v>12455</v>
          </cell>
          <cell r="AC191">
            <v>10588</v>
          </cell>
          <cell r="AK191">
            <v>25872</v>
          </cell>
          <cell r="AO191">
            <v>0</v>
          </cell>
        </row>
        <row r="192">
          <cell r="P192">
            <v>0</v>
          </cell>
          <cell r="S192">
            <v>0</v>
          </cell>
          <cell r="X192">
            <v>0</v>
          </cell>
          <cell r="AC192">
            <v>0</v>
          </cell>
          <cell r="AK192">
            <v>25873</v>
          </cell>
          <cell r="AO192">
            <v>66</v>
          </cell>
        </row>
        <row r="193">
          <cell r="P193">
            <v>0</v>
          </cell>
          <cell r="S193">
            <v>192.5</v>
          </cell>
          <cell r="X193">
            <v>0</v>
          </cell>
          <cell r="AC193">
            <v>0</v>
          </cell>
          <cell r="AK193">
            <v>0</v>
          </cell>
          <cell r="AO193">
            <v>0</v>
          </cell>
        </row>
        <row r="194">
          <cell r="S194">
            <v>2945</v>
          </cell>
          <cell r="X194">
            <v>0</v>
          </cell>
          <cell r="AC194">
            <v>0</v>
          </cell>
          <cell r="AK194">
            <v>0</v>
          </cell>
          <cell r="AO194">
            <v>0</v>
          </cell>
        </row>
        <row r="195">
          <cell r="X195">
            <v>82.5</v>
          </cell>
          <cell r="AC195">
            <v>82.5</v>
          </cell>
          <cell r="AK195">
            <v>25661</v>
          </cell>
        </row>
        <row r="196">
          <cell r="X196">
            <v>0</v>
          </cell>
          <cell r="AC196">
            <v>0</v>
          </cell>
          <cell r="AK196">
            <v>0</v>
          </cell>
        </row>
        <row r="197">
          <cell r="S197">
            <v>0</v>
          </cell>
          <cell r="X197">
            <v>0</v>
          </cell>
          <cell r="AC197">
            <v>0</v>
          </cell>
          <cell r="AK197">
            <v>0</v>
          </cell>
        </row>
        <row r="198">
          <cell r="X198">
            <v>82.5</v>
          </cell>
          <cell r="AC198">
            <v>82.5</v>
          </cell>
        </row>
        <row r="199">
          <cell r="X199">
            <v>0</v>
          </cell>
          <cell r="AC199">
            <v>0</v>
          </cell>
          <cell r="AK199">
            <v>0</v>
          </cell>
          <cell r="AO199">
            <v>75.839416058394164</v>
          </cell>
        </row>
        <row r="200">
          <cell r="S200">
            <v>0</v>
          </cell>
          <cell r="X200">
            <v>0</v>
          </cell>
          <cell r="AC200">
            <v>0</v>
          </cell>
          <cell r="AK200">
            <v>0</v>
          </cell>
          <cell r="AO200">
            <v>103.9</v>
          </cell>
        </row>
        <row r="201">
          <cell r="F201">
            <v>75</v>
          </cell>
          <cell r="P201">
            <v>75</v>
          </cell>
          <cell r="AJ201">
            <v>0</v>
          </cell>
          <cell r="AO201" t="e">
            <v>#DIV/0!</v>
          </cell>
          <cell r="AR201">
            <v>75</v>
          </cell>
        </row>
        <row r="202">
          <cell r="S202">
            <v>385</v>
          </cell>
          <cell r="X202">
            <v>385</v>
          </cell>
          <cell r="AC202">
            <v>385</v>
          </cell>
          <cell r="AK202">
            <v>385</v>
          </cell>
          <cell r="AO202">
            <v>195.28</v>
          </cell>
        </row>
        <row r="203">
          <cell r="S203">
            <v>0</v>
          </cell>
          <cell r="X203">
            <v>0</v>
          </cell>
          <cell r="AC203">
            <v>0</v>
          </cell>
          <cell r="AK203">
            <v>0</v>
          </cell>
          <cell r="AO203">
            <v>14810</v>
          </cell>
        </row>
        <row r="204">
          <cell r="F204">
            <v>75</v>
          </cell>
          <cell r="P204">
            <v>75</v>
          </cell>
          <cell r="AK204">
            <v>0</v>
          </cell>
          <cell r="AO204" t="e">
            <v>#DIV/0!</v>
          </cell>
          <cell r="AR204">
            <v>75</v>
          </cell>
        </row>
        <row r="205">
          <cell r="S205">
            <v>16.899999999999999</v>
          </cell>
          <cell r="X205">
            <v>74</v>
          </cell>
          <cell r="Y205">
            <v>48.4</v>
          </cell>
          <cell r="Z205">
            <v>25.6</v>
          </cell>
          <cell r="AC205">
            <v>62.9</v>
          </cell>
          <cell r="AD205">
            <v>37.299999999999997</v>
          </cell>
          <cell r="AE205">
            <v>25.6</v>
          </cell>
          <cell r="AK205">
            <v>153.80000000000001</v>
          </cell>
          <cell r="AL205">
            <v>85.699999999999989</v>
          </cell>
          <cell r="AM205">
            <v>68.099999999999994</v>
          </cell>
          <cell r="AO205">
            <v>356.4</v>
          </cell>
          <cell r="AP205">
            <v>74.900000000000006</v>
          </cell>
          <cell r="AQ205">
            <v>281.5</v>
          </cell>
        </row>
        <row r="206">
          <cell r="S206">
            <v>2830</v>
          </cell>
          <cell r="X206">
            <v>12455</v>
          </cell>
          <cell r="Y206">
            <v>8146</v>
          </cell>
          <cell r="Z206">
            <v>4309</v>
          </cell>
          <cell r="AA206">
            <v>4309</v>
          </cell>
          <cell r="AC206">
            <v>10588</v>
          </cell>
          <cell r="AD206">
            <v>6279</v>
          </cell>
          <cell r="AE206">
            <v>4309</v>
          </cell>
          <cell r="AK206">
            <v>25872</v>
          </cell>
          <cell r="AL206">
            <v>14425</v>
          </cell>
          <cell r="AM206">
            <v>11448</v>
          </cell>
          <cell r="AO206">
            <v>14810</v>
          </cell>
          <cell r="AP206">
            <v>3112.427048260382</v>
          </cell>
          <cell r="AQ206">
            <v>11697.572951739618</v>
          </cell>
        </row>
        <row r="207">
          <cell r="S207">
            <v>167.46</v>
          </cell>
          <cell r="X207">
            <v>168.31</v>
          </cell>
          <cell r="Y207">
            <v>168.31</v>
          </cell>
          <cell r="Z207">
            <v>168.32</v>
          </cell>
          <cell r="AC207">
            <v>168.33</v>
          </cell>
          <cell r="AD207">
            <v>168.34</v>
          </cell>
          <cell r="AE207">
            <v>168.32</v>
          </cell>
          <cell r="AI207">
            <v>0</v>
          </cell>
          <cell r="AJ207">
            <v>0</v>
          </cell>
          <cell r="AK207">
            <v>168.22</v>
          </cell>
          <cell r="AL207">
            <v>168.32</v>
          </cell>
          <cell r="AM207">
            <v>168.11</v>
          </cell>
          <cell r="AO207">
            <v>41.55</v>
          </cell>
          <cell r="AP207">
            <v>41.55</v>
          </cell>
          <cell r="AQ207">
            <v>41.55</v>
          </cell>
          <cell r="AR207">
            <v>0</v>
          </cell>
        </row>
        <row r="208">
          <cell r="S208">
            <v>17.600000000000001</v>
          </cell>
          <cell r="X208">
            <v>73.5</v>
          </cell>
          <cell r="Y208">
            <v>52.8</v>
          </cell>
          <cell r="Z208">
            <v>20.700000000000003</v>
          </cell>
          <cell r="AC208">
            <v>61.7</v>
          </cell>
          <cell r="AD208">
            <v>43.9</v>
          </cell>
          <cell r="AE208">
            <v>17.8</v>
          </cell>
          <cell r="AK208">
            <v>152.79999999999998</v>
          </cell>
          <cell r="AL208">
            <v>96.699999999999989</v>
          </cell>
          <cell r="AM208">
            <v>0</v>
          </cell>
          <cell r="AO208">
            <v>52</v>
          </cell>
          <cell r="AP208">
            <v>52</v>
          </cell>
          <cell r="AQ208">
            <v>281.5</v>
          </cell>
        </row>
        <row r="209">
          <cell r="S209">
            <v>2945</v>
          </cell>
          <cell r="X209">
            <v>12455</v>
          </cell>
          <cell r="Y209">
            <v>8878</v>
          </cell>
          <cell r="Z209">
            <v>3481</v>
          </cell>
          <cell r="AA209">
            <v>3481</v>
          </cell>
          <cell r="AC209">
            <v>10588</v>
          </cell>
          <cell r="AD209">
            <v>7369</v>
          </cell>
          <cell r="AE209">
            <v>2988</v>
          </cell>
          <cell r="AK209">
            <v>25872</v>
          </cell>
          <cell r="AL209">
            <v>14425</v>
          </cell>
          <cell r="AM209">
            <v>11447</v>
          </cell>
          <cell r="AO209">
            <v>14862</v>
          </cell>
          <cell r="AP209">
            <v>3164.427048260382</v>
          </cell>
          <cell r="AQ209">
            <v>11697.572951739618</v>
          </cell>
        </row>
        <row r="210">
          <cell r="S210">
            <v>167.33</v>
          </cell>
          <cell r="X210">
            <v>168.15</v>
          </cell>
          <cell r="Y210">
            <v>168.14</v>
          </cell>
          <cell r="Z210">
            <v>168.16</v>
          </cell>
          <cell r="AC210">
            <v>167.86</v>
          </cell>
          <cell r="AD210">
            <v>167.86</v>
          </cell>
          <cell r="AE210">
            <v>167.87</v>
          </cell>
          <cell r="AK210">
            <v>167.94</v>
          </cell>
          <cell r="AL210">
            <v>168.01</v>
          </cell>
          <cell r="AM210">
            <v>167.81</v>
          </cell>
          <cell r="AO210">
            <v>41.55</v>
          </cell>
          <cell r="AP210">
            <v>41.55</v>
          </cell>
          <cell r="AQ210">
            <v>41.55</v>
          </cell>
          <cell r="AR210">
            <v>0</v>
          </cell>
        </row>
        <row r="211">
          <cell r="AM211">
            <v>0</v>
          </cell>
          <cell r="AO211">
            <v>52</v>
          </cell>
          <cell r="AP211">
            <v>52</v>
          </cell>
        </row>
        <row r="212">
          <cell r="X212">
            <v>12359</v>
          </cell>
          <cell r="AC212">
            <v>10357</v>
          </cell>
          <cell r="AK212">
            <v>25661</v>
          </cell>
          <cell r="AL212">
            <v>16247</v>
          </cell>
          <cell r="AM212">
            <v>9414</v>
          </cell>
          <cell r="AO212">
            <v>14862</v>
          </cell>
          <cell r="AP212">
            <v>3164.427048260382</v>
          </cell>
          <cell r="AQ212">
            <v>11697.572951739618</v>
          </cell>
        </row>
        <row r="218">
          <cell r="G218" t="str">
            <v>Б.В.ЯЩЕНКО</v>
          </cell>
        </row>
        <row r="219">
          <cell r="G219" t="str">
            <v>М.В.ТЕРПИЛО</v>
          </cell>
        </row>
        <row r="220">
          <cell r="G220" t="str">
            <v xml:space="preserve">В.І.МИРГОРОДСЬКИЙ                                  </v>
          </cell>
        </row>
        <row r="221">
          <cell r="G221" t="str">
            <v xml:space="preserve">М.І.ШЕВЧЕНКО                                 </v>
          </cell>
        </row>
        <row r="222">
          <cell r="G222" t="str">
            <v>В.Ю.МОНТЬЕВ</v>
          </cell>
        </row>
        <row r="223">
          <cell r="G223" t="str">
            <v xml:space="preserve">О.М.НИКОЛЕНКО      </v>
          </cell>
          <cell r="AP223">
            <v>1507.2</v>
          </cell>
        </row>
        <row r="227">
          <cell r="AP227">
            <v>1507.2</v>
          </cell>
        </row>
        <row r="238">
          <cell r="AG238" t="str">
            <v xml:space="preserve">         Затверджую</v>
          </cell>
        </row>
        <row r="239">
          <cell r="AG239" t="str">
            <v xml:space="preserve"> Голова правління </v>
          </cell>
        </row>
        <row r="240">
          <cell r="AG240" t="str">
            <v xml:space="preserve">                        І.В.Плачков</v>
          </cell>
        </row>
        <row r="241">
          <cell r="AG241" t="str">
            <v xml:space="preserve">   "_____" ________2000 р.</v>
          </cell>
        </row>
        <row r="242">
          <cell r="AG242" t="str">
            <v xml:space="preserve">         Затверджую</v>
          </cell>
        </row>
        <row r="243">
          <cell r="AG243" t="str">
            <v xml:space="preserve"> Голова правління </v>
          </cell>
        </row>
        <row r="244">
          <cell r="AG244" t="str">
            <v xml:space="preserve">                        І.В.Плачков</v>
          </cell>
        </row>
        <row r="245">
          <cell r="F245" t="str">
            <v>РОЗРАХУНОК ФІНАНСОВИХ ПОТОКІВ НА   березень  2000 року</v>
          </cell>
          <cell r="AG245" t="str">
            <v xml:space="preserve">   "_____" ________2000 р.</v>
          </cell>
        </row>
        <row r="246">
          <cell r="F246" t="str">
            <v>ПО ФІЛІАЛАХ АК КИЇВЕНЕРГО</v>
          </cell>
        </row>
        <row r="249">
          <cell r="F249" t="str">
            <v>РОЗРАХУНОК ФІНАНСОВИХ ПОТОКІВ НА   березень  2000 року</v>
          </cell>
        </row>
        <row r="250">
          <cell r="F250" t="str">
            <v>ПО ФІЛІАЛАХ АК КИЇВЕНЕРГО</v>
          </cell>
        </row>
        <row r="251">
          <cell r="AK251" t="str">
            <v>тис.грн.</v>
          </cell>
        </row>
        <row r="252">
          <cell r="F252" t="str">
            <v>ВИКОН.ДИР.</v>
          </cell>
          <cell r="G252" t="str">
            <v>АПАРАТ ЕЛЕКТРО</v>
          </cell>
          <cell r="H252" t="str">
            <v>АПАРАТ ТЕПЛО</v>
          </cell>
          <cell r="P252" t="str">
            <v>КМ</v>
          </cell>
          <cell r="Q252" t="str">
            <v>ТМ</v>
          </cell>
          <cell r="S252" t="str">
            <v>КТМ</v>
          </cell>
          <cell r="T252" t="str">
            <v>ВИРОБН</v>
          </cell>
          <cell r="U252" t="str">
            <v>ПЕРЕД</v>
          </cell>
          <cell r="X252" t="str">
            <v>ТЕЦ-5 ВСЬОГО</v>
          </cell>
          <cell r="Y252" t="str">
            <v>Е/Е</v>
          </cell>
          <cell r="Z252" t="str">
            <v xml:space="preserve"> Т/Е</v>
          </cell>
          <cell r="AC252" t="str">
            <v>ТЕЦ-6 ВСЬОГО</v>
          </cell>
          <cell r="AD252" t="str">
            <v>Е/Е</v>
          </cell>
          <cell r="AE252" t="str">
            <v xml:space="preserve"> Т/Е</v>
          </cell>
          <cell r="AF252" t="str">
            <v>ТРМ ВСЬОГО</v>
          </cell>
          <cell r="AG252" t="str">
            <v>ТРМ  АК КЕ</v>
          </cell>
          <cell r="AH252" t="str">
            <v>ТРМ СТОР</v>
          </cell>
          <cell r="AK252" t="str">
            <v>АК КЕ осн.вир.</v>
          </cell>
          <cell r="AL252" t="str">
            <v>АК КЕ ВСЬОГО</v>
          </cell>
          <cell r="AM252" t="str">
            <v xml:space="preserve"> Т/Е</v>
          </cell>
          <cell r="AO252" t="str">
            <v>СТАНЦІї ЕЛЕКТРО</v>
          </cell>
          <cell r="AP252" t="str">
            <v>СТАНЦІІ ТЕПЛОВІ</v>
          </cell>
          <cell r="AQ252" t="str">
            <v>МЕРЕЖІ ЕЛЕКТРО</v>
          </cell>
          <cell r="AR252" t="str">
            <v>МЕРЕЖІ ТЕПЛОВІ</v>
          </cell>
        </row>
        <row r="253">
          <cell r="F253">
            <v>4887</v>
          </cell>
          <cell r="P253">
            <v>2489.2866666666664</v>
          </cell>
          <cell r="S253">
            <v>6569.1989393939384</v>
          </cell>
          <cell r="X253">
            <v>3133.4075757575761</v>
          </cell>
          <cell r="AC253">
            <v>2333.3751515151525</v>
          </cell>
          <cell r="AF253">
            <v>4511.4533333333329</v>
          </cell>
          <cell r="AG253">
            <v>3609.54</v>
          </cell>
          <cell r="AH253">
            <v>856.9133333333333</v>
          </cell>
          <cell r="AK253">
            <v>25151.721666666665</v>
          </cell>
        </row>
        <row r="255">
          <cell r="F255">
            <v>14595.584285714285</v>
          </cell>
          <cell r="G255">
            <v>2806.3625654450261</v>
          </cell>
          <cell r="H255">
            <v>2259.6374345549739</v>
          </cell>
          <cell r="P255">
            <v>2489.2866666666664</v>
          </cell>
          <cell r="Q255">
            <v>0</v>
          </cell>
          <cell r="R255">
            <v>0</v>
          </cell>
          <cell r="S255">
            <v>6569.1989393939384</v>
          </cell>
          <cell r="T255">
            <v>2125.1968969696973</v>
          </cell>
          <cell r="U255">
            <v>2413.8020424242422</v>
          </cell>
          <cell r="V255">
            <v>0</v>
          </cell>
          <cell r="W255">
            <v>0</v>
          </cell>
          <cell r="X255">
            <v>3133.4075757575761</v>
          </cell>
          <cell r="Y255">
            <v>2243</v>
          </cell>
          <cell r="Z255">
            <v>881.90757575757618</v>
          </cell>
          <cell r="AA255">
            <v>0</v>
          </cell>
          <cell r="AB255">
            <v>0</v>
          </cell>
          <cell r="AC255">
            <v>2333.3751515151525</v>
          </cell>
          <cell r="AD255">
            <v>1496</v>
          </cell>
          <cell r="AE255">
            <v>607.87515151515208</v>
          </cell>
          <cell r="AF255">
            <v>4511.4533333333329</v>
          </cell>
          <cell r="AG255">
            <v>3609.54</v>
          </cell>
          <cell r="AH255">
            <v>856.9133333333333</v>
          </cell>
          <cell r="AI255" t="str">
            <v>ТИС.ГРН.</v>
          </cell>
          <cell r="AK255" t="str">
            <v>тис.грн.</v>
          </cell>
          <cell r="AM255">
            <v>42757.25</v>
          </cell>
        </row>
        <row r="256">
          <cell r="F256" t="str">
            <v>ВИКОН.ДИР.</v>
          </cell>
          <cell r="G256" t="str">
            <v>АПАРАТ ЕЛЕКТРО</v>
          </cell>
          <cell r="H256" t="str">
            <v>АПАРАТ ТЕПЛО</v>
          </cell>
          <cell r="P256" t="str">
            <v>КМ</v>
          </cell>
          <cell r="Q256" t="str">
            <v>ТМ</v>
          </cell>
          <cell r="S256" t="str">
            <v>КТМ</v>
          </cell>
          <cell r="T256" t="str">
            <v>ВИРОБН</v>
          </cell>
          <cell r="U256" t="str">
            <v>ПЕРЕД</v>
          </cell>
          <cell r="X256" t="str">
            <v>ТЕЦ-5 ВСЬОГО</v>
          </cell>
          <cell r="Y256" t="str">
            <v>Е/Е</v>
          </cell>
          <cell r="Z256" t="str">
            <v xml:space="preserve"> Т/Е</v>
          </cell>
          <cell r="AC256" t="str">
            <v>ТЕЦ-6 ВСЬОГО</v>
          </cell>
          <cell r="AD256" t="str">
            <v>Е/Е</v>
          </cell>
          <cell r="AE256" t="str">
            <v xml:space="preserve"> Т/Е</v>
          </cell>
          <cell r="AF256" t="str">
            <v>ТРМ ВСЬОГО</v>
          </cell>
          <cell r="AG256" t="str">
            <v>ТРМ  АК КЕ</v>
          </cell>
          <cell r="AH256" t="str">
            <v>ТРМ СТОР</v>
          </cell>
          <cell r="AI256" t="str">
            <v xml:space="preserve">ДОП.ВИР. </v>
          </cell>
          <cell r="AJ256" t="str">
            <v>ДОП.ВИР. СТ.ОРГ.</v>
          </cell>
          <cell r="AK256" t="str">
            <v>АК КЕ осн.вир.</v>
          </cell>
          <cell r="AL256" t="str">
            <v>АК КЕ ВСЬОГО</v>
          </cell>
          <cell r="AM256" t="str">
            <v xml:space="preserve"> Т/Е</v>
          </cell>
          <cell r="AO256" t="str">
            <v>СТАНЦІї ЕЛЕКТРО</v>
          </cell>
          <cell r="AP256" t="str">
            <v>СТАНЦІІ ТЕПЛОВІ</v>
          </cell>
          <cell r="AQ256" t="str">
            <v>МЕРЕЖІ ЕЛЕКТРО</v>
          </cell>
          <cell r="AR256" t="str">
            <v>МЕРЕЖІ ТЕПЛОВІ</v>
          </cell>
        </row>
        <row r="257">
          <cell r="F257">
            <v>4106.1000000000004</v>
          </cell>
          <cell r="P257">
            <v>2694.62</v>
          </cell>
          <cell r="Q257">
            <v>0</v>
          </cell>
          <cell r="R257">
            <v>0</v>
          </cell>
          <cell r="S257">
            <v>7710.7648484848487</v>
          </cell>
          <cell r="T257">
            <v>0</v>
          </cell>
          <cell r="U257">
            <v>0</v>
          </cell>
          <cell r="V257">
            <v>0</v>
          </cell>
          <cell r="W257">
            <v>0</v>
          </cell>
          <cell r="X257">
            <v>4714.5030303030289</v>
          </cell>
          <cell r="Y257">
            <v>0</v>
          </cell>
          <cell r="Z257">
            <v>0</v>
          </cell>
          <cell r="AA257">
            <v>0</v>
          </cell>
          <cell r="AB257">
            <v>0</v>
          </cell>
          <cell r="AC257">
            <v>2516.6951515151522</v>
          </cell>
          <cell r="AD257">
            <v>0</v>
          </cell>
          <cell r="AE257">
            <v>0</v>
          </cell>
          <cell r="AF257">
            <v>4357.5593939393939</v>
          </cell>
          <cell r="AG257">
            <v>3406</v>
          </cell>
          <cell r="AH257">
            <v>952.89272727272737</v>
          </cell>
          <cell r="AI257">
            <v>1531</v>
          </cell>
          <cell r="AJ257">
            <v>7599</v>
          </cell>
          <cell r="AK257">
            <v>27115.242424242424</v>
          </cell>
          <cell r="AL257" t="b">
            <v>1</v>
          </cell>
          <cell r="AM257" t="e">
            <v>#NULL!</v>
          </cell>
          <cell r="AN257" t="b">
            <v>1</v>
          </cell>
          <cell r="AO257">
            <v>0</v>
          </cell>
          <cell r="AP257">
            <v>0</v>
          </cell>
          <cell r="AQ257">
            <v>0</v>
          </cell>
          <cell r="AR257">
            <v>0</v>
          </cell>
        </row>
        <row r="258">
          <cell r="F258">
            <v>25661</v>
          </cell>
          <cell r="AK258">
            <v>25661</v>
          </cell>
        </row>
        <row r="259">
          <cell r="F259">
            <v>15876.5</v>
          </cell>
          <cell r="G259">
            <v>1757.3537061118332</v>
          </cell>
          <cell r="H259">
            <v>2187.7462938881663</v>
          </cell>
          <cell r="P259">
            <v>2694.62</v>
          </cell>
          <cell r="Q259">
            <v>0</v>
          </cell>
          <cell r="R259">
            <v>0</v>
          </cell>
          <cell r="S259">
            <v>7710.7648484848487</v>
          </cell>
          <cell r="T259">
            <v>2690.8247757575755</v>
          </cell>
          <cell r="U259">
            <v>2611.9400727272728</v>
          </cell>
          <cell r="V259">
            <v>0</v>
          </cell>
          <cell r="W259">
            <v>0</v>
          </cell>
          <cell r="X259">
            <v>4714.5030303030289</v>
          </cell>
          <cell r="Y259">
            <v>2941</v>
          </cell>
          <cell r="Z259">
            <v>1555.5030303030308</v>
          </cell>
          <cell r="AA259">
            <v>0</v>
          </cell>
          <cell r="AB259">
            <v>0</v>
          </cell>
          <cell r="AC259">
            <v>2516.6951515151522</v>
          </cell>
          <cell r="AD259">
            <v>1377</v>
          </cell>
          <cell r="AE259">
            <v>944.69515151515134</v>
          </cell>
          <cell r="AF259">
            <v>4357.5593939393939</v>
          </cell>
          <cell r="AG259">
            <v>3406</v>
          </cell>
          <cell r="AH259">
            <v>952.89272727272737</v>
          </cell>
          <cell r="AI259">
            <v>847.2</v>
          </cell>
          <cell r="AJ259">
            <v>0</v>
          </cell>
          <cell r="AK259">
            <v>68422.28303030302</v>
          </cell>
          <cell r="AM259">
            <v>48748.25</v>
          </cell>
        </row>
        <row r="260">
          <cell r="F260">
            <v>9055.0666666666657</v>
          </cell>
          <cell r="G260">
            <v>1560.3537061118332</v>
          </cell>
          <cell r="H260">
            <v>1880.6462938881664</v>
          </cell>
          <cell r="P260">
            <v>390.33333333333326</v>
          </cell>
          <cell r="Q260">
            <v>0</v>
          </cell>
          <cell r="R260">
            <v>0</v>
          </cell>
          <cell r="S260">
            <v>2828</v>
          </cell>
          <cell r="T260">
            <v>1887.8566666666666</v>
          </cell>
          <cell r="U260">
            <v>1017.81</v>
          </cell>
          <cell r="V260">
            <v>0</v>
          </cell>
          <cell r="W260">
            <v>0</v>
          </cell>
          <cell r="X260">
            <v>1333.6666666666656</v>
          </cell>
          <cell r="Y260">
            <v>2289</v>
          </cell>
          <cell r="Z260">
            <v>1210.6666666666672</v>
          </cell>
          <cell r="AA260">
            <v>0</v>
          </cell>
          <cell r="AB260">
            <v>0</v>
          </cell>
          <cell r="AC260">
            <v>542.33333333333394</v>
          </cell>
          <cell r="AD260">
            <v>728</v>
          </cell>
          <cell r="AE260">
            <v>499.33333333333314</v>
          </cell>
          <cell r="AF260">
            <v>969.33333333333303</v>
          </cell>
          <cell r="AG260">
            <v>605</v>
          </cell>
          <cell r="AH260">
            <v>365.66666666666663</v>
          </cell>
          <cell r="AI260">
            <v>229.20000000000005</v>
          </cell>
          <cell r="AJ260">
            <v>-2455</v>
          </cell>
          <cell r="AK260">
            <v>50874.373939393932</v>
          </cell>
          <cell r="AM260">
            <v>14653.6</v>
          </cell>
        </row>
        <row r="261">
          <cell r="F261">
            <v>44951.733333333337</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K261">
            <v>44951.733333333337</v>
          </cell>
        </row>
        <row r="262">
          <cell r="F262">
            <v>25873</v>
          </cell>
          <cell r="AK262">
            <v>25873</v>
          </cell>
        </row>
        <row r="263">
          <cell r="F263">
            <v>7538</v>
          </cell>
          <cell r="AK263">
            <v>7538</v>
          </cell>
        </row>
        <row r="264">
          <cell r="F264">
            <v>7257.7333333333336</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K264">
            <v>7257.7333333333336</v>
          </cell>
        </row>
        <row r="265">
          <cell r="F265">
            <v>770.33333333333337</v>
          </cell>
          <cell r="AK265">
            <v>770.33333333333337</v>
          </cell>
        </row>
        <row r="266">
          <cell r="F266">
            <v>0</v>
          </cell>
          <cell r="P266">
            <v>0</v>
          </cell>
          <cell r="S266">
            <v>0</v>
          </cell>
          <cell r="X266">
            <v>0</v>
          </cell>
          <cell r="AC266">
            <v>0</v>
          </cell>
          <cell r="AF266">
            <v>0</v>
          </cell>
          <cell r="AG266">
            <v>0</v>
          </cell>
          <cell r="AH266">
            <v>0</v>
          </cell>
          <cell r="AK266">
            <v>0</v>
          </cell>
        </row>
        <row r="267">
          <cell r="F267">
            <v>2381.4</v>
          </cell>
          <cell r="AK267">
            <v>2381.4</v>
          </cell>
        </row>
        <row r="268">
          <cell r="F268">
            <v>3500</v>
          </cell>
          <cell r="P268">
            <v>0</v>
          </cell>
          <cell r="S268">
            <v>0</v>
          </cell>
          <cell r="X268">
            <v>0</v>
          </cell>
          <cell r="AC268">
            <v>0</v>
          </cell>
          <cell r="AF268">
            <v>0</v>
          </cell>
          <cell r="AG268">
            <v>0</v>
          </cell>
          <cell r="AH268">
            <v>0</v>
          </cell>
          <cell r="AK268">
            <v>3500</v>
          </cell>
        </row>
        <row r="269">
          <cell r="F269">
            <v>0</v>
          </cell>
          <cell r="P269">
            <v>2489.2866666666664</v>
          </cell>
          <cell r="Q269">
            <v>0</v>
          </cell>
          <cell r="R269">
            <v>0</v>
          </cell>
          <cell r="S269">
            <v>6569.1989393939384</v>
          </cell>
          <cell r="T269">
            <v>0</v>
          </cell>
          <cell r="U269">
            <v>0</v>
          </cell>
          <cell r="V269">
            <v>0</v>
          </cell>
          <cell r="W269">
            <v>0</v>
          </cell>
          <cell r="X269">
            <v>3133.4075757575761</v>
          </cell>
          <cell r="Y269">
            <v>0</v>
          </cell>
          <cell r="Z269">
            <v>0</v>
          </cell>
          <cell r="AA269">
            <v>0</v>
          </cell>
          <cell r="AB269">
            <v>0</v>
          </cell>
          <cell r="AC269">
            <v>2333.3751515151525</v>
          </cell>
          <cell r="AD269">
            <v>0</v>
          </cell>
          <cell r="AE269">
            <v>0</v>
          </cell>
          <cell r="AF269">
            <v>4511.4533333333329</v>
          </cell>
          <cell r="AG269">
            <v>3609.54</v>
          </cell>
          <cell r="AH269">
            <v>856.9133333333333</v>
          </cell>
          <cell r="AK269">
            <v>0</v>
          </cell>
        </row>
        <row r="270">
          <cell r="F270">
            <v>606</v>
          </cell>
          <cell r="P270">
            <v>0</v>
          </cell>
          <cell r="Q270">
            <v>0</v>
          </cell>
          <cell r="R270">
            <v>0</v>
          </cell>
          <cell r="S270">
            <v>0</v>
          </cell>
          <cell r="T270">
            <v>670.49373030303025</v>
          </cell>
          <cell r="U270">
            <v>683.33020909090919</v>
          </cell>
          <cell r="V270">
            <v>0</v>
          </cell>
          <cell r="W270">
            <v>0</v>
          </cell>
          <cell r="X270">
            <v>0</v>
          </cell>
          <cell r="Y270">
            <v>494</v>
          </cell>
          <cell r="Z270">
            <v>194.2409090909091</v>
          </cell>
          <cell r="AA270">
            <v>0</v>
          </cell>
          <cell r="AB270">
            <v>0</v>
          </cell>
          <cell r="AC270">
            <v>0</v>
          </cell>
          <cell r="AD270">
            <v>293</v>
          </cell>
          <cell r="AE270">
            <v>120.37515151515153</v>
          </cell>
          <cell r="AF270">
            <v>0</v>
          </cell>
          <cell r="AG270">
            <v>0</v>
          </cell>
          <cell r="AH270">
            <v>0</v>
          </cell>
          <cell r="AI270">
            <v>0</v>
          </cell>
          <cell r="AK270">
            <v>606</v>
          </cell>
        </row>
        <row r="271">
          <cell r="F271">
            <v>4200</v>
          </cell>
          <cell r="G271">
            <v>246</v>
          </cell>
          <cell r="H271">
            <v>307</v>
          </cell>
          <cell r="P271">
            <v>871.5200000000001</v>
          </cell>
          <cell r="S271">
            <v>1917.7936363636363</v>
          </cell>
          <cell r="T271">
            <v>656.82706363636362</v>
          </cell>
          <cell r="U271">
            <v>683.33020909090919</v>
          </cell>
          <cell r="X271">
            <v>745.15</v>
          </cell>
          <cell r="Y271">
            <v>295</v>
          </cell>
          <cell r="Z271">
            <v>116.2409090909091</v>
          </cell>
          <cell r="AC271">
            <v>606.86</v>
          </cell>
          <cell r="AD271">
            <v>284</v>
          </cell>
          <cell r="AE271">
            <v>116.0418181818182</v>
          </cell>
          <cell r="AF271">
            <v>1712.0700000000002</v>
          </cell>
          <cell r="AG271">
            <v>1562</v>
          </cell>
          <cell r="AH271">
            <v>150.07000000000016</v>
          </cell>
          <cell r="AK271">
            <v>4200</v>
          </cell>
        </row>
        <row r="272">
          <cell r="F272">
            <v>83</v>
          </cell>
          <cell r="P272">
            <v>0</v>
          </cell>
          <cell r="Q272">
            <v>0</v>
          </cell>
          <cell r="R272">
            <v>0</v>
          </cell>
          <cell r="S272">
            <v>0</v>
          </cell>
          <cell r="T272">
            <v>13.666666666666666</v>
          </cell>
          <cell r="U272">
            <v>0</v>
          </cell>
          <cell r="V272">
            <v>0</v>
          </cell>
          <cell r="W272">
            <v>0</v>
          </cell>
          <cell r="X272">
            <v>0</v>
          </cell>
          <cell r="Y272">
            <v>199</v>
          </cell>
          <cell r="Z272">
            <v>78</v>
          </cell>
          <cell r="AA272">
            <v>0</v>
          </cell>
          <cell r="AB272">
            <v>0</v>
          </cell>
          <cell r="AC272">
            <v>0</v>
          </cell>
          <cell r="AD272">
            <v>9</v>
          </cell>
          <cell r="AE272">
            <v>4.3333333333333339</v>
          </cell>
          <cell r="AF272">
            <v>0</v>
          </cell>
          <cell r="AG272">
            <v>0</v>
          </cell>
          <cell r="AH272">
            <v>0</v>
          </cell>
          <cell r="AI272">
            <v>0</v>
          </cell>
          <cell r="AK272">
            <v>83</v>
          </cell>
        </row>
        <row r="273">
          <cell r="F273">
            <v>49057.833333333336</v>
          </cell>
          <cell r="P273">
            <v>2694.62</v>
          </cell>
          <cell r="Q273">
            <v>0</v>
          </cell>
          <cell r="R273">
            <v>0</v>
          </cell>
          <cell r="S273">
            <v>7710.7648484848487</v>
          </cell>
          <cell r="T273">
            <v>0</v>
          </cell>
          <cell r="U273">
            <v>0</v>
          </cell>
          <cell r="V273">
            <v>0</v>
          </cell>
          <cell r="W273">
            <v>0</v>
          </cell>
          <cell r="X273">
            <v>4714.5030303030289</v>
          </cell>
          <cell r="Y273">
            <v>0</v>
          </cell>
          <cell r="Z273">
            <v>0</v>
          </cell>
          <cell r="AA273">
            <v>0</v>
          </cell>
          <cell r="AB273">
            <v>0</v>
          </cell>
          <cell r="AC273">
            <v>2516.6951515151522</v>
          </cell>
          <cell r="AD273">
            <v>0</v>
          </cell>
          <cell r="AE273">
            <v>0</v>
          </cell>
          <cell r="AF273">
            <v>4357.5593939393939</v>
          </cell>
          <cell r="AG273">
            <v>3406</v>
          </cell>
          <cell r="AH273">
            <v>952.89272727272737</v>
          </cell>
          <cell r="AI273">
            <v>0</v>
          </cell>
          <cell r="AK273">
            <v>72066.975757575754</v>
          </cell>
        </row>
        <row r="274">
          <cell r="F274">
            <v>1851.1</v>
          </cell>
          <cell r="P274">
            <v>1838.2866666666669</v>
          </cell>
          <cell r="Q274">
            <v>0</v>
          </cell>
          <cell r="R274">
            <v>0</v>
          </cell>
          <cell r="S274">
            <v>4395.6133333333337</v>
          </cell>
          <cell r="T274">
            <v>636.47477575757569</v>
          </cell>
          <cell r="U274">
            <v>648.29007272727267</v>
          </cell>
          <cell r="V274">
            <v>0</v>
          </cell>
          <cell r="W274">
            <v>0</v>
          </cell>
          <cell r="X274">
            <v>1835.2</v>
          </cell>
          <cell r="Y274">
            <v>779</v>
          </cell>
          <cell r="Z274">
            <v>411.83636363636361</v>
          </cell>
          <cell r="AA274">
            <v>0</v>
          </cell>
          <cell r="AB274">
            <v>9</v>
          </cell>
          <cell r="AC274">
            <v>884.51333333333343</v>
          </cell>
          <cell r="AD274">
            <v>234</v>
          </cell>
          <cell r="AE274">
            <v>160.69515151515154</v>
          </cell>
          <cell r="AF274">
            <v>2754.2866666666669</v>
          </cell>
          <cell r="AG274">
            <v>2239.727272727273</v>
          </cell>
          <cell r="AH274">
            <v>514.55939393939411</v>
          </cell>
          <cell r="AI274">
            <v>618</v>
          </cell>
          <cell r="AK274">
            <v>14299.000000000002</v>
          </cell>
        </row>
        <row r="275">
          <cell r="F275">
            <v>504.1</v>
          </cell>
          <cell r="G275">
            <v>197</v>
          </cell>
          <cell r="H275">
            <v>307.10000000000002</v>
          </cell>
          <cell r="P275">
            <v>866.62000000000012</v>
          </cell>
          <cell r="S275">
            <v>1889.28</v>
          </cell>
          <cell r="T275">
            <v>622.80810909090906</v>
          </cell>
          <cell r="U275">
            <v>648.29007272727267</v>
          </cell>
          <cell r="X275">
            <v>737.2</v>
          </cell>
          <cell r="Y275">
            <v>284</v>
          </cell>
          <cell r="Z275">
            <v>149.83636363636361</v>
          </cell>
          <cell r="AC275">
            <v>588.18000000000006</v>
          </cell>
          <cell r="AD275">
            <v>226</v>
          </cell>
          <cell r="AE275">
            <v>155.36181818181819</v>
          </cell>
          <cell r="AF275">
            <v>1626.6200000000001</v>
          </cell>
          <cell r="AG275">
            <v>1468.7272727272727</v>
          </cell>
          <cell r="AH275">
            <v>157.89272727272737</v>
          </cell>
          <cell r="AI275">
            <v>377</v>
          </cell>
          <cell r="AK275">
            <v>6554</v>
          </cell>
        </row>
        <row r="276">
          <cell r="F276">
            <v>0</v>
          </cell>
          <cell r="P276">
            <v>0</v>
          </cell>
          <cell r="Q276">
            <v>0</v>
          </cell>
          <cell r="R276">
            <v>0</v>
          </cell>
          <cell r="S276">
            <v>13.666666666666666</v>
          </cell>
          <cell r="T276">
            <v>13.666666666666666</v>
          </cell>
          <cell r="U276">
            <v>0</v>
          </cell>
          <cell r="V276">
            <v>0</v>
          </cell>
          <cell r="W276">
            <v>0</v>
          </cell>
          <cell r="X276">
            <v>757</v>
          </cell>
          <cell r="Y276">
            <v>495</v>
          </cell>
          <cell r="Z276">
            <v>262</v>
          </cell>
          <cell r="AA276">
            <v>0</v>
          </cell>
          <cell r="AB276">
            <v>0</v>
          </cell>
          <cell r="AC276">
            <v>-0.66666666666666607</v>
          </cell>
          <cell r="AD276">
            <v>8</v>
          </cell>
          <cell r="AE276">
            <v>5.3333333333333339</v>
          </cell>
          <cell r="AF276">
            <v>0.33333333333333331</v>
          </cell>
          <cell r="AG276">
            <v>0</v>
          </cell>
          <cell r="AH276">
            <v>0.33333333333333331</v>
          </cell>
          <cell r="AI276">
            <v>0</v>
          </cell>
          <cell r="AK276">
            <v>770.33333333333337</v>
          </cell>
        </row>
        <row r="277">
          <cell r="F277">
            <v>1339</v>
          </cell>
          <cell r="P277">
            <v>950</v>
          </cell>
          <cell r="Q277">
            <v>0</v>
          </cell>
          <cell r="R277">
            <v>0</v>
          </cell>
          <cell r="S277">
            <v>1377</v>
          </cell>
          <cell r="T277">
            <v>0</v>
          </cell>
          <cell r="U277">
            <v>0</v>
          </cell>
          <cell r="V277">
            <v>0</v>
          </cell>
          <cell r="W277">
            <v>0</v>
          </cell>
          <cell r="X277">
            <v>341</v>
          </cell>
          <cell r="Y277">
            <v>0</v>
          </cell>
          <cell r="Z277">
            <v>0</v>
          </cell>
          <cell r="AA277">
            <v>0</v>
          </cell>
          <cell r="AB277">
            <v>9</v>
          </cell>
          <cell r="AC277">
            <v>297</v>
          </cell>
          <cell r="AD277">
            <v>0</v>
          </cell>
          <cell r="AE277">
            <v>0</v>
          </cell>
          <cell r="AF277">
            <v>588</v>
          </cell>
          <cell r="AG277">
            <v>530</v>
          </cell>
          <cell r="AH277">
            <v>58</v>
          </cell>
          <cell r="AI277">
            <v>0</v>
          </cell>
          <cell r="AK277">
            <v>4926</v>
          </cell>
        </row>
        <row r="278">
          <cell r="F278">
            <v>294</v>
          </cell>
          <cell r="P278">
            <v>450</v>
          </cell>
          <cell r="Q278">
            <v>0</v>
          </cell>
          <cell r="R278">
            <v>0</v>
          </cell>
          <cell r="S278">
            <v>750</v>
          </cell>
          <cell r="T278">
            <v>0</v>
          </cell>
          <cell r="U278">
            <v>0</v>
          </cell>
          <cell r="V278">
            <v>0</v>
          </cell>
          <cell r="W278">
            <v>0</v>
          </cell>
          <cell r="X278">
            <v>102</v>
          </cell>
          <cell r="Y278">
            <v>0</v>
          </cell>
          <cell r="Z278">
            <v>0</v>
          </cell>
          <cell r="AA278">
            <v>0</v>
          </cell>
          <cell r="AB278">
            <v>0</v>
          </cell>
          <cell r="AC278">
            <v>97</v>
          </cell>
          <cell r="AD278">
            <v>0</v>
          </cell>
          <cell r="AE278">
            <v>0</v>
          </cell>
          <cell r="AF278">
            <v>447</v>
          </cell>
          <cell r="AG278">
            <v>415</v>
          </cell>
          <cell r="AH278">
            <v>32</v>
          </cell>
          <cell r="AI278">
            <v>0</v>
          </cell>
          <cell r="AK278">
            <v>2174</v>
          </cell>
        </row>
        <row r="279">
          <cell r="F279">
            <v>665</v>
          </cell>
          <cell r="P279">
            <v>20</v>
          </cell>
          <cell r="S279">
            <v>88</v>
          </cell>
          <cell r="X279">
            <v>65</v>
          </cell>
          <cell r="AC279">
            <v>66</v>
          </cell>
          <cell r="AF279">
            <v>26</v>
          </cell>
          <cell r="AG279">
            <v>0</v>
          </cell>
          <cell r="AH279">
            <v>26</v>
          </cell>
          <cell r="AI279">
            <v>0</v>
          </cell>
          <cell r="AK279">
            <v>930</v>
          </cell>
        </row>
        <row r="280">
          <cell r="F280">
            <v>60</v>
          </cell>
          <cell r="P280">
            <v>370</v>
          </cell>
          <cell r="S280">
            <v>480</v>
          </cell>
          <cell r="X280">
            <v>100</v>
          </cell>
          <cell r="AC280">
            <v>100</v>
          </cell>
          <cell r="AF280">
            <v>0</v>
          </cell>
          <cell r="AG280">
            <v>0</v>
          </cell>
          <cell r="AH280">
            <v>499.81666666666649</v>
          </cell>
          <cell r="AK280">
            <v>1110</v>
          </cell>
        </row>
        <row r="281">
          <cell r="F281">
            <v>320</v>
          </cell>
          <cell r="P281">
            <v>110</v>
          </cell>
          <cell r="Q281">
            <v>0</v>
          </cell>
          <cell r="R281">
            <v>0</v>
          </cell>
          <cell r="S281">
            <v>59</v>
          </cell>
          <cell r="T281">
            <v>0</v>
          </cell>
          <cell r="U281">
            <v>0</v>
          </cell>
          <cell r="V281">
            <v>0</v>
          </cell>
          <cell r="W281">
            <v>0</v>
          </cell>
          <cell r="X281">
            <v>74</v>
          </cell>
          <cell r="Y281">
            <v>0</v>
          </cell>
          <cell r="Z281">
            <v>0</v>
          </cell>
          <cell r="AA281">
            <v>0</v>
          </cell>
          <cell r="AB281">
            <v>9</v>
          </cell>
          <cell r="AC281">
            <v>34</v>
          </cell>
          <cell r="AD281">
            <v>0</v>
          </cell>
          <cell r="AE281">
            <v>0</v>
          </cell>
          <cell r="AF281">
            <v>115</v>
          </cell>
          <cell r="AG281">
            <v>115</v>
          </cell>
          <cell r="AH281">
            <v>0</v>
          </cell>
          <cell r="AI281">
            <v>0</v>
          </cell>
          <cell r="AJ281">
            <v>0</v>
          </cell>
          <cell r="AK281">
            <v>712</v>
          </cell>
        </row>
        <row r="282">
          <cell r="F282">
            <v>8</v>
          </cell>
          <cell r="P282">
            <v>21.666666666666668</v>
          </cell>
          <cell r="Q282">
            <v>0</v>
          </cell>
          <cell r="R282">
            <v>0</v>
          </cell>
          <cell r="S282">
            <v>865.66666666666663</v>
          </cell>
          <cell r="T282">
            <v>0</v>
          </cell>
          <cell r="U282">
            <v>0</v>
          </cell>
          <cell r="V282">
            <v>0</v>
          </cell>
          <cell r="W282">
            <v>0</v>
          </cell>
          <cell r="X282">
            <v>0</v>
          </cell>
          <cell r="Y282">
            <v>0</v>
          </cell>
          <cell r="Z282">
            <v>0</v>
          </cell>
          <cell r="AA282">
            <v>0</v>
          </cell>
          <cell r="AB282">
            <v>0</v>
          </cell>
          <cell r="AC282">
            <v>0</v>
          </cell>
          <cell r="AD282">
            <v>0</v>
          </cell>
          <cell r="AE282">
            <v>0</v>
          </cell>
          <cell r="AF282">
            <v>539.33333333333337</v>
          </cell>
          <cell r="AG282">
            <v>241</v>
          </cell>
          <cell r="AH282">
            <v>298.33333333333337</v>
          </cell>
          <cell r="AI282">
            <v>241</v>
          </cell>
          <cell r="AK282">
            <v>1798.6666666666665</v>
          </cell>
        </row>
        <row r="283">
          <cell r="F283">
            <v>0</v>
          </cell>
          <cell r="P283">
            <v>0</v>
          </cell>
          <cell r="Q283">
            <v>0</v>
          </cell>
          <cell r="R283">
            <v>0</v>
          </cell>
          <cell r="S283">
            <v>0</v>
          </cell>
          <cell r="T283">
            <v>-670.49373030303025</v>
          </cell>
          <cell r="U283">
            <v>-683.33020909090919</v>
          </cell>
          <cell r="V283">
            <v>0</v>
          </cell>
          <cell r="W283">
            <v>0</v>
          </cell>
          <cell r="X283">
            <v>0</v>
          </cell>
          <cell r="Y283">
            <v>-494</v>
          </cell>
          <cell r="Z283">
            <v>-194.2409090909091</v>
          </cell>
          <cell r="AA283">
            <v>0</v>
          </cell>
          <cell r="AB283">
            <v>0</v>
          </cell>
          <cell r="AC283">
            <v>0</v>
          </cell>
          <cell r="AD283">
            <v>-293</v>
          </cell>
          <cell r="AE283">
            <v>-120.37515151515153</v>
          </cell>
          <cell r="AF283">
            <v>0</v>
          </cell>
          <cell r="AG283">
            <v>0</v>
          </cell>
          <cell r="AH283">
            <v>0</v>
          </cell>
          <cell r="AI283">
            <v>0</v>
          </cell>
          <cell r="AK283">
            <v>0</v>
          </cell>
        </row>
        <row r="284">
          <cell r="F284">
            <v>8</v>
          </cell>
          <cell r="P284">
            <v>21.666666666666668</v>
          </cell>
          <cell r="S284">
            <v>865.66666666666663</v>
          </cell>
          <cell r="X284">
            <v>0</v>
          </cell>
          <cell r="AC284">
            <v>0</v>
          </cell>
          <cell r="AF284">
            <v>539.33333333333337</v>
          </cell>
          <cell r="AG284">
            <v>241</v>
          </cell>
          <cell r="AH284">
            <v>298.33333333333337</v>
          </cell>
          <cell r="AI284">
            <v>241</v>
          </cell>
          <cell r="AK284">
            <v>1434.6666666666665</v>
          </cell>
        </row>
        <row r="285">
          <cell r="F285">
            <v>3571</v>
          </cell>
          <cell r="P285">
            <v>806.35</v>
          </cell>
          <cell r="Q285">
            <v>0</v>
          </cell>
          <cell r="R285">
            <v>0</v>
          </cell>
          <cell r="S285">
            <v>2995.738636363636</v>
          </cell>
          <cell r="T285">
            <v>0</v>
          </cell>
          <cell r="U285">
            <v>0</v>
          </cell>
          <cell r="V285">
            <v>0</v>
          </cell>
          <cell r="W285">
            <v>0</v>
          </cell>
          <cell r="X285">
            <v>1745.7075757575756</v>
          </cell>
          <cell r="Y285">
            <v>0</v>
          </cell>
          <cell r="Z285">
            <v>0</v>
          </cell>
          <cell r="AA285">
            <v>0</v>
          </cell>
          <cell r="AB285">
            <v>0</v>
          </cell>
          <cell r="AC285">
            <v>1402.5151515151517</v>
          </cell>
          <cell r="AD285">
            <v>0</v>
          </cell>
          <cell r="AE285">
            <v>0</v>
          </cell>
          <cell r="AF285">
            <v>1092.5333333333333</v>
          </cell>
          <cell r="AG285">
            <v>758.54</v>
          </cell>
          <cell r="AH285">
            <v>289.99333333333323</v>
          </cell>
          <cell r="AK285">
            <v>364</v>
          </cell>
        </row>
        <row r="286">
          <cell r="F286">
            <v>555</v>
          </cell>
          <cell r="P286">
            <v>205.5</v>
          </cell>
          <cell r="S286">
            <v>250</v>
          </cell>
          <cell r="X286">
            <v>-91.5</v>
          </cell>
          <cell r="AC286">
            <v>99.5</v>
          </cell>
          <cell r="AF286">
            <v>52.299999999999983</v>
          </cell>
          <cell r="AG286">
            <v>-31</v>
          </cell>
          <cell r="AH286">
            <v>0</v>
          </cell>
          <cell r="AI286">
            <v>0</v>
          </cell>
          <cell r="AK286">
            <v>250</v>
          </cell>
        </row>
        <row r="287">
          <cell r="F287">
            <v>47206.733333333337</v>
          </cell>
          <cell r="P287">
            <v>856.33333333333303</v>
          </cell>
          <cell r="Q287">
            <v>0</v>
          </cell>
          <cell r="R287">
            <v>0</v>
          </cell>
          <cell r="S287">
            <v>3315.151515151515</v>
          </cell>
          <cell r="T287">
            <v>-636.47477575757569</v>
          </cell>
          <cell r="U287">
            <v>-648.29007272727267</v>
          </cell>
          <cell r="V287">
            <v>0</v>
          </cell>
          <cell r="W287">
            <v>0</v>
          </cell>
          <cell r="X287">
            <v>2879.3030303030291</v>
          </cell>
          <cell r="Y287">
            <v>-779</v>
          </cell>
          <cell r="Z287">
            <v>-411.83636363636361</v>
          </cell>
          <cell r="AA287">
            <v>0</v>
          </cell>
          <cell r="AB287">
            <v>-9</v>
          </cell>
          <cell r="AC287">
            <v>1632.1818181818189</v>
          </cell>
          <cell r="AD287">
            <v>-234</v>
          </cell>
          <cell r="AE287">
            <v>-160.69515151515154</v>
          </cell>
          <cell r="AF287">
            <v>1603.272727272727</v>
          </cell>
          <cell r="AG287">
            <v>1166.272727272727</v>
          </cell>
          <cell r="AH287">
            <v>438.33333333333326</v>
          </cell>
          <cell r="AI287">
            <v>-618</v>
          </cell>
          <cell r="AK287">
            <v>57767.975757575761</v>
          </cell>
        </row>
        <row r="288">
          <cell r="F288">
            <v>0</v>
          </cell>
          <cell r="P288">
            <v>0</v>
          </cell>
          <cell r="S288">
            <v>0</v>
          </cell>
          <cell r="X288">
            <v>0</v>
          </cell>
          <cell r="AC288">
            <v>0</v>
          </cell>
          <cell r="AF288">
            <v>0</v>
          </cell>
          <cell r="AG288">
            <v>0</v>
          </cell>
          <cell r="AH288">
            <v>0</v>
          </cell>
          <cell r="AK288">
            <v>0</v>
          </cell>
        </row>
        <row r="289">
          <cell r="F289">
            <v>2815</v>
          </cell>
          <cell r="P289">
            <v>1106.3333333333333</v>
          </cell>
          <cell r="Q289">
            <v>0</v>
          </cell>
          <cell r="R289">
            <v>0</v>
          </cell>
          <cell r="S289">
            <v>3375.1515151515155</v>
          </cell>
          <cell r="T289">
            <v>0</v>
          </cell>
          <cell r="U289">
            <v>0</v>
          </cell>
          <cell r="V289">
            <v>0</v>
          </cell>
          <cell r="W289">
            <v>0</v>
          </cell>
          <cell r="X289">
            <v>2879.3030303030305</v>
          </cell>
          <cell r="Y289">
            <v>0</v>
          </cell>
          <cell r="Z289">
            <v>0</v>
          </cell>
          <cell r="AA289">
            <v>0</v>
          </cell>
          <cell r="AB289">
            <v>0</v>
          </cell>
          <cell r="AC289">
            <v>1631.5151515151515</v>
          </cell>
          <cell r="AD289">
            <v>0</v>
          </cell>
          <cell r="AE289">
            <v>0</v>
          </cell>
          <cell r="AF289">
            <v>1604.2727272727273</v>
          </cell>
          <cell r="AG289">
            <v>1166.2727272727273</v>
          </cell>
          <cell r="AH289">
            <v>438.33333333333331</v>
          </cell>
          <cell r="AI289">
            <v>283.60000000000002</v>
          </cell>
          <cell r="AK289">
            <v>13677.575757575758</v>
          </cell>
        </row>
        <row r="290">
          <cell r="F290">
            <v>850</v>
          </cell>
          <cell r="P290">
            <v>319</v>
          </cell>
          <cell r="Q290">
            <v>0</v>
          </cell>
          <cell r="R290">
            <v>0</v>
          </cell>
          <cell r="S290">
            <v>1738</v>
          </cell>
          <cell r="T290">
            <v>0</v>
          </cell>
          <cell r="U290">
            <v>0</v>
          </cell>
          <cell r="V290">
            <v>0</v>
          </cell>
          <cell r="W290">
            <v>0</v>
          </cell>
          <cell r="X290">
            <v>118</v>
          </cell>
          <cell r="Y290">
            <v>0</v>
          </cell>
          <cell r="Z290">
            <v>0</v>
          </cell>
          <cell r="AA290">
            <v>0</v>
          </cell>
          <cell r="AB290">
            <v>0</v>
          </cell>
          <cell r="AC290">
            <v>95</v>
          </cell>
          <cell r="AD290">
            <v>0</v>
          </cell>
          <cell r="AE290">
            <v>0</v>
          </cell>
          <cell r="AF290">
            <v>400</v>
          </cell>
          <cell r="AG290">
            <v>400</v>
          </cell>
          <cell r="AH290">
            <v>0</v>
          </cell>
          <cell r="AI290">
            <v>118.4</v>
          </cell>
          <cell r="AK290">
            <v>3620</v>
          </cell>
        </row>
        <row r="291">
          <cell r="F291">
            <v>320</v>
          </cell>
          <cell r="P291">
            <v>576</v>
          </cell>
          <cell r="Q291">
            <v>0</v>
          </cell>
          <cell r="R291">
            <v>0</v>
          </cell>
          <cell r="S291">
            <v>809.81818181818176</v>
          </cell>
          <cell r="T291">
            <v>0</v>
          </cell>
          <cell r="U291">
            <v>0</v>
          </cell>
          <cell r="V291">
            <v>0</v>
          </cell>
          <cell r="W291">
            <v>0</v>
          </cell>
          <cell r="X291">
            <v>2376.6363636363635</v>
          </cell>
          <cell r="Y291">
            <v>0</v>
          </cell>
          <cell r="Z291">
            <v>0</v>
          </cell>
          <cell r="AA291">
            <v>0</v>
          </cell>
          <cell r="AB291">
            <v>0</v>
          </cell>
          <cell r="AC291">
            <v>1123.1818181818182</v>
          </cell>
          <cell r="AD291">
            <v>0</v>
          </cell>
          <cell r="AE291">
            <v>0</v>
          </cell>
          <cell r="AF291">
            <v>749.27272727272725</v>
          </cell>
          <cell r="AG291">
            <v>676.27272727272725</v>
          </cell>
          <cell r="AH291">
            <v>73</v>
          </cell>
          <cell r="AI291">
            <v>0</v>
          </cell>
          <cell r="AK291">
            <v>5954.9090909090901</v>
          </cell>
        </row>
        <row r="292">
          <cell r="F292">
            <v>0</v>
          </cell>
          <cell r="P292">
            <v>0</v>
          </cell>
          <cell r="S292">
            <v>0</v>
          </cell>
          <cell r="X292">
            <v>0</v>
          </cell>
          <cell r="AC292">
            <v>0</v>
          </cell>
          <cell r="AF292">
            <v>0</v>
          </cell>
          <cell r="AG292">
            <v>0</v>
          </cell>
          <cell r="AH292">
            <v>0</v>
          </cell>
          <cell r="AI292">
            <v>0</v>
          </cell>
          <cell r="AK292">
            <v>0</v>
          </cell>
        </row>
        <row r="293">
          <cell r="F293">
            <v>0</v>
          </cell>
          <cell r="P293">
            <v>0</v>
          </cell>
          <cell r="S293">
            <v>0</v>
          </cell>
          <cell r="X293">
            <v>0</v>
          </cell>
          <cell r="AC293">
            <v>0</v>
          </cell>
          <cell r="AF293">
            <v>0</v>
          </cell>
          <cell r="AG293">
            <v>0</v>
          </cell>
          <cell r="AH293">
            <v>0</v>
          </cell>
          <cell r="AI293">
            <v>0</v>
          </cell>
          <cell r="AK293">
            <v>0</v>
          </cell>
        </row>
        <row r="294">
          <cell r="F294">
            <v>1626</v>
          </cell>
          <cell r="P294">
            <v>145.33333333333334</v>
          </cell>
          <cell r="Q294">
            <v>0</v>
          </cell>
          <cell r="R294">
            <v>0</v>
          </cell>
          <cell r="S294">
            <v>827.33333333333337</v>
          </cell>
          <cell r="T294">
            <v>0</v>
          </cell>
          <cell r="U294">
            <v>0</v>
          </cell>
          <cell r="V294">
            <v>0</v>
          </cell>
          <cell r="W294">
            <v>0</v>
          </cell>
          <cell r="X294">
            <v>356.33333333333331</v>
          </cell>
          <cell r="Y294">
            <v>0</v>
          </cell>
          <cell r="Z294">
            <v>0</v>
          </cell>
          <cell r="AA294">
            <v>0</v>
          </cell>
          <cell r="AB294">
            <v>0</v>
          </cell>
          <cell r="AC294">
            <v>386</v>
          </cell>
          <cell r="AD294">
            <v>0</v>
          </cell>
          <cell r="AE294">
            <v>0</v>
          </cell>
          <cell r="AF294">
            <v>442.33333333333331</v>
          </cell>
          <cell r="AG294">
            <v>77</v>
          </cell>
          <cell r="AH294">
            <v>365.33333333333331</v>
          </cell>
          <cell r="AI294">
            <v>165.2</v>
          </cell>
          <cell r="AK294">
            <v>3949.3333333333335</v>
          </cell>
        </row>
        <row r="295">
          <cell r="F295">
            <v>0</v>
          </cell>
          <cell r="P295">
            <v>0</v>
          </cell>
          <cell r="S295">
            <v>47</v>
          </cell>
          <cell r="X295">
            <v>37</v>
          </cell>
          <cell r="AC295">
            <v>216.33333333333331</v>
          </cell>
          <cell r="AF295">
            <v>27</v>
          </cell>
          <cell r="AG295">
            <v>-206</v>
          </cell>
          <cell r="AH295">
            <v>233</v>
          </cell>
          <cell r="AI295">
            <v>70</v>
          </cell>
          <cell r="AK295">
            <v>422.33333333333331</v>
          </cell>
        </row>
        <row r="296">
          <cell r="F296">
            <v>20</v>
          </cell>
          <cell r="P296">
            <v>53.666666666666664</v>
          </cell>
          <cell r="Q296">
            <v>0</v>
          </cell>
          <cell r="R296">
            <v>0</v>
          </cell>
          <cell r="S296">
            <v>355</v>
          </cell>
          <cell r="T296">
            <v>-670.49373030303025</v>
          </cell>
          <cell r="U296">
            <v>-683.33020909090919</v>
          </cell>
          <cell r="V296">
            <v>0</v>
          </cell>
          <cell r="W296">
            <v>0</v>
          </cell>
          <cell r="X296">
            <v>221.66666666666663</v>
          </cell>
          <cell r="Y296">
            <v>-494</v>
          </cell>
          <cell r="Z296">
            <v>-194.2409090909091</v>
          </cell>
          <cell r="AA296">
            <v>0</v>
          </cell>
          <cell r="AB296">
            <v>0</v>
          </cell>
          <cell r="AC296">
            <v>84.333333333333329</v>
          </cell>
          <cell r="AD296">
            <v>-293</v>
          </cell>
          <cell r="AE296">
            <v>-120.37515151515153</v>
          </cell>
          <cell r="AF296">
            <v>189</v>
          </cell>
          <cell r="AG296">
            <v>110</v>
          </cell>
          <cell r="AH296">
            <v>79.000000000000014</v>
          </cell>
          <cell r="AI296">
            <v>36</v>
          </cell>
          <cell r="AK296">
            <v>923.66666666666663</v>
          </cell>
        </row>
        <row r="297">
          <cell r="F297">
            <v>1606</v>
          </cell>
          <cell r="P297">
            <v>91.666666666666671</v>
          </cell>
          <cell r="S297">
            <v>425.33333333333337</v>
          </cell>
          <cell r="X297">
            <v>97.666666666666671</v>
          </cell>
          <cell r="AC297">
            <v>85.333333333333343</v>
          </cell>
          <cell r="AF297">
            <v>226.33333333333331</v>
          </cell>
          <cell r="AG297">
            <v>173</v>
          </cell>
          <cell r="AH297">
            <v>53.333333333333314</v>
          </cell>
          <cell r="AI297">
            <v>59.2</v>
          </cell>
          <cell r="AK297">
            <v>2603.3333333333335</v>
          </cell>
        </row>
        <row r="298">
          <cell r="P298">
            <v>0</v>
          </cell>
          <cell r="AF298">
            <v>0</v>
          </cell>
          <cell r="AG298">
            <v>0</v>
          </cell>
          <cell r="AH298">
            <v>0</v>
          </cell>
          <cell r="AI298">
            <v>0</v>
          </cell>
          <cell r="AK298">
            <v>0</v>
          </cell>
        </row>
        <row r="299">
          <cell r="F299">
            <v>19</v>
          </cell>
          <cell r="G299">
            <v>0</v>
          </cell>
          <cell r="H299">
            <v>0</v>
          </cell>
          <cell r="P299">
            <v>66</v>
          </cell>
          <cell r="Q299">
            <v>0</v>
          </cell>
          <cell r="R299">
            <v>0</v>
          </cell>
          <cell r="S299">
            <v>0</v>
          </cell>
          <cell r="T299">
            <v>-670.49373030303025</v>
          </cell>
          <cell r="U299">
            <v>-683.33020909090919</v>
          </cell>
          <cell r="V299">
            <v>0</v>
          </cell>
          <cell r="W299">
            <v>0</v>
          </cell>
          <cell r="X299">
            <v>28.333333333333332</v>
          </cell>
          <cell r="Y299">
            <v>-494</v>
          </cell>
          <cell r="Z299">
            <v>-194.2409090909091</v>
          </cell>
          <cell r="AA299">
            <v>0</v>
          </cell>
          <cell r="AB299">
            <v>0</v>
          </cell>
          <cell r="AC299">
            <v>27.333333333333332</v>
          </cell>
          <cell r="AF299">
            <v>12.666666666666666</v>
          </cell>
          <cell r="AG299">
            <v>13</v>
          </cell>
          <cell r="AH299">
            <v>0</v>
          </cell>
          <cell r="AI299">
            <v>0</v>
          </cell>
          <cell r="AK299">
            <v>153.33333333333331</v>
          </cell>
        </row>
        <row r="300">
          <cell r="F300">
            <v>47206.733333333337</v>
          </cell>
          <cell r="P300">
            <v>856.33333333333303</v>
          </cell>
          <cell r="Q300">
            <v>0</v>
          </cell>
          <cell r="R300">
            <v>0</v>
          </cell>
          <cell r="S300">
            <v>3315.151515151515</v>
          </cell>
          <cell r="T300">
            <v>-636.47477575757569</v>
          </cell>
          <cell r="U300">
            <v>-648.29007272727267</v>
          </cell>
          <cell r="V300">
            <v>0</v>
          </cell>
          <cell r="W300">
            <v>0</v>
          </cell>
          <cell r="X300">
            <v>2879.3030303030291</v>
          </cell>
          <cell r="Y300">
            <v>-779</v>
          </cell>
          <cell r="Z300">
            <v>-411.83636363636361</v>
          </cell>
          <cell r="AA300">
            <v>0</v>
          </cell>
          <cell r="AB300">
            <v>-9</v>
          </cell>
          <cell r="AC300">
            <v>1632.1818181818189</v>
          </cell>
          <cell r="AD300">
            <v>-234</v>
          </cell>
          <cell r="AE300">
            <v>-160.69515151515154</v>
          </cell>
          <cell r="AF300">
            <v>1603.272727272727</v>
          </cell>
          <cell r="AG300">
            <v>1166.272727272727</v>
          </cell>
          <cell r="AH300">
            <v>438.33333333333326</v>
          </cell>
          <cell r="AI300">
            <v>-618</v>
          </cell>
          <cell r="AK300">
            <v>57767.975757575761</v>
          </cell>
        </row>
        <row r="301">
          <cell r="F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191</v>
          </cell>
          <cell r="AK301">
            <v>0</v>
          </cell>
        </row>
        <row r="302">
          <cell r="F302">
            <v>0</v>
          </cell>
          <cell r="P302">
            <v>0</v>
          </cell>
          <cell r="S302">
            <v>0</v>
          </cell>
          <cell r="X302">
            <v>0</v>
          </cell>
          <cell r="AC302">
            <v>0</v>
          </cell>
          <cell r="AF302">
            <v>0</v>
          </cell>
          <cell r="AG302">
            <v>0</v>
          </cell>
          <cell r="AH302">
            <v>0</v>
          </cell>
          <cell r="AK302">
            <v>0</v>
          </cell>
        </row>
        <row r="303">
          <cell r="F303">
            <v>47206.733333333337</v>
          </cell>
          <cell r="G303">
            <v>0</v>
          </cell>
          <cell r="H303">
            <v>0</v>
          </cell>
          <cell r="P303">
            <v>856.33333333333303</v>
          </cell>
          <cell r="Q303">
            <v>0</v>
          </cell>
          <cell r="R303">
            <v>0</v>
          </cell>
          <cell r="S303">
            <v>3315.151515151515</v>
          </cell>
          <cell r="T303">
            <v>-636.47477575757569</v>
          </cell>
          <cell r="U303">
            <v>-648.29007272727267</v>
          </cell>
          <cell r="V303">
            <v>0</v>
          </cell>
          <cell r="W303">
            <v>0</v>
          </cell>
          <cell r="X303">
            <v>2879.3030303030291</v>
          </cell>
          <cell r="Y303">
            <v>-779</v>
          </cell>
          <cell r="Z303">
            <v>-411.83636363636361</v>
          </cell>
          <cell r="AA303">
            <v>0</v>
          </cell>
          <cell r="AB303">
            <v>-9</v>
          </cell>
          <cell r="AC303">
            <v>1632.1818181818189</v>
          </cell>
          <cell r="AF303">
            <v>1603.272727272727</v>
          </cell>
          <cell r="AG303">
            <v>973.93939393939377</v>
          </cell>
          <cell r="AH303">
            <v>629.33333333333326</v>
          </cell>
          <cell r="AK303">
            <v>57767.975757575761</v>
          </cell>
        </row>
        <row r="304">
          <cell r="F304">
            <v>0</v>
          </cell>
          <cell r="P304">
            <v>806.34999999999968</v>
          </cell>
          <cell r="Q304">
            <v>0</v>
          </cell>
          <cell r="R304">
            <v>0</v>
          </cell>
          <cell r="S304">
            <v>2965.7386363636351</v>
          </cell>
          <cell r="T304">
            <v>-670.49373030303025</v>
          </cell>
          <cell r="U304">
            <v>-683.33020909090919</v>
          </cell>
          <cell r="V304">
            <v>0</v>
          </cell>
          <cell r="W304">
            <v>0</v>
          </cell>
          <cell r="X304">
            <v>1745.707575757576</v>
          </cell>
          <cell r="Y304">
            <v>-494</v>
          </cell>
          <cell r="Z304">
            <v>-194.2409090909091</v>
          </cell>
          <cell r="AA304">
            <v>0</v>
          </cell>
          <cell r="AB304">
            <v>0</v>
          </cell>
          <cell r="AC304">
            <v>1403.1818181818192</v>
          </cell>
          <cell r="AD304">
            <v>-293</v>
          </cell>
          <cell r="AE304">
            <v>-120.37515151515153</v>
          </cell>
          <cell r="AF304">
            <v>1092.2333333333327</v>
          </cell>
          <cell r="AG304">
            <v>694.5399999999994</v>
          </cell>
          <cell r="AH304">
            <v>397.69333333333327</v>
          </cell>
          <cell r="AK304">
            <v>0</v>
          </cell>
        </row>
        <row r="305">
          <cell r="F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K305">
            <v>0</v>
          </cell>
        </row>
        <row r="306">
          <cell r="F306">
            <v>0</v>
          </cell>
          <cell r="P306">
            <v>0</v>
          </cell>
          <cell r="S306">
            <v>0</v>
          </cell>
          <cell r="X306">
            <v>0</v>
          </cell>
          <cell r="AC306">
            <v>0</v>
          </cell>
          <cell r="AF306">
            <v>0</v>
          </cell>
          <cell r="AG306">
            <v>0</v>
          </cell>
          <cell r="AH306">
            <v>0</v>
          </cell>
          <cell r="AI306">
            <v>0</v>
          </cell>
          <cell r="AK306">
            <v>0</v>
          </cell>
        </row>
        <row r="307">
          <cell r="S307">
            <v>0</v>
          </cell>
          <cell r="AK307">
            <v>0</v>
          </cell>
        </row>
        <row r="308">
          <cell r="F308">
            <v>47206.733333333337</v>
          </cell>
          <cell r="P308">
            <v>856.33333333333303</v>
          </cell>
          <cell r="Q308">
            <v>0</v>
          </cell>
          <cell r="R308">
            <v>0</v>
          </cell>
          <cell r="S308">
            <v>3315.151515151515</v>
          </cell>
          <cell r="T308">
            <v>-636.47477575757569</v>
          </cell>
          <cell r="U308">
            <v>-648.29007272727267</v>
          </cell>
          <cell r="V308">
            <v>0</v>
          </cell>
          <cell r="W308">
            <v>0</v>
          </cell>
          <cell r="X308">
            <v>2879.3030303030291</v>
          </cell>
          <cell r="Y308">
            <v>-779</v>
          </cell>
          <cell r="Z308">
            <v>-411.83636363636361</v>
          </cell>
          <cell r="AA308">
            <v>0</v>
          </cell>
          <cell r="AB308">
            <v>-9</v>
          </cell>
          <cell r="AC308">
            <v>1632.1818181818189</v>
          </cell>
          <cell r="AD308">
            <v>-234</v>
          </cell>
          <cell r="AE308">
            <v>-160.69515151515154</v>
          </cell>
          <cell r="AF308">
            <v>1603.272727272727</v>
          </cell>
          <cell r="AG308">
            <v>973.93939393939377</v>
          </cell>
          <cell r="AH308">
            <v>629.33333333333326</v>
          </cell>
          <cell r="AI308">
            <v>-618</v>
          </cell>
          <cell r="AK308">
            <v>57767.975757575761</v>
          </cell>
        </row>
        <row r="309">
          <cell r="S309">
            <v>0</v>
          </cell>
          <cell r="AK309">
            <v>0</v>
          </cell>
        </row>
        <row r="310">
          <cell r="F310">
            <v>0</v>
          </cell>
          <cell r="P310">
            <v>0</v>
          </cell>
          <cell r="AK310">
            <v>0</v>
          </cell>
        </row>
        <row r="311">
          <cell r="S311">
            <v>0</v>
          </cell>
          <cell r="AK311">
            <v>0</v>
          </cell>
        </row>
        <row r="312">
          <cell r="F312">
            <v>3500</v>
          </cell>
          <cell r="AK312">
            <v>3500</v>
          </cell>
        </row>
        <row r="313">
          <cell r="S313">
            <v>0</v>
          </cell>
          <cell r="AK313">
            <v>0</v>
          </cell>
        </row>
        <row r="314">
          <cell r="F314">
            <v>0</v>
          </cell>
          <cell r="S314">
            <v>0</v>
          </cell>
          <cell r="AK314">
            <v>0</v>
          </cell>
        </row>
        <row r="315">
          <cell r="F315">
            <v>42988.917619047621</v>
          </cell>
          <cell r="P315">
            <v>806.34999999999968</v>
          </cell>
          <cell r="Q315">
            <v>0</v>
          </cell>
          <cell r="R315">
            <v>0</v>
          </cell>
          <cell r="S315">
            <v>2965.7386363636351</v>
          </cell>
          <cell r="T315">
            <v>-670.49373030303025</v>
          </cell>
          <cell r="U315">
            <v>-683.33020909090919</v>
          </cell>
          <cell r="V315">
            <v>0</v>
          </cell>
          <cell r="W315">
            <v>0</v>
          </cell>
          <cell r="X315">
            <v>1745.707575757576</v>
          </cell>
          <cell r="Y315">
            <v>-494</v>
          </cell>
          <cell r="Z315">
            <v>-194.2409090909091</v>
          </cell>
          <cell r="AA315">
            <v>0</v>
          </cell>
          <cell r="AB315">
            <v>0</v>
          </cell>
          <cell r="AC315">
            <v>1403.1818181818192</v>
          </cell>
          <cell r="AD315">
            <v>-293</v>
          </cell>
          <cell r="AE315">
            <v>-120.37515151515153</v>
          </cell>
          <cell r="AF315">
            <v>1092.2333333333327</v>
          </cell>
          <cell r="AG315">
            <v>694.5399999999994</v>
          </cell>
          <cell r="AH315">
            <v>397.69333333333327</v>
          </cell>
          <cell r="AK315">
            <v>0</v>
          </cell>
        </row>
        <row r="317">
          <cell r="AK317">
            <v>0</v>
          </cell>
        </row>
        <row r="318">
          <cell r="S318">
            <v>0</v>
          </cell>
        </row>
        <row r="319">
          <cell r="F319">
            <v>47206.733333333337</v>
          </cell>
          <cell r="P319">
            <v>856.33333333333303</v>
          </cell>
          <cell r="Q319">
            <v>0</v>
          </cell>
          <cell r="R319">
            <v>0</v>
          </cell>
          <cell r="S319">
            <v>3315.151515151515</v>
          </cell>
          <cell r="T319">
            <v>-636.47477575757569</v>
          </cell>
          <cell r="U319">
            <v>-648.29007272727267</v>
          </cell>
          <cell r="V319">
            <v>0</v>
          </cell>
          <cell r="W319">
            <v>0</v>
          </cell>
          <cell r="X319">
            <v>2879.3030303030291</v>
          </cell>
          <cell r="Y319">
            <v>-779</v>
          </cell>
          <cell r="Z319">
            <v>-411.83636363636361</v>
          </cell>
          <cell r="AA319">
            <v>0</v>
          </cell>
          <cell r="AB319">
            <v>-9</v>
          </cell>
          <cell r="AC319">
            <v>1632.1818181818189</v>
          </cell>
          <cell r="AD319">
            <v>-234</v>
          </cell>
          <cell r="AE319">
            <v>-160.69515151515154</v>
          </cell>
          <cell r="AF319">
            <v>1603.272727272727</v>
          </cell>
          <cell r="AG319">
            <v>973.93939393939377</v>
          </cell>
          <cell r="AH319">
            <v>629.33333333333326</v>
          </cell>
          <cell r="AI319">
            <v>-618</v>
          </cell>
          <cell r="AK319">
            <v>57767.975757575761</v>
          </cell>
        </row>
        <row r="324">
          <cell r="AK324">
            <v>6814.3936363636367</v>
          </cell>
          <cell r="AM324">
            <v>5102.323636363637</v>
          </cell>
        </row>
        <row r="325">
          <cell r="F325">
            <v>151</v>
          </cell>
          <cell r="P325">
            <v>238</v>
          </cell>
          <cell r="S325">
            <v>523</v>
          </cell>
          <cell r="X325">
            <v>203</v>
          </cell>
          <cell r="AC325">
            <v>166</v>
          </cell>
          <cell r="AF325">
            <v>467</v>
          </cell>
          <cell r="AG325">
            <v>426</v>
          </cell>
          <cell r="AH325">
            <v>41</v>
          </cell>
          <cell r="AK325">
            <v>1859</v>
          </cell>
          <cell r="AM325">
            <v>1392</v>
          </cell>
        </row>
        <row r="326">
          <cell r="AK326">
            <v>6438.9176190476192</v>
          </cell>
          <cell r="AM326">
            <v>6438.9176190476192</v>
          </cell>
        </row>
        <row r="327">
          <cell r="AK327">
            <v>290.33333333333331</v>
          </cell>
          <cell r="AM327">
            <v>290.33333333333331</v>
          </cell>
        </row>
        <row r="328">
          <cell r="AJ328">
            <v>2455</v>
          </cell>
          <cell r="AK328">
            <v>6554</v>
          </cell>
          <cell r="AM328">
            <v>5304.38</v>
          </cell>
        </row>
        <row r="329">
          <cell r="F329">
            <v>137</v>
          </cell>
          <cell r="P329">
            <v>237</v>
          </cell>
          <cell r="S329">
            <v>515</v>
          </cell>
          <cell r="X329">
            <v>201</v>
          </cell>
          <cell r="AC329">
            <v>161</v>
          </cell>
          <cell r="AF329">
            <v>444</v>
          </cell>
          <cell r="AG329">
            <v>400</v>
          </cell>
          <cell r="AH329">
            <v>44</v>
          </cell>
          <cell r="AI329">
            <v>103</v>
          </cell>
          <cell r="AK329">
            <v>1788</v>
          </cell>
          <cell r="AM329">
            <v>1447</v>
          </cell>
        </row>
        <row r="330">
          <cell r="AJ330">
            <v>36</v>
          </cell>
          <cell r="AK330">
            <v>7257.7333333333336</v>
          </cell>
          <cell r="AM330">
            <v>7257.7333333333336</v>
          </cell>
        </row>
        <row r="331">
          <cell r="AK331">
            <v>770.33333333333337</v>
          </cell>
          <cell r="AM331">
            <v>770.33333333333337</v>
          </cell>
        </row>
        <row r="332">
          <cell r="AJ332">
            <v>36</v>
          </cell>
          <cell r="AK332">
            <v>153.33333333333331</v>
          </cell>
          <cell r="AM332">
            <v>140.66666666666666</v>
          </cell>
        </row>
        <row r="333">
          <cell r="AK333">
            <v>2381.4</v>
          </cell>
          <cell r="AM333">
            <v>2381.4</v>
          </cell>
        </row>
        <row r="334">
          <cell r="AK334">
            <v>3500</v>
          </cell>
          <cell r="AM334">
            <v>3500</v>
          </cell>
        </row>
        <row r="335">
          <cell r="AK335">
            <v>0</v>
          </cell>
          <cell r="AM335">
            <v>2176.6999999999998</v>
          </cell>
        </row>
        <row r="336">
          <cell r="AK336">
            <v>606</v>
          </cell>
          <cell r="AM336">
            <v>606</v>
          </cell>
        </row>
        <row r="337">
          <cell r="AK337">
            <v>4200</v>
          </cell>
          <cell r="AM337">
            <v>0</v>
          </cell>
        </row>
        <row r="338">
          <cell r="AK338">
            <v>0</v>
          </cell>
          <cell r="AM338">
            <v>0</v>
          </cell>
        </row>
        <row r="339">
          <cell r="AK339">
            <v>3620</v>
          </cell>
          <cell r="AM339">
            <v>3338.4</v>
          </cell>
        </row>
        <row r="340">
          <cell r="AK340">
            <v>5954.9090909090901</v>
          </cell>
          <cell r="AM340">
            <v>5205.636363636364</v>
          </cell>
        </row>
        <row r="341">
          <cell r="AK341">
            <v>0</v>
          </cell>
          <cell r="AM341">
            <v>0</v>
          </cell>
        </row>
        <row r="342">
          <cell r="AK342">
            <v>0</v>
          </cell>
          <cell r="AM342">
            <v>0</v>
          </cell>
        </row>
        <row r="343">
          <cell r="AK343">
            <v>0</v>
          </cell>
          <cell r="AM343">
            <v>0</v>
          </cell>
        </row>
        <row r="344">
          <cell r="AK344">
            <v>4926</v>
          </cell>
          <cell r="AM344">
            <v>4338</v>
          </cell>
        </row>
        <row r="345">
          <cell r="AK345">
            <v>2174</v>
          </cell>
          <cell r="AM345">
            <v>1727</v>
          </cell>
        </row>
        <row r="346">
          <cell r="AK346">
            <v>930</v>
          </cell>
          <cell r="AM346">
            <v>904</v>
          </cell>
        </row>
        <row r="347">
          <cell r="AK347">
            <v>1110</v>
          </cell>
          <cell r="AM347">
            <v>89.416666666666657</v>
          </cell>
        </row>
        <row r="348">
          <cell r="P348">
            <v>225</v>
          </cell>
          <cell r="S348">
            <v>296</v>
          </cell>
          <cell r="X348">
            <v>56</v>
          </cell>
          <cell r="AC348">
            <v>561.88181818181829</v>
          </cell>
          <cell r="AF348">
            <v>470</v>
          </cell>
          <cell r="AG348">
            <v>470</v>
          </cell>
          <cell r="AH348">
            <v>0</v>
          </cell>
          <cell r="AK348">
            <v>712</v>
          </cell>
        </row>
        <row r="349">
          <cell r="AK349">
            <v>0</v>
          </cell>
          <cell r="AM349">
            <v>0</v>
          </cell>
        </row>
        <row r="350">
          <cell r="F350">
            <v>33</v>
          </cell>
          <cell r="P350">
            <v>0</v>
          </cell>
          <cell r="S350">
            <v>0</v>
          </cell>
          <cell r="X350">
            <v>0</v>
          </cell>
          <cell r="AC350">
            <v>0</v>
          </cell>
          <cell r="AF350">
            <v>0</v>
          </cell>
          <cell r="AG350">
            <v>0</v>
          </cell>
          <cell r="AH350">
            <v>0</v>
          </cell>
          <cell r="AK350">
            <v>0</v>
          </cell>
          <cell r="AM350">
            <v>0</v>
          </cell>
        </row>
        <row r="351">
          <cell r="AK351">
            <v>1434.6666666666665</v>
          </cell>
          <cell r="AM351">
            <v>1136.3333333333333</v>
          </cell>
        </row>
        <row r="352">
          <cell r="P352">
            <v>225</v>
          </cell>
          <cell r="S352">
            <v>296</v>
          </cell>
          <cell r="X352">
            <v>56</v>
          </cell>
          <cell r="AC352">
            <v>76.181818181818187</v>
          </cell>
          <cell r="AF352">
            <v>304.27272727272725</v>
          </cell>
          <cell r="AG352">
            <v>291.27272727272725</v>
          </cell>
          <cell r="AH352">
            <v>13</v>
          </cell>
          <cell r="AK352">
            <v>957.4545454545455</v>
          </cell>
          <cell r="AM352">
            <v>0</v>
          </cell>
        </row>
        <row r="353">
          <cell r="AK353">
            <v>0</v>
          </cell>
          <cell r="AM353">
            <v>0</v>
          </cell>
        </row>
        <row r="354">
          <cell r="F354">
            <v>0</v>
          </cell>
          <cell r="P354">
            <v>0</v>
          </cell>
          <cell r="S354">
            <v>0</v>
          </cell>
          <cell r="X354">
            <v>0</v>
          </cell>
          <cell r="AC354">
            <v>0</v>
          </cell>
          <cell r="AF354">
            <v>0</v>
          </cell>
          <cell r="AG354">
            <v>0</v>
          </cell>
          <cell r="AH354">
            <v>0</v>
          </cell>
          <cell r="AI354">
            <v>0</v>
          </cell>
          <cell r="AK354">
            <v>364</v>
          </cell>
          <cell r="AM354">
            <v>364</v>
          </cell>
        </row>
        <row r="355">
          <cell r="AK355">
            <v>83</v>
          </cell>
          <cell r="AM355">
            <v>83</v>
          </cell>
        </row>
        <row r="356">
          <cell r="AK356">
            <v>0</v>
          </cell>
          <cell r="AM356">
            <v>0</v>
          </cell>
        </row>
        <row r="357">
          <cell r="AK357">
            <v>0</v>
          </cell>
          <cell r="AM357">
            <v>0</v>
          </cell>
        </row>
        <row r="358">
          <cell r="F358">
            <v>0</v>
          </cell>
          <cell r="P358">
            <v>0</v>
          </cell>
          <cell r="S358">
            <v>0</v>
          </cell>
          <cell r="T358">
            <v>87.84</v>
          </cell>
          <cell r="U358">
            <v>461.15999999999997</v>
          </cell>
          <cell r="X358">
            <v>491.83333333333337</v>
          </cell>
          <cell r="Y358">
            <v>359</v>
          </cell>
          <cell r="Z358">
            <v>141.33333333333337</v>
          </cell>
          <cell r="AC358">
            <v>176.5</v>
          </cell>
          <cell r="AD358">
            <v>289</v>
          </cell>
          <cell r="AE358">
            <v>117</v>
          </cell>
          <cell r="AF358">
            <v>383</v>
          </cell>
          <cell r="AG358">
            <v>383</v>
          </cell>
          <cell r="AH358">
            <v>0</v>
          </cell>
          <cell r="AJ358">
            <v>-2491</v>
          </cell>
          <cell r="AK358">
            <v>3949.3333333333335</v>
          </cell>
          <cell r="AM358" t="e">
            <v>#REF!</v>
          </cell>
        </row>
        <row r="359">
          <cell r="AK359">
            <v>422.33333333333331</v>
          </cell>
        </row>
        <row r="360">
          <cell r="AK360">
            <v>923.66666666666663</v>
          </cell>
        </row>
        <row r="361">
          <cell r="AK361">
            <v>2603.3333333333335</v>
          </cell>
        </row>
        <row r="362">
          <cell r="F362">
            <v>79</v>
          </cell>
          <cell r="P362">
            <v>-116</v>
          </cell>
          <cell r="S362">
            <v>-1222</v>
          </cell>
          <cell r="T362">
            <v>180.16</v>
          </cell>
          <cell r="U362">
            <v>945.84</v>
          </cell>
          <cell r="X362">
            <v>345</v>
          </cell>
          <cell r="Y362">
            <v>368</v>
          </cell>
          <cell r="Z362">
            <v>195</v>
          </cell>
          <cell r="AC362">
            <v>518</v>
          </cell>
          <cell r="AD362">
            <v>423</v>
          </cell>
          <cell r="AE362">
            <v>290</v>
          </cell>
          <cell r="AF362">
            <v>126</v>
          </cell>
          <cell r="AG362">
            <v>126</v>
          </cell>
          <cell r="AH362">
            <v>0</v>
          </cell>
          <cell r="AI362">
            <v>0</v>
          </cell>
          <cell r="AK362">
            <v>-270</v>
          </cell>
          <cell r="AM362">
            <v>-396</v>
          </cell>
        </row>
        <row r="367">
          <cell r="F367">
            <v>0</v>
          </cell>
        </row>
        <row r="371">
          <cell r="F371">
            <v>0</v>
          </cell>
        </row>
        <row r="381">
          <cell r="F381" t="str">
            <v>лютий</v>
          </cell>
          <cell r="P381" t="str">
            <v>лютий</v>
          </cell>
          <cell r="X381" t="str">
            <v>лютий</v>
          </cell>
          <cell r="AC381" t="str">
            <v>лютий</v>
          </cell>
        </row>
        <row r="382">
          <cell r="F382" t="str">
            <v>АППАРАТ</v>
          </cell>
          <cell r="P382" t="str">
            <v>ККМ</v>
          </cell>
          <cell r="X382" t="str">
            <v>ТЕЦ5</v>
          </cell>
          <cell r="AC382" t="str">
            <v>ТЕЦ6</v>
          </cell>
          <cell r="AK382" t="str">
            <v>АК "КЕ"</v>
          </cell>
          <cell r="AL382" t="str">
            <v>Е/Е</v>
          </cell>
        </row>
        <row r="383">
          <cell r="F383" t="str">
            <v>лютий</v>
          </cell>
          <cell r="P383" t="str">
            <v>лютий</v>
          </cell>
          <cell r="X383" t="str">
            <v>лютий</v>
          </cell>
          <cell r="AC383" t="str">
            <v>лютий</v>
          </cell>
          <cell r="AK383" t="str">
            <v>ПЛАН</v>
          </cell>
          <cell r="AL383" t="str">
            <v>ПЛАН</v>
          </cell>
        </row>
        <row r="384">
          <cell r="F384" t="str">
            <v>АППАРАТ</v>
          </cell>
          <cell r="G384">
            <v>104</v>
          </cell>
          <cell r="H384">
            <v>102</v>
          </cell>
          <cell r="P384" t="str">
            <v>ККМ</v>
          </cell>
          <cell r="S384">
            <v>14.333333333333332</v>
          </cell>
          <cell r="X384" t="str">
            <v>ТЕЦ5</v>
          </cell>
          <cell r="Y384">
            <v>131</v>
          </cell>
          <cell r="Z384">
            <v>130</v>
          </cell>
          <cell r="AC384" t="str">
            <v>ТЕЦ6</v>
          </cell>
          <cell r="AD384">
            <v>230</v>
          </cell>
          <cell r="AE384">
            <v>231</v>
          </cell>
          <cell r="AK384" t="str">
            <v>АК "КЕ"</v>
          </cell>
          <cell r="AL384" t="str">
            <v>Е/Е</v>
          </cell>
          <cell r="AM384">
            <v>490.33333333333331</v>
          </cell>
        </row>
        <row r="385">
          <cell r="F385" t="str">
            <v>ПЛАН</v>
          </cell>
          <cell r="G385">
            <v>18</v>
          </cell>
          <cell r="P385" t="str">
            <v>ПЛАН</v>
          </cell>
          <cell r="X385" t="str">
            <v>ПЛАН</v>
          </cell>
          <cell r="Y385">
            <v>0</v>
          </cell>
          <cell r="AC385" t="str">
            <v>ПЛАН</v>
          </cell>
          <cell r="AD385">
            <v>3</v>
          </cell>
          <cell r="AK385" t="str">
            <v>ПЛАН</v>
          </cell>
          <cell r="AL385" t="str">
            <v>ПЛАН</v>
          </cell>
        </row>
        <row r="386">
          <cell r="F386">
            <v>164.3</v>
          </cell>
          <cell r="G386">
            <v>92</v>
          </cell>
          <cell r="H386">
            <v>91</v>
          </cell>
          <cell r="P386">
            <v>14.333333333333332</v>
          </cell>
          <cell r="S386">
            <v>14.333333333333332</v>
          </cell>
          <cell r="X386">
            <v>182</v>
          </cell>
          <cell r="Y386">
            <v>119</v>
          </cell>
          <cell r="Z386">
            <v>120</v>
          </cell>
          <cell r="AC386">
            <v>323.66666666666674</v>
          </cell>
          <cell r="AD386">
            <v>192</v>
          </cell>
          <cell r="AE386">
            <v>191</v>
          </cell>
          <cell r="AK386">
            <v>735.30000000000018</v>
          </cell>
          <cell r="AL386">
            <v>447.33333333333337</v>
          </cell>
          <cell r="AM386">
            <v>429.33333333333331</v>
          </cell>
        </row>
        <row r="387">
          <cell r="F387">
            <v>29</v>
          </cell>
          <cell r="G387">
            <v>16</v>
          </cell>
          <cell r="P387">
            <v>0</v>
          </cell>
          <cell r="X387">
            <v>0</v>
          </cell>
          <cell r="Y387">
            <v>0</v>
          </cell>
          <cell r="AC387">
            <v>3.6666666666666665</v>
          </cell>
          <cell r="AD387">
            <v>2</v>
          </cell>
          <cell r="AK387">
            <v>46</v>
          </cell>
          <cell r="AL387">
            <v>21</v>
          </cell>
        </row>
        <row r="388">
          <cell r="F388">
            <v>0</v>
          </cell>
          <cell r="G388">
            <v>0</v>
          </cell>
          <cell r="P388">
            <v>0.66666666666666663</v>
          </cell>
          <cell r="X388">
            <v>146.66666666666666</v>
          </cell>
          <cell r="Y388">
            <v>96</v>
          </cell>
          <cell r="AC388">
            <v>280.66666666666669</v>
          </cell>
          <cell r="AD388">
            <v>166</v>
          </cell>
          <cell r="AK388">
            <v>428</v>
          </cell>
          <cell r="AL388">
            <v>262.66666666666669</v>
          </cell>
        </row>
        <row r="389">
          <cell r="F389">
            <v>0</v>
          </cell>
          <cell r="G389">
            <v>0</v>
          </cell>
          <cell r="P389">
            <v>2</v>
          </cell>
          <cell r="X389">
            <v>0</v>
          </cell>
          <cell r="Y389">
            <v>0</v>
          </cell>
          <cell r="AC389">
            <v>25</v>
          </cell>
          <cell r="AD389">
            <v>15</v>
          </cell>
          <cell r="AK389">
            <v>33.666666666666671</v>
          </cell>
          <cell r="AL389">
            <v>20</v>
          </cell>
        </row>
        <row r="390">
          <cell r="F390">
            <v>0</v>
          </cell>
          <cell r="G390">
            <v>0</v>
          </cell>
          <cell r="P390">
            <v>0</v>
          </cell>
          <cell r="X390">
            <v>25.333333333333332</v>
          </cell>
          <cell r="Y390">
            <v>17</v>
          </cell>
          <cell r="AC390">
            <v>0.66666666666666663</v>
          </cell>
          <cell r="AD390">
            <v>0</v>
          </cell>
          <cell r="AK390">
            <v>26</v>
          </cell>
          <cell r="AL390">
            <v>17</v>
          </cell>
        </row>
        <row r="391">
          <cell r="F391">
            <v>120.63333333333333</v>
          </cell>
          <cell r="G391">
            <v>67</v>
          </cell>
          <cell r="P391">
            <v>0</v>
          </cell>
          <cell r="X391">
            <v>0</v>
          </cell>
          <cell r="Y391">
            <v>0</v>
          </cell>
          <cell r="AC391">
            <v>0</v>
          </cell>
          <cell r="AD391">
            <v>0</v>
          </cell>
          <cell r="AK391">
            <v>120.63333333333333</v>
          </cell>
          <cell r="AL391">
            <v>69</v>
          </cell>
        </row>
        <row r="392">
          <cell r="F392">
            <v>8.6666666666666661</v>
          </cell>
          <cell r="G392">
            <v>5</v>
          </cell>
          <cell r="P392">
            <v>0</v>
          </cell>
          <cell r="X392">
            <v>0</v>
          </cell>
          <cell r="Y392">
            <v>0</v>
          </cell>
          <cell r="AC392">
            <v>0</v>
          </cell>
          <cell r="AD392">
            <v>0</v>
          </cell>
          <cell r="AK392">
            <v>8.6666666666666661</v>
          </cell>
          <cell r="AL392">
            <v>0</v>
          </cell>
        </row>
        <row r="393">
          <cell r="F393">
            <v>0</v>
          </cell>
          <cell r="G393">
            <v>0</v>
          </cell>
          <cell r="P393">
            <v>5.333333333333333</v>
          </cell>
          <cell r="X393">
            <v>0</v>
          </cell>
          <cell r="Y393">
            <v>0</v>
          </cell>
          <cell r="AC393">
            <v>0</v>
          </cell>
          <cell r="AD393">
            <v>0</v>
          </cell>
          <cell r="AK393">
            <v>22</v>
          </cell>
          <cell r="AL393">
            <v>15.333333333333332</v>
          </cell>
        </row>
        <row r="394">
          <cell r="F394">
            <v>5.333333333333333</v>
          </cell>
          <cell r="G394">
            <v>3</v>
          </cell>
          <cell r="P394">
            <v>0</v>
          </cell>
          <cell r="X394">
            <v>0</v>
          </cell>
          <cell r="Y394">
            <v>0</v>
          </cell>
          <cell r="AC394">
            <v>0</v>
          </cell>
          <cell r="AD394">
            <v>0</v>
          </cell>
          <cell r="AK394">
            <v>5.333333333333333</v>
          </cell>
          <cell r="AL394">
            <v>3</v>
          </cell>
        </row>
        <row r="395">
          <cell r="F395">
            <v>0.33333333333333331</v>
          </cell>
          <cell r="G395">
            <v>0</v>
          </cell>
          <cell r="P395">
            <v>4.333333333333333</v>
          </cell>
          <cell r="X395">
            <v>0</v>
          </cell>
          <cell r="Y395">
            <v>0</v>
          </cell>
          <cell r="AC395">
            <v>0</v>
          </cell>
          <cell r="AD395">
            <v>0</v>
          </cell>
          <cell r="AK395">
            <v>4.6666666666666661</v>
          </cell>
          <cell r="AL395">
            <v>4.333333333333333</v>
          </cell>
        </row>
        <row r="396">
          <cell r="F396">
            <v>0.33333333333333331</v>
          </cell>
          <cell r="G396">
            <v>0</v>
          </cell>
          <cell r="P396">
            <v>2</v>
          </cell>
          <cell r="X396">
            <v>10</v>
          </cell>
          <cell r="Y396">
            <v>7</v>
          </cell>
          <cell r="AC396">
            <v>13.666666666666666</v>
          </cell>
          <cell r="AD396">
            <v>8</v>
          </cell>
          <cell r="AK396">
            <v>26</v>
          </cell>
          <cell r="AL396">
            <v>17</v>
          </cell>
          <cell r="AM396">
            <v>427.83333333333337</v>
          </cell>
        </row>
        <row r="397">
          <cell r="F397">
            <v>0</v>
          </cell>
          <cell r="G397">
            <v>0</v>
          </cell>
          <cell r="P397">
            <v>0</v>
          </cell>
          <cell r="X397">
            <v>0</v>
          </cell>
          <cell r="Y397">
            <v>0</v>
          </cell>
          <cell r="AC397">
            <v>0</v>
          </cell>
          <cell r="AD397">
            <v>0</v>
          </cell>
          <cell r="AK397">
            <v>0</v>
          </cell>
          <cell r="AL397">
            <v>0</v>
          </cell>
        </row>
        <row r="398">
          <cell r="F398">
            <v>1.1666666666666667</v>
          </cell>
          <cell r="G398">
            <v>1</v>
          </cell>
          <cell r="P398">
            <v>20.5</v>
          </cell>
          <cell r="X398">
            <v>522.33333333333337</v>
          </cell>
          <cell r="Y398">
            <v>342</v>
          </cell>
          <cell r="AC398">
            <v>43</v>
          </cell>
          <cell r="AD398">
            <v>25</v>
          </cell>
          <cell r="AK398">
            <v>587.33333333333337</v>
          </cell>
          <cell r="AL398">
            <v>388.5</v>
          </cell>
          <cell r="AM398">
            <v>388.83333333333337</v>
          </cell>
        </row>
        <row r="399">
          <cell r="F399">
            <v>0</v>
          </cell>
          <cell r="G399">
            <v>0</v>
          </cell>
          <cell r="P399">
            <v>0</v>
          </cell>
          <cell r="X399">
            <v>0</v>
          </cell>
          <cell r="Y399">
            <v>0</v>
          </cell>
          <cell r="AC399">
            <v>0</v>
          </cell>
          <cell r="AD399">
            <v>0</v>
          </cell>
          <cell r="AK399">
            <v>0</v>
          </cell>
          <cell r="AL399">
            <v>0</v>
          </cell>
        </row>
        <row r="400">
          <cell r="F400">
            <v>0</v>
          </cell>
          <cell r="G400">
            <v>0</v>
          </cell>
          <cell r="P400">
            <v>0</v>
          </cell>
          <cell r="X400">
            <v>480.66666666666669</v>
          </cell>
          <cell r="Y400">
            <v>314</v>
          </cell>
          <cell r="AC400">
            <v>11</v>
          </cell>
          <cell r="AD400">
            <v>7</v>
          </cell>
          <cell r="AK400">
            <v>491.66666666666669</v>
          </cell>
          <cell r="AL400">
            <v>321</v>
          </cell>
        </row>
        <row r="401">
          <cell r="F401">
            <v>0</v>
          </cell>
          <cell r="G401">
            <v>0</v>
          </cell>
          <cell r="P401">
            <v>0</v>
          </cell>
          <cell r="X401">
            <v>0</v>
          </cell>
          <cell r="Y401">
            <v>0</v>
          </cell>
          <cell r="AC401">
            <v>0</v>
          </cell>
          <cell r="AD401">
            <v>0</v>
          </cell>
          <cell r="AK401">
            <v>0</v>
          </cell>
          <cell r="AL401">
            <v>0</v>
          </cell>
        </row>
        <row r="402">
          <cell r="F402">
            <v>1.1666666666666667</v>
          </cell>
          <cell r="G402">
            <v>1</v>
          </cell>
          <cell r="P402">
            <v>15.833333333333334</v>
          </cell>
          <cell r="X402">
            <v>41.666666666666664</v>
          </cell>
          <cell r="Y402">
            <v>27</v>
          </cell>
          <cell r="AC402">
            <v>32</v>
          </cell>
          <cell r="AD402">
            <v>19</v>
          </cell>
          <cell r="AK402">
            <v>91</v>
          </cell>
          <cell r="AL402">
            <v>67.833333333333343</v>
          </cell>
        </row>
        <row r="403">
          <cell r="F403">
            <v>0</v>
          </cell>
          <cell r="G403">
            <v>0</v>
          </cell>
          <cell r="P403">
            <v>4.666666666666667</v>
          </cell>
          <cell r="X403">
            <v>0</v>
          </cell>
          <cell r="Y403">
            <v>0</v>
          </cell>
          <cell r="AC403">
            <v>0</v>
          </cell>
          <cell r="AD403">
            <v>0</v>
          </cell>
          <cell r="AK403">
            <v>4.666666666666667</v>
          </cell>
          <cell r="AL403">
            <v>0</v>
          </cell>
          <cell r="AM403">
            <v>46</v>
          </cell>
        </row>
        <row r="404">
          <cell r="F404">
            <v>0</v>
          </cell>
          <cell r="G404">
            <v>0</v>
          </cell>
          <cell r="P404">
            <v>0</v>
          </cell>
          <cell r="X404">
            <v>0</v>
          </cell>
          <cell r="Y404">
            <v>0</v>
          </cell>
          <cell r="AC404">
            <v>0</v>
          </cell>
          <cell r="AD404">
            <v>0</v>
          </cell>
          <cell r="AK404">
            <v>0</v>
          </cell>
          <cell r="AL404">
            <v>5.3333333333333339</v>
          </cell>
        </row>
        <row r="405">
          <cell r="F405">
            <v>10</v>
          </cell>
          <cell r="G405">
            <v>6</v>
          </cell>
          <cell r="P405">
            <v>39</v>
          </cell>
          <cell r="X405">
            <v>0</v>
          </cell>
          <cell r="Y405">
            <v>0</v>
          </cell>
          <cell r="AC405">
            <v>0</v>
          </cell>
          <cell r="AD405">
            <v>0</v>
          </cell>
          <cell r="AK405">
            <v>49</v>
          </cell>
          <cell r="AL405">
            <v>45</v>
          </cell>
          <cell r="AM405">
            <v>44</v>
          </cell>
        </row>
        <row r="406">
          <cell r="F406">
            <v>2.6666666666666665</v>
          </cell>
          <cell r="G406">
            <v>1</v>
          </cell>
          <cell r="P406">
            <v>3.3333333333333335</v>
          </cell>
          <cell r="X406">
            <v>0</v>
          </cell>
          <cell r="Y406">
            <v>0</v>
          </cell>
          <cell r="AC406">
            <v>0</v>
          </cell>
          <cell r="AD406">
            <v>0</v>
          </cell>
          <cell r="AK406">
            <v>6</v>
          </cell>
          <cell r="AL406">
            <v>4.3333333333333339</v>
          </cell>
        </row>
        <row r="407">
          <cell r="F407">
            <v>7.333333333333333</v>
          </cell>
          <cell r="G407">
            <v>4</v>
          </cell>
          <cell r="H407">
            <v>130</v>
          </cell>
          <cell r="P407">
            <v>35.666666666666664</v>
          </cell>
          <cell r="S407">
            <v>50.166666666666671</v>
          </cell>
          <cell r="X407">
            <v>0</v>
          </cell>
          <cell r="Y407">
            <v>0</v>
          </cell>
          <cell r="AC407">
            <v>0</v>
          </cell>
          <cell r="AD407">
            <v>0</v>
          </cell>
          <cell r="AK407">
            <v>43</v>
          </cell>
          <cell r="AL407">
            <v>39.666666666666664</v>
          </cell>
          <cell r="AM407">
            <v>481.16666666666663</v>
          </cell>
        </row>
        <row r="408">
          <cell r="F408">
            <v>0</v>
          </cell>
          <cell r="G408">
            <v>0</v>
          </cell>
          <cell r="P408">
            <v>0</v>
          </cell>
          <cell r="X408">
            <v>0</v>
          </cell>
          <cell r="Y408">
            <v>0</v>
          </cell>
          <cell r="AC408">
            <v>0</v>
          </cell>
          <cell r="AD408">
            <v>0</v>
          </cell>
          <cell r="AK408">
            <v>0</v>
          </cell>
          <cell r="AL408">
            <v>0</v>
          </cell>
        </row>
        <row r="409">
          <cell r="F409">
            <v>206.33333333333329</v>
          </cell>
          <cell r="G409">
            <v>115</v>
          </cell>
          <cell r="H409">
            <v>114</v>
          </cell>
          <cell r="P409">
            <v>50.166666666666671</v>
          </cell>
          <cell r="S409">
            <v>50.166666666666671</v>
          </cell>
          <cell r="X409">
            <v>37.833333333333343</v>
          </cell>
          <cell r="Y409">
            <v>25</v>
          </cell>
          <cell r="AC409">
            <v>26.000000000000004</v>
          </cell>
          <cell r="AD409">
            <v>15</v>
          </cell>
          <cell r="AK409">
            <v>1965.0000000000002</v>
          </cell>
          <cell r="AL409">
            <v>464.16666666666663</v>
          </cell>
          <cell r="AM409">
            <v>464.16666666666663</v>
          </cell>
        </row>
        <row r="410">
          <cell r="F410">
            <v>0</v>
          </cell>
          <cell r="G410">
            <v>0</v>
          </cell>
          <cell r="P410">
            <v>0</v>
          </cell>
          <cell r="X410">
            <v>0</v>
          </cell>
          <cell r="Y410">
            <v>0</v>
          </cell>
          <cell r="AC410">
            <v>0</v>
          </cell>
          <cell r="AD410">
            <v>0</v>
          </cell>
          <cell r="AK410">
            <v>1350</v>
          </cell>
          <cell r="AL410">
            <v>0</v>
          </cell>
        </row>
        <row r="411">
          <cell r="F411">
            <v>0</v>
          </cell>
          <cell r="G411">
            <v>0</v>
          </cell>
          <cell r="P411">
            <v>0</v>
          </cell>
          <cell r="X411">
            <v>0</v>
          </cell>
          <cell r="Y411">
            <v>0</v>
          </cell>
          <cell r="AC411">
            <v>0</v>
          </cell>
          <cell r="AD411">
            <v>0</v>
          </cell>
          <cell r="AK411">
            <v>95</v>
          </cell>
          <cell r="AL411">
            <v>95</v>
          </cell>
        </row>
        <row r="412">
          <cell r="F412">
            <v>0</v>
          </cell>
          <cell r="G412">
            <v>0</v>
          </cell>
          <cell r="P412">
            <v>0</v>
          </cell>
          <cell r="X412">
            <v>0</v>
          </cell>
          <cell r="Y412">
            <v>0</v>
          </cell>
          <cell r="AC412">
            <v>0</v>
          </cell>
          <cell r="AD412">
            <v>0</v>
          </cell>
          <cell r="AK412">
            <v>0</v>
          </cell>
          <cell r="AL412">
            <v>0</v>
          </cell>
        </row>
        <row r="413">
          <cell r="F413">
            <v>0</v>
          </cell>
          <cell r="G413">
            <v>0</v>
          </cell>
          <cell r="P413">
            <v>12.333333333333334</v>
          </cell>
          <cell r="X413">
            <v>0</v>
          </cell>
          <cell r="Y413">
            <v>0</v>
          </cell>
          <cell r="AC413">
            <v>0</v>
          </cell>
          <cell r="AD413">
            <v>0</v>
          </cell>
          <cell r="AK413">
            <v>12.333333333333334</v>
          </cell>
          <cell r="AL413">
            <v>12.333333333333334</v>
          </cell>
        </row>
        <row r="414">
          <cell r="F414">
            <v>0</v>
          </cell>
          <cell r="G414">
            <v>0</v>
          </cell>
          <cell r="P414">
            <v>0</v>
          </cell>
          <cell r="X414">
            <v>0</v>
          </cell>
          <cell r="Y414">
            <v>0</v>
          </cell>
          <cell r="AC414">
            <v>0</v>
          </cell>
          <cell r="AD414">
            <v>0</v>
          </cell>
          <cell r="AK414">
            <v>0</v>
          </cell>
          <cell r="AL414">
            <v>0</v>
          </cell>
        </row>
        <row r="415">
          <cell r="F415">
            <v>1.6666666666666667</v>
          </cell>
          <cell r="G415">
            <v>1</v>
          </cell>
          <cell r="P415">
            <v>5</v>
          </cell>
          <cell r="X415">
            <v>3</v>
          </cell>
          <cell r="Y415">
            <v>2</v>
          </cell>
          <cell r="AC415">
            <v>3</v>
          </cell>
          <cell r="AD415">
            <v>2</v>
          </cell>
          <cell r="AK415">
            <v>57.666666666666664</v>
          </cell>
          <cell r="AL415">
            <v>50</v>
          </cell>
        </row>
        <row r="416">
          <cell r="F416">
            <v>0</v>
          </cell>
          <cell r="G416">
            <v>0</v>
          </cell>
          <cell r="P416">
            <v>0</v>
          </cell>
          <cell r="X416">
            <v>0</v>
          </cell>
          <cell r="Y416">
            <v>0</v>
          </cell>
          <cell r="AC416">
            <v>0</v>
          </cell>
          <cell r="AD416">
            <v>0</v>
          </cell>
          <cell r="AK416">
            <v>4</v>
          </cell>
          <cell r="AL416">
            <v>0</v>
          </cell>
        </row>
        <row r="417">
          <cell r="F417">
            <v>0</v>
          </cell>
          <cell r="G417">
            <v>0</v>
          </cell>
          <cell r="P417">
            <v>0</v>
          </cell>
          <cell r="X417">
            <v>0</v>
          </cell>
          <cell r="Y417">
            <v>0</v>
          </cell>
          <cell r="AC417">
            <v>0</v>
          </cell>
          <cell r="AD417">
            <v>0</v>
          </cell>
          <cell r="AK417">
            <v>0</v>
          </cell>
          <cell r="AL417">
            <v>0</v>
          </cell>
        </row>
        <row r="418">
          <cell r="F418">
            <v>0</v>
          </cell>
          <cell r="G418">
            <v>0</v>
          </cell>
          <cell r="P418">
            <v>18.5</v>
          </cell>
          <cell r="X418">
            <v>4.5</v>
          </cell>
          <cell r="Y418">
            <v>3</v>
          </cell>
          <cell r="AC418">
            <v>1.3333333333333333</v>
          </cell>
          <cell r="AD418">
            <v>1</v>
          </cell>
          <cell r="AK418">
            <v>28.5</v>
          </cell>
          <cell r="AL418">
            <v>26.5</v>
          </cell>
        </row>
        <row r="419">
          <cell r="F419">
            <v>0</v>
          </cell>
          <cell r="G419">
            <v>0</v>
          </cell>
          <cell r="P419">
            <v>1.3333333333333333</v>
          </cell>
          <cell r="X419">
            <v>0</v>
          </cell>
          <cell r="Y419">
            <v>0</v>
          </cell>
          <cell r="AC419">
            <v>1.6666666666666667</v>
          </cell>
          <cell r="AD419">
            <v>1</v>
          </cell>
          <cell r="AK419">
            <v>69</v>
          </cell>
          <cell r="AL419">
            <v>52.333333333333336</v>
          </cell>
        </row>
        <row r="420">
          <cell r="F420">
            <v>177</v>
          </cell>
          <cell r="G420">
            <v>99</v>
          </cell>
          <cell r="P420">
            <v>0</v>
          </cell>
          <cell r="X420">
            <v>0</v>
          </cell>
          <cell r="Y420">
            <v>0</v>
          </cell>
          <cell r="AC420">
            <v>0</v>
          </cell>
          <cell r="AD420">
            <v>0</v>
          </cell>
          <cell r="AK420">
            <v>177</v>
          </cell>
          <cell r="AL420">
            <v>99</v>
          </cell>
        </row>
        <row r="421">
          <cell r="F421">
            <v>0</v>
          </cell>
          <cell r="G421">
            <v>0</v>
          </cell>
          <cell r="P421">
            <v>0</v>
          </cell>
          <cell r="X421">
            <v>10</v>
          </cell>
          <cell r="Y421">
            <v>7</v>
          </cell>
          <cell r="AC421">
            <v>7.666666666666667</v>
          </cell>
          <cell r="AD421">
            <v>5</v>
          </cell>
          <cell r="AK421">
            <v>17.666666666666668</v>
          </cell>
          <cell r="AL421">
            <v>12</v>
          </cell>
        </row>
        <row r="422">
          <cell r="F422">
            <v>0.66666666666666663</v>
          </cell>
          <cell r="G422">
            <v>0</v>
          </cell>
          <cell r="P422">
            <v>2</v>
          </cell>
          <cell r="X422">
            <v>1.3333333333333333</v>
          </cell>
          <cell r="Y422">
            <v>1</v>
          </cell>
          <cell r="AC422">
            <v>1</v>
          </cell>
          <cell r="AD422">
            <v>1</v>
          </cell>
          <cell r="AK422">
            <v>6</v>
          </cell>
          <cell r="AL422">
            <v>4</v>
          </cell>
        </row>
        <row r="423">
          <cell r="F423">
            <v>2.6666666666666665</v>
          </cell>
          <cell r="G423">
            <v>1</v>
          </cell>
          <cell r="P423">
            <v>0.33333333333333331</v>
          </cell>
          <cell r="X423">
            <v>1</v>
          </cell>
          <cell r="Y423">
            <v>1</v>
          </cell>
          <cell r="AC423">
            <v>0.66666666666666663</v>
          </cell>
          <cell r="AD423">
            <v>0</v>
          </cell>
          <cell r="AK423">
            <v>9.3333333333333339</v>
          </cell>
          <cell r="AL423">
            <v>4.3333333333333339</v>
          </cell>
        </row>
        <row r="424">
          <cell r="F424">
            <v>0</v>
          </cell>
          <cell r="G424">
            <v>0</v>
          </cell>
          <cell r="P424">
            <v>2.3333333333333335</v>
          </cell>
          <cell r="X424">
            <v>6</v>
          </cell>
          <cell r="Y424">
            <v>4</v>
          </cell>
          <cell r="AC424">
            <v>5</v>
          </cell>
          <cell r="AD424">
            <v>3</v>
          </cell>
          <cell r="AK424">
            <v>13.333333333333334</v>
          </cell>
          <cell r="AL424">
            <v>9.3333333333333339</v>
          </cell>
        </row>
        <row r="425">
          <cell r="F425">
            <v>0</v>
          </cell>
          <cell r="G425">
            <v>0</v>
          </cell>
          <cell r="P425">
            <v>0</v>
          </cell>
          <cell r="X425">
            <v>0</v>
          </cell>
          <cell r="Y425">
            <v>0</v>
          </cell>
          <cell r="AC425">
            <v>0</v>
          </cell>
          <cell r="AD425">
            <v>0</v>
          </cell>
          <cell r="AK425">
            <v>0</v>
          </cell>
          <cell r="AL425">
            <v>0</v>
          </cell>
        </row>
        <row r="426">
          <cell r="F426">
            <v>0</v>
          </cell>
          <cell r="G426">
            <v>0</v>
          </cell>
          <cell r="P426">
            <v>0</v>
          </cell>
          <cell r="X426">
            <v>0</v>
          </cell>
          <cell r="Y426">
            <v>0</v>
          </cell>
          <cell r="AC426">
            <v>0</v>
          </cell>
          <cell r="AD426">
            <v>0</v>
          </cell>
          <cell r="AK426">
            <v>0</v>
          </cell>
          <cell r="AL426">
            <v>0</v>
          </cell>
        </row>
        <row r="427">
          <cell r="F427">
            <v>9.6666666666666661</v>
          </cell>
          <cell r="G427">
            <v>5</v>
          </cell>
          <cell r="P427">
            <v>1</v>
          </cell>
          <cell r="X427">
            <v>0</v>
          </cell>
          <cell r="Y427">
            <v>0</v>
          </cell>
          <cell r="AC427">
            <v>0</v>
          </cell>
          <cell r="AD427">
            <v>0</v>
          </cell>
          <cell r="AK427">
            <v>12</v>
          </cell>
          <cell r="AL427">
            <v>7</v>
          </cell>
        </row>
        <row r="428">
          <cell r="F428">
            <v>0</v>
          </cell>
          <cell r="G428">
            <v>0</v>
          </cell>
          <cell r="P428">
            <v>0</v>
          </cell>
          <cell r="X428">
            <v>0</v>
          </cell>
          <cell r="Y428">
            <v>0</v>
          </cell>
          <cell r="AC428">
            <v>0</v>
          </cell>
          <cell r="AD428">
            <v>0</v>
          </cell>
          <cell r="AK428">
            <v>0</v>
          </cell>
          <cell r="AL428">
            <v>0</v>
          </cell>
        </row>
        <row r="429">
          <cell r="F429">
            <v>2.3333333333333335</v>
          </cell>
          <cell r="G429">
            <v>1</v>
          </cell>
          <cell r="P429">
            <v>0.66666666666666663</v>
          </cell>
          <cell r="X429">
            <v>0.66666666666666663</v>
          </cell>
          <cell r="Y429">
            <v>0</v>
          </cell>
          <cell r="AC429">
            <v>0.66666666666666663</v>
          </cell>
          <cell r="AD429">
            <v>0</v>
          </cell>
          <cell r="AK429">
            <v>4.333333333333333</v>
          </cell>
          <cell r="AL429">
            <v>1.6666666666666665</v>
          </cell>
        </row>
        <row r="430">
          <cell r="F430">
            <v>1.6666666666666667</v>
          </cell>
          <cell r="G430">
            <v>1</v>
          </cell>
          <cell r="P430">
            <v>0.66666666666666663</v>
          </cell>
          <cell r="X430">
            <v>0.66666666666666663</v>
          </cell>
          <cell r="Y430">
            <v>0</v>
          </cell>
          <cell r="AC430">
            <v>0.66666666666666663</v>
          </cell>
          <cell r="AD430">
            <v>0</v>
          </cell>
          <cell r="AK430">
            <v>3.6666666666666665</v>
          </cell>
          <cell r="AL430">
            <v>1.6666666666666665</v>
          </cell>
        </row>
        <row r="431">
          <cell r="F431">
            <v>6.666666666666667</v>
          </cell>
          <cell r="G431">
            <v>4</v>
          </cell>
          <cell r="P431">
            <v>4.666666666666667</v>
          </cell>
          <cell r="X431">
            <v>3</v>
          </cell>
          <cell r="Y431">
            <v>2</v>
          </cell>
          <cell r="AC431">
            <v>2</v>
          </cell>
          <cell r="AD431">
            <v>1</v>
          </cell>
          <cell r="AK431">
            <v>33</v>
          </cell>
          <cell r="AL431">
            <v>21.666666666666668</v>
          </cell>
        </row>
        <row r="432">
          <cell r="F432">
            <v>0</v>
          </cell>
          <cell r="G432">
            <v>0</v>
          </cell>
          <cell r="P432">
            <v>0</v>
          </cell>
          <cell r="X432">
            <v>0</v>
          </cell>
          <cell r="Y432">
            <v>0</v>
          </cell>
          <cell r="AC432">
            <v>0</v>
          </cell>
          <cell r="AD432">
            <v>0</v>
          </cell>
          <cell r="AK432">
            <v>0</v>
          </cell>
          <cell r="AL432">
            <v>0</v>
          </cell>
        </row>
        <row r="433">
          <cell r="F433">
            <v>0</v>
          </cell>
          <cell r="G433">
            <v>0</v>
          </cell>
          <cell r="P433">
            <v>0</v>
          </cell>
          <cell r="X433">
            <v>0</v>
          </cell>
          <cell r="Y433">
            <v>0</v>
          </cell>
          <cell r="AC433">
            <v>0</v>
          </cell>
          <cell r="AD433">
            <v>0</v>
          </cell>
          <cell r="AK433">
            <v>0</v>
          </cell>
          <cell r="AL433">
            <v>53</v>
          </cell>
        </row>
        <row r="434">
          <cell r="F434">
            <v>1</v>
          </cell>
          <cell r="G434">
            <v>1</v>
          </cell>
          <cell r="P434">
            <v>0</v>
          </cell>
          <cell r="X434">
            <v>0</v>
          </cell>
          <cell r="Y434">
            <v>0</v>
          </cell>
          <cell r="AC434">
            <v>0</v>
          </cell>
          <cell r="AD434">
            <v>0</v>
          </cell>
          <cell r="AK434">
            <v>1</v>
          </cell>
          <cell r="AL434">
            <v>1</v>
          </cell>
        </row>
        <row r="435">
          <cell r="F435">
            <v>0</v>
          </cell>
          <cell r="G435">
            <v>0</v>
          </cell>
          <cell r="P435">
            <v>0</v>
          </cell>
          <cell r="X435">
            <v>0</v>
          </cell>
          <cell r="Y435">
            <v>0</v>
          </cell>
          <cell r="AC435">
            <v>0</v>
          </cell>
          <cell r="AD435">
            <v>0</v>
          </cell>
          <cell r="AK435">
            <v>0</v>
          </cell>
          <cell r="AL435">
            <v>0</v>
          </cell>
        </row>
        <row r="436">
          <cell r="F436">
            <v>0</v>
          </cell>
          <cell r="G436">
            <v>0</v>
          </cell>
          <cell r="P436">
            <v>0</v>
          </cell>
          <cell r="X436">
            <v>0</v>
          </cell>
          <cell r="Y436">
            <v>0</v>
          </cell>
          <cell r="AC436">
            <v>0</v>
          </cell>
          <cell r="AD436">
            <v>0</v>
          </cell>
          <cell r="AK436">
            <v>0</v>
          </cell>
          <cell r="AL436">
            <v>0</v>
          </cell>
        </row>
        <row r="437">
          <cell r="F437">
            <v>2.6666666666666665</v>
          </cell>
          <cell r="G437">
            <v>1</v>
          </cell>
          <cell r="P437">
            <v>1</v>
          </cell>
          <cell r="X437">
            <v>4</v>
          </cell>
          <cell r="Y437">
            <v>3</v>
          </cell>
          <cell r="AC437">
            <v>2</v>
          </cell>
          <cell r="AD437">
            <v>1</v>
          </cell>
          <cell r="AK437">
            <v>15.666666666666666</v>
          </cell>
          <cell r="AL437">
            <v>9</v>
          </cell>
        </row>
        <row r="438">
          <cell r="F438">
            <v>0</v>
          </cell>
          <cell r="G438">
            <v>0</v>
          </cell>
          <cell r="P438">
            <v>0</v>
          </cell>
          <cell r="X438">
            <v>0</v>
          </cell>
          <cell r="Y438">
            <v>0</v>
          </cell>
          <cell r="AC438">
            <v>0</v>
          </cell>
          <cell r="AD438">
            <v>0</v>
          </cell>
          <cell r="AK438">
            <v>0</v>
          </cell>
          <cell r="AL438">
            <v>0</v>
          </cell>
        </row>
        <row r="439">
          <cell r="F439">
            <v>0</v>
          </cell>
          <cell r="G439">
            <v>0</v>
          </cell>
          <cell r="P439">
            <v>0</v>
          </cell>
          <cell r="X439">
            <v>3.3333333333333335</v>
          </cell>
          <cell r="Y439">
            <v>2</v>
          </cell>
          <cell r="AC439">
            <v>0</v>
          </cell>
          <cell r="AD439">
            <v>0</v>
          </cell>
          <cell r="AK439">
            <v>3.3333333333333335</v>
          </cell>
          <cell r="AL439">
            <v>2</v>
          </cell>
        </row>
        <row r="440">
          <cell r="F440">
            <v>0.33333333333333331</v>
          </cell>
          <cell r="G440">
            <v>0</v>
          </cell>
          <cell r="P440">
            <v>0.33333333333333331</v>
          </cell>
          <cell r="X440">
            <v>0.33333333333333331</v>
          </cell>
          <cell r="Y440">
            <v>0</v>
          </cell>
          <cell r="AC440">
            <v>0.33333333333333331</v>
          </cell>
          <cell r="AD440">
            <v>0</v>
          </cell>
          <cell r="AK440">
            <v>1.9999999999999998</v>
          </cell>
          <cell r="AL440">
            <v>0.33333333333333331</v>
          </cell>
        </row>
        <row r="441">
          <cell r="F441">
            <v>0</v>
          </cell>
          <cell r="G441">
            <v>0</v>
          </cell>
          <cell r="P441">
            <v>0</v>
          </cell>
          <cell r="X441">
            <v>0</v>
          </cell>
          <cell r="Y441">
            <v>0</v>
          </cell>
          <cell r="AC441">
            <v>0</v>
          </cell>
          <cell r="AD441">
            <v>0</v>
          </cell>
          <cell r="AK441">
            <v>0</v>
          </cell>
          <cell r="AL441">
            <v>0</v>
          </cell>
        </row>
        <row r="442">
          <cell r="F442">
            <v>0</v>
          </cell>
          <cell r="G442">
            <v>0</v>
          </cell>
          <cell r="P442">
            <v>0</v>
          </cell>
          <cell r="X442">
            <v>0</v>
          </cell>
          <cell r="Y442">
            <v>0</v>
          </cell>
          <cell r="AC442">
            <v>0</v>
          </cell>
          <cell r="AD442">
            <v>0</v>
          </cell>
          <cell r="AK442">
            <v>0</v>
          </cell>
          <cell r="AL442">
            <v>0</v>
          </cell>
        </row>
        <row r="443">
          <cell r="F443">
            <v>0</v>
          </cell>
          <cell r="G443">
            <v>0</v>
          </cell>
          <cell r="P443">
            <v>0</v>
          </cell>
          <cell r="X443">
            <v>0</v>
          </cell>
          <cell r="Y443">
            <v>0</v>
          </cell>
          <cell r="AC443">
            <v>0</v>
          </cell>
          <cell r="AD443">
            <v>0</v>
          </cell>
          <cell r="AK443">
            <v>0</v>
          </cell>
          <cell r="AL443">
            <v>0</v>
          </cell>
        </row>
        <row r="444">
          <cell r="F444">
            <v>0</v>
          </cell>
          <cell r="G444">
            <v>0</v>
          </cell>
          <cell r="P444">
            <v>0</v>
          </cell>
          <cell r="X444">
            <v>0</v>
          </cell>
          <cell r="Y444">
            <v>0</v>
          </cell>
          <cell r="AC444">
            <v>0</v>
          </cell>
          <cell r="AD444">
            <v>0</v>
          </cell>
          <cell r="AK444">
            <v>0</v>
          </cell>
          <cell r="AL444">
            <v>0</v>
          </cell>
        </row>
        <row r="445">
          <cell r="F445">
            <v>0</v>
          </cell>
          <cell r="G445">
            <v>0</v>
          </cell>
          <cell r="P445">
            <v>0</v>
          </cell>
          <cell r="X445">
            <v>0</v>
          </cell>
          <cell r="Y445">
            <v>0</v>
          </cell>
          <cell r="AC445">
            <v>0</v>
          </cell>
          <cell r="AD445">
            <v>0</v>
          </cell>
          <cell r="AK445">
            <v>0</v>
          </cell>
          <cell r="AL445">
            <v>0</v>
          </cell>
        </row>
        <row r="446">
          <cell r="F446">
            <v>0</v>
          </cell>
          <cell r="G446">
            <v>0</v>
          </cell>
          <cell r="P446">
            <v>0</v>
          </cell>
          <cell r="X446">
            <v>0</v>
          </cell>
          <cell r="Y446">
            <v>0</v>
          </cell>
          <cell r="AC446">
            <v>0</v>
          </cell>
          <cell r="AD446">
            <v>0</v>
          </cell>
          <cell r="AK446">
            <v>0</v>
          </cell>
          <cell r="AL446">
            <v>0</v>
          </cell>
        </row>
        <row r="447">
          <cell r="G447">
            <v>0</v>
          </cell>
          <cell r="P447">
            <v>0</v>
          </cell>
          <cell r="X447">
            <v>0</v>
          </cell>
          <cell r="Y447">
            <v>0</v>
          </cell>
          <cell r="AC447">
            <v>0</v>
          </cell>
          <cell r="AD447">
            <v>0</v>
          </cell>
          <cell r="AK447">
            <v>0</v>
          </cell>
          <cell r="AL447">
            <v>2</v>
          </cell>
        </row>
        <row r="448">
          <cell r="P448">
            <v>0</v>
          </cell>
          <cell r="X448">
            <v>0</v>
          </cell>
          <cell r="Y448">
            <v>0</v>
          </cell>
          <cell r="AC448">
            <v>0</v>
          </cell>
          <cell r="AD448">
            <v>0</v>
          </cell>
          <cell r="AK448">
            <v>0</v>
          </cell>
          <cell r="AL448">
            <v>0</v>
          </cell>
        </row>
      </sheetData>
      <sheetData sheetId="12" refreshError="1">
        <row r="21">
          <cell r="AI21" t="str">
            <v xml:space="preserve">         Затверджую</v>
          </cell>
        </row>
        <row r="22">
          <cell r="AI22" t="str">
            <v xml:space="preserve"> Голова правління -</v>
          </cell>
        </row>
        <row r="23">
          <cell r="AI23" t="str">
            <v xml:space="preserve"> генеральний директор</v>
          </cell>
        </row>
        <row r="25">
          <cell r="F25">
            <v>2476</v>
          </cell>
          <cell r="G25">
            <v>968</v>
          </cell>
          <cell r="H25">
            <v>1508</v>
          </cell>
          <cell r="P25">
            <v>636.99999999999989</v>
          </cell>
          <cell r="Q25">
            <v>0</v>
          </cell>
          <cell r="R25">
            <v>0</v>
          </cell>
          <cell r="S25">
            <v>2544.666666666667</v>
          </cell>
          <cell r="T25">
            <v>1696.2666666666664</v>
          </cell>
          <cell r="U25">
            <v>848.40000000000009</v>
          </cell>
          <cell r="V25">
            <v>0</v>
          </cell>
          <cell r="W25">
            <v>0</v>
          </cell>
          <cell r="X25">
            <v>1280.3333333333333</v>
          </cell>
          <cell r="Y25">
            <v>837</v>
          </cell>
          <cell r="Z25">
            <v>443.33333333333331</v>
          </cell>
          <cell r="AA25">
            <v>0</v>
          </cell>
          <cell r="AB25">
            <v>0</v>
          </cell>
          <cell r="AC25">
            <v>549</v>
          </cell>
          <cell r="AD25">
            <v>326</v>
          </cell>
          <cell r="AE25">
            <v>222.99999999999997</v>
          </cell>
          <cell r="AF25">
            <v>1455</v>
          </cell>
          <cell r="AG25">
            <v>733</v>
          </cell>
          <cell r="AH25">
            <v>722</v>
          </cell>
          <cell r="AI25">
            <v>406.2</v>
          </cell>
          <cell r="AJ25">
            <v>0</v>
          </cell>
          <cell r="AK25">
            <v>8784</v>
          </cell>
          <cell r="AL25">
            <v>3007</v>
          </cell>
          <cell r="AM25">
            <v>5777</v>
          </cell>
          <cell r="AN25">
            <v>5777</v>
          </cell>
          <cell r="AO25">
            <v>1163</v>
          </cell>
          <cell r="AP25">
            <v>1531</v>
          </cell>
          <cell r="AQ25">
            <v>1843.9999999999998</v>
          </cell>
          <cell r="AR25">
            <v>4246</v>
          </cell>
        </row>
        <row r="26">
          <cell r="AI26" t="str">
            <v xml:space="preserve">   "_____" ________2000 р.</v>
          </cell>
        </row>
        <row r="30">
          <cell r="P30" t="str">
            <v>4мес</v>
          </cell>
          <cell r="S30" t="str">
            <v>4 мес</v>
          </cell>
          <cell r="X30" t="str">
            <v>4 мес</v>
          </cell>
          <cell r="AC30" t="str">
            <v>4 мес</v>
          </cell>
        </row>
        <row r="31">
          <cell r="P31">
            <v>9611</v>
          </cell>
          <cell r="S31">
            <v>29500</v>
          </cell>
          <cell r="X31">
            <v>9129</v>
          </cell>
          <cell r="AC31">
            <v>5177</v>
          </cell>
          <cell r="AF31">
            <v>15250</v>
          </cell>
        </row>
        <row r="32">
          <cell r="Q32" t="str">
            <v>КТМ</v>
          </cell>
          <cell r="V32" t="str">
            <v xml:space="preserve">ТЕЦ-5 </v>
          </cell>
          <cell r="AA32" t="str">
            <v xml:space="preserve">ТЕЦ-6 </v>
          </cell>
        </row>
        <row r="33">
          <cell r="P33">
            <v>12306</v>
          </cell>
          <cell r="S33">
            <v>37211</v>
          </cell>
          <cell r="X33">
            <v>13845</v>
          </cell>
          <cell r="AC33">
            <v>7693</v>
          </cell>
          <cell r="AF33">
            <v>19609</v>
          </cell>
        </row>
        <row r="34">
          <cell r="F34" t="str">
            <v>ВИКОН.ДИР.</v>
          </cell>
          <cell r="G34" t="str">
            <v>Е/Е</v>
          </cell>
          <cell r="H34" t="str">
            <v xml:space="preserve"> Т/Е</v>
          </cell>
          <cell r="P34" t="str">
            <v xml:space="preserve">КМ </v>
          </cell>
          <cell r="Q34" t="str">
            <v>КТМ</v>
          </cell>
          <cell r="S34" t="str">
            <v xml:space="preserve">ТМ </v>
          </cell>
          <cell r="T34" t="str">
            <v>ВИРОБН</v>
          </cell>
          <cell r="U34" t="str">
            <v>ПЕРЕД</v>
          </cell>
          <cell r="V34" t="str">
            <v xml:space="preserve">ТЕЦ-5 </v>
          </cell>
          <cell r="X34" t="str">
            <v>ТЕЦ-5 ВСЬОГО</v>
          </cell>
          <cell r="Y34" t="str">
            <v xml:space="preserve">ТЕЦ-6 </v>
          </cell>
          <cell r="Z34" t="str">
            <v xml:space="preserve"> Т/Е</v>
          </cell>
          <cell r="AA34" t="str">
            <v xml:space="preserve">ТЕЦ-6 </v>
          </cell>
          <cell r="AC34" t="str">
            <v>ТЕЦ-6 ВСЬОГО</v>
          </cell>
          <cell r="AD34" t="str">
            <v>Е/Е</v>
          </cell>
          <cell r="AE34" t="str">
            <v xml:space="preserve"> Т/Е</v>
          </cell>
          <cell r="AF34" t="str">
            <v>ТРМ ВСЬОГО</v>
          </cell>
          <cell r="AG34" t="str">
            <v>ТРМ  АК КЕ</v>
          </cell>
          <cell r="AH34" t="str">
            <v>ТРМ СТОР</v>
          </cell>
          <cell r="AI34" t="str">
            <v xml:space="preserve">ДОП.ВИР. </v>
          </cell>
          <cell r="AJ34" t="str">
            <v>ДОП.ВИР. СТ.ОРГ.</v>
          </cell>
          <cell r="AK34" t="str">
            <v>АК КЕ ВСЬОГО</v>
          </cell>
          <cell r="AL34" t="str">
            <v xml:space="preserve"> Е/Е</v>
          </cell>
          <cell r="AM34" t="str">
            <v xml:space="preserve"> Т/Е</v>
          </cell>
          <cell r="AO34" t="str">
            <v>СТАНЦІї ЕЛЕКТРО</v>
          </cell>
          <cell r="AP34" t="str">
            <v>СТАНЦІІ ТЕПЛОВІ</v>
          </cell>
          <cell r="AQ34" t="str">
            <v>МЕРЕЖІ ЕЛЕКТРО</v>
          </cell>
          <cell r="AR34" t="str">
            <v>МЕРЕЖІ ТЕПЛОВІ</v>
          </cell>
        </row>
        <row r="35">
          <cell r="AL35">
            <v>395</v>
          </cell>
        </row>
        <row r="36">
          <cell r="F36" t="str">
            <v>ВИКОН.ДИР.</v>
          </cell>
          <cell r="G36" t="str">
            <v>Е/Е</v>
          </cell>
          <cell r="H36" t="str">
            <v xml:space="preserve"> Т/Е</v>
          </cell>
          <cell r="P36" t="str">
            <v xml:space="preserve">КМ </v>
          </cell>
          <cell r="S36" t="str">
            <v xml:space="preserve">ТМ </v>
          </cell>
          <cell r="T36" t="str">
            <v>ВИРОБН</v>
          </cell>
          <cell r="U36" t="str">
            <v>ПЕРЕД</v>
          </cell>
          <cell r="V36" t="str">
            <v>ТЕЦ-5 ВСЬОГО</v>
          </cell>
          <cell r="W36" t="str">
            <v>Е/Е</v>
          </cell>
          <cell r="X36" t="str">
            <v>ТЕЦ-5 ВСЬОГО</v>
          </cell>
          <cell r="Y36" t="str">
            <v>Е/Е</v>
          </cell>
          <cell r="Z36" t="str">
            <v xml:space="preserve"> Т/Е</v>
          </cell>
          <cell r="AA36" t="str">
            <v>ТЕЦ-6 ВСЬОГО</v>
          </cell>
          <cell r="AB36" t="str">
            <v>Е/Е</v>
          </cell>
          <cell r="AC36" t="str">
            <v>ТЕЦ-6 ВСЬОГО</v>
          </cell>
          <cell r="AD36" t="str">
            <v>Е/Е</v>
          </cell>
          <cell r="AE36" t="str">
            <v xml:space="preserve"> Т/Е</v>
          </cell>
          <cell r="AF36" t="str">
            <v>ТРМ ВСЬОГО</v>
          </cell>
          <cell r="AG36" t="str">
            <v>ТРМ  АК КЕ</v>
          </cell>
          <cell r="AH36" t="str">
            <v>ТРМ СТОР</v>
          </cell>
          <cell r="AK36" t="str">
            <v>АК КЕ ВСЬОГО</v>
          </cell>
          <cell r="AL36" t="str">
            <v xml:space="preserve"> Е/Е</v>
          </cell>
          <cell r="AM36" t="str">
            <v xml:space="preserve"> Т/Е</v>
          </cell>
          <cell r="AO36" t="str">
            <v>СТАНЦІї ЕЛЕКТРО</v>
          </cell>
          <cell r="AP36" t="str">
            <v>СТАНЦІІ ТЕПЛОВІ</v>
          </cell>
          <cell r="AQ36" t="str">
            <v>МЕРЕЖІ ЕЛЕКТРО</v>
          </cell>
          <cell r="AR36" t="str">
            <v>МЕРЕЖІ ТЕПЛОВІ</v>
          </cell>
        </row>
        <row r="37">
          <cell r="AL37">
            <v>395</v>
          </cell>
        </row>
        <row r="38">
          <cell r="AL38">
            <v>336</v>
          </cell>
        </row>
        <row r="39">
          <cell r="AL39">
            <v>0</v>
          </cell>
        </row>
        <row r="40">
          <cell r="AL40">
            <v>0</v>
          </cell>
        </row>
        <row r="41">
          <cell r="AL41">
            <v>0</v>
          </cell>
        </row>
        <row r="42">
          <cell r="P42">
            <v>0</v>
          </cell>
          <cell r="AL42">
            <v>0</v>
          </cell>
        </row>
        <row r="43">
          <cell r="AL43">
            <v>395.6</v>
          </cell>
          <cell r="AM43">
            <v>1580</v>
          </cell>
        </row>
        <row r="44">
          <cell r="P44">
            <v>0</v>
          </cell>
          <cell r="AL44">
            <v>395.6</v>
          </cell>
          <cell r="AM44">
            <v>0</v>
          </cell>
        </row>
        <row r="45">
          <cell r="AM45">
            <v>1580</v>
          </cell>
        </row>
        <row r="46">
          <cell r="F46">
            <v>9995.1</v>
          </cell>
          <cell r="P46">
            <v>2694.62</v>
          </cell>
          <cell r="S46">
            <v>7710.7648484848487</v>
          </cell>
          <cell r="T46">
            <v>2690.8247757575755</v>
          </cell>
          <cell r="U46">
            <v>2611.9400727272728</v>
          </cell>
          <cell r="X46">
            <v>4714.5030303030289</v>
          </cell>
          <cell r="AC46">
            <v>2516.6951515151522</v>
          </cell>
          <cell r="AF46">
            <v>4357.5593939393939</v>
          </cell>
          <cell r="AG46">
            <v>3406</v>
          </cell>
          <cell r="AH46">
            <v>952.89272727272737</v>
          </cell>
          <cell r="AM46">
            <v>0</v>
          </cell>
        </row>
        <row r="47">
          <cell r="F47">
            <v>0.8</v>
          </cell>
          <cell r="AM47">
            <v>1580</v>
          </cell>
        </row>
        <row r="48">
          <cell r="F48">
            <v>13122</v>
          </cell>
          <cell r="P48">
            <v>2489.2866666666664</v>
          </cell>
          <cell r="S48">
            <v>6569.1989393939384</v>
          </cell>
          <cell r="T48">
            <v>2125.1968969696973</v>
          </cell>
          <cell r="U48">
            <v>2413.8020424242422</v>
          </cell>
          <cell r="V48">
            <v>2576.1318181818187</v>
          </cell>
          <cell r="X48">
            <v>3133.4075757575761</v>
          </cell>
          <cell r="AA48">
            <v>2709.5690909090908</v>
          </cell>
          <cell r="AC48">
            <v>2333.3751515151525</v>
          </cell>
          <cell r="AF48">
            <v>4511.4533333333329</v>
          </cell>
          <cell r="AG48">
            <v>3609.54</v>
          </cell>
          <cell r="AH48">
            <v>856.9133333333333</v>
          </cell>
        </row>
        <row r="49">
          <cell r="F49">
            <v>0.85</v>
          </cell>
          <cell r="G49">
            <v>297</v>
          </cell>
          <cell r="H49">
            <v>462</v>
          </cell>
          <cell r="P49">
            <v>0.85</v>
          </cell>
          <cell r="S49">
            <v>0.85</v>
          </cell>
          <cell r="T49">
            <v>442.5</v>
          </cell>
          <cell r="U49">
            <v>442.5</v>
          </cell>
          <cell r="X49">
            <v>0.85</v>
          </cell>
          <cell r="Y49">
            <v>133</v>
          </cell>
          <cell r="Z49">
            <v>71</v>
          </cell>
          <cell r="AC49">
            <v>0.85</v>
          </cell>
          <cell r="AD49">
            <v>225</v>
          </cell>
          <cell r="AE49">
            <v>154.33333333333331</v>
          </cell>
          <cell r="AF49">
            <v>0.85</v>
          </cell>
          <cell r="AG49">
            <v>0.85</v>
          </cell>
          <cell r="AH49">
            <v>0.85</v>
          </cell>
          <cell r="AI49">
            <v>70</v>
          </cell>
          <cell r="AK49">
            <v>3035.3333333333335</v>
          </cell>
          <cell r="AL49">
            <v>1155</v>
          </cell>
          <cell r="AM49">
            <v>1880.3333333333335</v>
          </cell>
          <cell r="AN49">
            <v>1880.3333333333333</v>
          </cell>
          <cell r="AO49">
            <v>358</v>
          </cell>
          <cell r="AP49">
            <v>526</v>
          </cell>
          <cell r="AQ49">
            <v>797</v>
          </cell>
          <cell r="AR49">
            <v>1354.3333333333335</v>
          </cell>
        </row>
        <row r="50">
          <cell r="F50">
            <v>294</v>
          </cell>
          <cell r="G50">
            <v>115</v>
          </cell>
          <cell r="H50">
            <v>179</v>
          </cell>
          <cell r="P50">
            <v>450</v>
          </cell>
          <cell r="S50">
            <v>750</v>
          </cell>
          <cell r="X50">
            <v>102</v>
          </cell>
          <cell r="Y50">
            <v>67</v>
          </cell>
          <cell r="Z50">
            <v>35</v>
          </cell>
          <cell r="AC50">
            <v>97</v>
          </cell>
          <cell r="AD50">
            <v>58</v>
          </cell>
          <cell r="AE50">
            <v>39</v>
          </cell>
          <cell r="AF50">
            <v>447</v>
          </cell>
          <cell r="AG50">
            <v>415</v>
          </cell>
          <cell r="AH50">
            <v>32</v>
          </cell>
          <cell r="AK50">
            <v>2142</v>
          </cell>
          <cell r="AL50">
            <v>721</v>
          </cell>
          <cell r="AM50">
            <v>1421</v>
          </cell>
          <cell r="AN50">
            <v>1421</v>
          </cell>
        </row>
        <row r="51">
          <cell r="F51">
            <v>735</v>
          </cell>
          <cell r="G51">
            <v>327</v>
          </cell>
          <cell r="H51">
            <v>408</v>
          </cell>
          <cell r="P51">
            <v>145.6</v>
          </cell>
          <cell r="S51">
            <v>1069.6666666666665</v>
          </cell>
          <cell r="T51">
            <v>534.83333333333326</v>
          </cell>
          <cell r="U51">
            <v>534.83333333333326</v>
          </cell>
          <cell r="V51">
            <v>187</v>
          </cell>
          <cell r="W51">
            <v>152</v>
          </cell>
          <cell r="X51">
            <v>223.4</v>
          </cell>
          <cell r="Y51">
            <v>160</v>
          </cell>
          <cell r="Z51">
            <v>63.400000000000006</v>
          </cell>
          <cell r="AA51">
            <v>48</v>
          </cell>
          <cell r="AB51">
            <v>38</v>
          </cell>
          <cell r="AC51">
            <v>538.98333333333346</v>
          </cell>
          <cell r="AD51">
            <v>383</v>
          </cell>
          <cell r="AE51">
            <v>155.98333333333346</v>
          </cell>
          <cell r="AF51">
            <v>635.25</v>
          </cell>
          <cell r="AG51">
            <v>456.25</v>
          </cell>
          <cell r="AH51">
            <v>179</v>
          </cell>
          <cell r="AK51">
            <v>3373.9</v>
          </cell>
          <cell r="AL51">
            <v>1062.5999999999999</v>
          </cell>
          <cell r="AM51">
            <v>2311.3000000000002</v>
          </cell>
          <cell r="AN51">
            <v>2311.3000000000002</v>
          </cell>
          <cell r="AO51">
            <v>543</v>
          </cell>
          <cell r="AP51">
            <v>583</v>
          </cell>
          <cell r="AQ51">
            <v>519.59999999999991</v>
          </cell>
          <cell r="AR51">
            <v>1728.3000000000002</v>
          </cell>
        </row>
        <row r="52">
          <cell r="F52">
            <v>163</v>
          </cell>
          <cell r="G52">
            <v>72</v>
          </cell>
          <cell r="H52">
            <v>91</v>
          </cell>
          <cell r="P52">
            <v>118</v>
          </cell>
          <cell r="S52">
            <v>703</v>
          </cell>
          <cell r="V52">
            <v>132</v>
          </cell>
          <cell r="W52">
            <v>107</v>
          </cell>
          <cell r="X52">
            <v>128</v>
          </cell>
          <cell r="Y52">
            <v>92</v>
          </cell>
          <cell r="Z52">
            <v>36</v>
          </cell>
          <cell r="AA52">
            <v>100</v>
          </cell>
          <cell r="AB52">
            <v>79</v>
          </cell>
          <cell r="AC52">
            <v>89</v>
          </cell>
          <cell r="AD52">
            <v>63</v>
          </cell>
          <cell r="AE52">
            <v>26</v>
          </cell>
          <cell r="AF52">
            <v>616</v>
          </cell>
          <cell r="AG52">
            <v>616</v>
          </cell>
          <cell r="AH52">
            <v>0</v>
          </cell>
          <cell r="AK52">
            <v>1849</v>
          </cell>
          <cell r="AL52">
            <v>375</v>
          </cell>
          <cell r="AM52">
            <v>1474</v>
          </cell>
          <cell r="AN52">
            <v>1474</v>
          </cell>
        </row>
        <row r="53">
          <cell r="F53">
            <v>20</v>
          </cell>
          <cell r="G53">
            <v>0</v>
          </cell>
          <cell r="H53">
            <v>12</v>
          </cell>
          <cell r="P53">
            <v>0</v>
          </cell>
          <cell r="S53">
            <v>368.66666666666669</v>
          </cell>
          <cell r="T53">
            <v>287.56</v>
          </cell>
          <cell r="U53">
            <v>81.106666666666683</v>
          </cell>
          <cell r="V53">
            <v>0</v>
          </cell>
          <cell r="W53">
            <v>0</v>
          </cell>
          <cell r="X53">
            <v>2.5499999999999998</v>
          </cell>
          <cell r="Y53">
            <v>2</v>
          </cell>
          <cell r="Z53">
            <v>0.54999999999999982</v>
          </cell>
          <cell r="AA53">
            <v>-300</v>
          </cell>
          <cell r="AB53">
            <v>-238</v>
          </cell>
          <cell r="AC53">
            <v>0</v>
          </cell>
          <cell r="AD53">
            <v>0</v>
          </cell>
          <cell r="AE53">
            <v>0</v>
          </cell>
          <cell r="AF53">
            <v>189.33333333333334</v>
          </cell>
          <cell r="AG53">
            <v>110</v>
          </cell>
          <cell r="AH53">
            <v>0</v>
          </cell>
          <cell r="AI53">
            <v>36</v>
          </cell>
          <cell r="AK53">
            <v>2.5499999999999998</v>
          </cell>
          <cell r="AL53">
            <v>2</v>
          </cell>
          <cell r="AM53">
            <v>0.54999999999999982</v>
          </cell>
          <cell r="AN53">
            <v>0.54999999999999982</v>
          </cell>
          <cell r="AO53">
            <v>690</v>
          </cell>
          <cell r="AP53">
            <v>498</v>
          </cell>
          <cell r="AQ53">
            <v>61.666666666666629</v>
          </cell>
          <cell r="AR53">
            <v>365.66666666666663</v>
          </cell>
        </row>
        <row r="54">
          <cell r="F54">
            <v>561</v>
          </cell>
          <cell r="G54">
            <v>249</v>
          </cell>
          <cell r="H54">
            <v>312</v>
          </cell>
          <cell r="P54">
            <v>30</v>
          </cell>
          <cell r="S54">
            <v>79</v>
          </cell>
          <cell r="T54">
            <v>13.666666666666666</v>
          </cell>
          <cell r="U54">
            <v>0</v>
          </cell>
          <cell r="V54">
            <v>44</v>
          </cell>
          <cell r="W54">
            <v>36</v>
          </cell>
          <cell r="X54">
            <v>69</v>
          </cell>
          <cell r="Y54">
            <v>50</v>
          </cell>
          <cell r="Z54">
            <v>19</v>
          </cell>
          <cell r="AA54">
            <v>47</v>
          </cell>
          <cell r="AB54">
            <v>37</v>
          </cell>
          <cell r="AC54">
            <v>55</v>
          </cell>
          <cell r="AD54">
            <v>39</v>
          </cell>
          <cell r="AE54">
            <v>16</v>
          </cell>
          <cell r="AF54">
            <v>4</v>
          </cell>
          <cell r="AG54">
            <v>3</v>
          </cell>
          <cell r="AH54">
            <v>0</v>
          </cell>
          <cell r="AK54">
            <v>954</v>
          </cell>
          <cell r="AL54">
            <v>404</v>
          </cell>
          <cell r="AM54">
            <v>550</v>
          </cell>
          <cell r="AN54">
            <v>550</v>
          </cell>
          <cell r="AO54">
            <v>503</v>
          </cell>
          <cell r="AP54">
            <v>272</v>
          </cell>
          <cell r="AQ54">
            <v>0</v>
          </cell>
          <cell r="AR54">
            <v>9</v>
          </cell>
        </row>
        <row r="55">
          <cell r="F55">
            <v>1</v>
          </cell>
          <cell r="G55">
            <v>0</v>
          </cell>
          <cell r="H55">
            <v>1</v>
          </cell>
          <cell r="P55">
            <v>27.766666666666676</v>
          </cell>
          <cell r="S55">
            <v>613</v>
          </cell>
          <cell r="T55">
            <v>478.14000000000004</v>
          </cell>
          <cell r="U55">
            <v>134.85999999999996</v>
          </cell>
          <cell r="V55">
            <v>995</v>
          </cell>
          <cell r="W55">
            <v>807</v>
          </cell>
          <cell r="X55">
            <v>453</v>
          </cell>
          <cell r="Y55">
            <v>325</v>
          </cell>
          <cell r="Z55">
            <v>128</v>
          </cell>
          <cell r="AA55">
            <v>84</v>
          </cell>
          <cell r="AB55">
            <v>67</v>
          </cell>
          <cell r="AC55">
            <v>71.683333333333351</v>
          </cell>
          <cell r="AD55">
            <v>51</v>
          </cell>
          <cell r="AE55">
            <v>20.683333333333351</v>
          </cell>
          <cell r="AF55">
            <v>160.93333333333328</v>
          </cell>
          <cell r="AG55">
            <v>150</v>
          </cell>
          <cell r="AH55">
            <v>10.93333333333328</v>
          </cell>
          <cell r="AK55">
            <v>1316.45</v>
          </cell>
          <cell r="AL55">
            <v>403.76666666666665</v>
          </cell>
          <cell r="AM55">
            <v>912.68333333333339</v>
          </cell>
          <cell r="AN55">
            <v>912.68333333333339</v>
          </cell>
          <cell r="AO55">
            <v>376</v>
          </cell>
          <cell r="AP55">
            <v>357</v>
          </cell>
          <cell r="AQ55">
            <v>27.766666666666652</v>
          </cell>
          <cell r="AR55">
            <v>555.68333333333339</v>
          </cell>
        </row>
        <row r="56">
          <cell r="F56">
            <v>0</v>
          </cell>
          <cell r="G56">
            <v>0</v>
          </cell>
          <cell r="H56">
            <v>0</v>
          </cell>
          <cell r="P56">
            <v>0</v>
          </cell>
          <cell r="S56">
            <v>13.666666666666666</v>
          </cell>
          <cell r="T56">
            <v>13.666666666666666</v>
          </cell>
          <cell r="U56">
            <v>0</v>
          </cell>
          <cell r="V56">
            <v>910</v>
          </cell>
          <cell r="W56">
            <v>738</v>
          </cell>
          <cell r="X56">
            <v>277</v>
          </cell>
          <cell r="Y56">
            <v>199</v>
          </cell>
          <cell r="Z56">
            <v>78</v>
          </cell>
          <cell r="AA56">
            <v>13.333333333333334</v>
          </cell>
          <cell r="AB56">
            <v>11</v>
          </cell>
          <cell r="AC56">
            <v>13.333333333333334</v>
          </cell>
          <cell r="AD56">
            <v>9</v>
          </cell>
          <cell r="AE56">
            <v>4.3333333333333339</v>
          </cell>
          <cell r="AF56">
            <v>0.33333333333333331</v>
          </cell>
          <cell r="AG56">
            <v>2</v>
          </cell>
          <cell r="AH56">
            <v>0.33333333333333331</v>
          </cell>
          <cell r="AI56">
            <v>0</v>
          </cell>
          <cell r="AK56">
            <v>304</v>
          </cell>
          <cell r="AL56">
            <v>208</v>
          </cell>
          <cell r="AM56">
            <v>96</v>
          </cell>
          <cell r="AN56">
            <v>96</v>
          </cell>
          <cell r="AO56">
            <v>208</v>
          </cell>
          <cell r="AP56">
            <v>87</v>
          </cell>
          <cell r="AQ56">
            <v>0</v>
          </cell>
          <cell r="AR56">
            <v>9</v>
          </cell>
        </row>
        <row r="57">
          <cell r="F57">
            <v>0</v>
          </cell>
          <cell r="G57">
            <v>0</v>
          </cell>
          <cell r="H57">
            <v>0</v>
          </cell>
          <cell r="S57">
            <v>2945</v>
          </cell>
          <cell r="T57">
            <v>2945</v>
          </cell>
          <cell r="U57">
            <v>0</v>
          </cell>
          <cell r="V57">
            <v>11300</v>
          </cell>
          <cell r="W57">
            <v>9168</v>
          </cell>
          <cell r="X57">
            <v>12359</v>
          </cell>
          <cell r="Y57">
            <v>8878</v>
          </cell>
          <cell r="Z57">
            <v>3481</v>
          </cell>
          <cell r="AA57">
            <v>10588</v>
          </cell>
          <cell r="AB57">
            <v>8403</v>
          </cell>
          <cell r="AC57">
            <v>10357</v>
          </cell>
          <cell r="AD57">
            <v>7369</v>
          </cell>
          <cell r="AE57">
            <v>2988</v>
          </cell>
          <cell r="AF57">
            <v>0</v>
          </cell>
          <cell r="AH57">
            <v>0</v>
          </cell>
          <cell r="AK57">
            <v>25661</v>
          </cell>
          <cell r="AL57">
            <v>16247</v>
          </cell>
          <cell r="AM57">
            <v>9414</v>
          </cell>
          <cell r="AN57">
            <v>9414</v>
          </cell>
          <cell r="AO57">
            <v>16247</v>
          </cell>
          <cell r="AP57">
            <v>9414</v>
          </cell>
          <cell r="AQ57">
            <v>0</v>
          </cell>
          <cell r="AR57">
            <v>0</v>
          </cell>
        </row>
        <row r="58">
          <cell r="F58">
            <v>0</v>
          </cell>
          <cell r="G58">
            <v>0</v>
          </cell>
          <cell r="H58">
            <v>0</v>
          </cell>
          <cell r="P58">
            <v>0</v>
          </cell>
          <cell r="S58">
            <v>2945</v>
          </cell>
          <cell r="T58">
            <v>2945</v>
          </cell>
          <cell r="U58">
            <v>0</v>
          </cell>
          <cell r="V58">
            <v>11300</v>
          </cell>
          <cell r="W58">
            <v>9168</v>
          </cell>
          <cell r="X58">
            <v>12359</v>
          </cell>
          <cell r="Y58">
            <v>8878</v>
          </cell>
          <cell r="Z58">
            <v>3481</v>
          </cell>
          <cell r="AA58">
            <v>10588</v>
          </cell>
          <cell r="AB58">
            <v>8403</v>
          </cell>
          <cell r="AC58">
            <v>10357</v>
          </cell>
          <cell r="AD58">
            <v>7369</v>
          </cell>
          <cell r="AE58">
            <v>2988</v>
          </cell>
          <cell r="AF58">
            <v>0</v>
          </cell>
          <cell r="AG58">
            <v>0</v>
          </cell>
          <cell r="AH58">
            <v>0</v>
          </cell>
          <cell r="AI58">
            <v>241</v>
          </cell>
          <cell r="AK58">
            <v>25661</v>
          </cell>
          <cell r="AL58">
            <v>16247</v>
          </cell>
          <cell r="AM58">
            <v>9414</v>
          </cell>
          <cell r="AN58">
            <v>9414</v>
          </cell>
          <cell r="AO58">
            <v>16247</v>
          </cell>
          <cell r="AP58">
            <v>9414</v>
          </cell>
          <cell r="AQ58">
            <v>0</v>
          </cell>
          <cell r="AR58">
            <v>0</v>
          </cell>
        </row>
        <row r="59">
          <cell r="F59">
            <v>0</v>
          </cell>
          <cell r="G59">
            <v>0</v>
          </cell>
          <cell r="H59">
            <v>0</v>
          </cell>
          <cell r="P59">
            <v>539.62000000000012</v>
          </cell>
          <cell r="S59">
            <v>924.09818181818162</v>
          </cell>
          <cell r="T59">
            <v>0</v>
          </cell>
          <cell r="U59">
            <v>0</v>
          </cell>
          <cell r="X59">
            <v>315.83636363636361</v>
          </cell>
          <cell r="Y59">
            <v>207</v>
          </cell>
          <cell r="Z59">
            <v>108.83636363636361</v>
          </cell>
          <cell r="AC59">
            <v>277.36181818181819</v>
          </cell>
          <cell r="AD59">
            <v>164</v>
          </cell>
          <cell r="AE59">
            <v>113.36181818181819</v>
          </cell>
          <cell r="AF59">
            <v>0</v>
          </cell>
          <cell r="AG59">
            <v>844</v>
          </cell>
          <cell r="AH59">
            <v>0</v>
          </cell>
          <cell r="AI59">
            <v>274</v>
          </cell>
          <cell r="AK59">
            <v>0</v>
          </cell>
          <cell r="AL59">
            <v>0</v>
          </cell>
          <cell r="AM59">
            <v>0</v>
          </cell>
          <cell r="AN59">
            <v>0</v>
          </cell>
          <cell r="AO59">
            <v>371</v>
          </cell>
          <cell r="AP59">
            <v>0</v>
          </cell>
          <cell r="AQ59">
            <v>850.62000000000012</v>
          </cell>
          <cell r="AR59">
            <v>1759.3963636363642</v>
          </cell>
        </row>
        <row r="60">
          <cell r="F60">
            <v>6</v>
          </cell>
          <cell r="G60">
            <v>3</v>
          </cell>
          <cell r="H60">
            <v>3</v>
          </cell>
          <cell r="P60">
            <v>18.416666666666661</v>
          </cell>
          <cell r="S60">
            <v>65</v>
          </cell>
          <cell r="T60">
            <v>65</v>
          </cell>
          <cell r="U60">
            <v>0</v>
          </cell>
          <cell r="V60">
            <v>0</v>
          </cell>
          <cell r="W60">
            <v>0</v>
          </cell>
          <cell r="X60">
            <v>0</v>
          </cell>
          <cell r="Y60">
            <v>0</v>
          </cell>
          <cell r="Z60">
            <v>0</v>
          </cell>
          <cell r="AA60">
            <v>0</v>
          </cell>
          <cell r="AB60">
            <v>0</v>
          </cell>
          <cell r="AC60">
            <v>0</v>
          </cell>
          <cell r="AD60">
            <v>0</v>
          </cell>
          <cell r="AE60">
            <v>0</v>
          </cell>
          <cell r="AF60">
            <v>837.81666666666649</v>
          </cell>
          <cell r="AG60">
            <v>338</v>
          </cell>
          <cell r="AH60">
            <v>499.81666666666649</v>
          </cell>
          <cell r="AI60">
            <v>15</v>
          </cell>
          <cell r="AK60">
            <v>427.41666666666663</v>
          </cell>
          <cell r="AL60">
            <v>21.416666666666661</v>
          </cell>
          <cell r="AM60">
            <v>405.99999999999994</v>
          </cell>
          <cell r="AN60">
            <v>406</v>
          </cell>
          <cell r="AO60">
            <v>0</v>
          </cell>
          <cell r="AP60">
            <v>22</v>
          </cell>
          <cell r="AQ60">
            <v>21.416666666666661</v>
          </cell>
          <cell r="AR60">
            <v>383.99999999999994</v>
          </cell>
        </row>
        <row r="61">
          <cell r="F61">
            <v>402</v>
          </cell>
          <cell r="G61">
            <v>179</v>
          </cell>
          <cell r="H61">
            <v>223</v>
          </cell>
          <cell r="P61">
            <v>543.5200000000001</v>
          </cell>
          <cell r="S61">
            <v>975.15727272727281</v>
          </cell>
          <cell r="T61">
            <v>477.82706363636368</v>
          </cell>
          <cell r="U61">
            <v>497.33020909090914</v>
          </cell>
          <cell r="V61">
            <v>191.13181818181818</v>
          </cell>
          <cell r="W61">
            <v>155</v>
          </cell>
          <cell r="X61">
            <v>299.2409090909091</v>
          </cell>
          <cell r="Y61">
            <v>215</v>
          </cell>
          <cell r="Z61">
            <v>84.240909090909099</v>
          </cell>
          <cell r="AA61">
            <v>277.5690909090909</v>
          </cell>
          <cell r="AB61">
            <v>220</v>
          </cell>
          <cell r="AC61">
            <v>291.0418181818182</v>
          </cell>
          <cell r="AD61">
            <v>207</v>
          </cell>
          <cell r="AE61">
            <v>84.041818181818201</v>
          </cell>
          <cell r="AF61">
            <v>1109.0700000000002</v>
          </cell>
          <cell r="AG61">
            <v>1000</v>
          </cell>
          <cell r="AH61">
            <v>109.07000000000016</v>
          </cell>
          <cell r="AI61">
            <v>88</v>
          </cell>
          <cell r="AK61">
            <v>3807.96</v>
          </cell>
          <cell r="AL61">
            <v>1344.52</v>
          </cell>
          <cell r="AM61">
            <v>2463.44</v>
          </cell>
          <cell r="AN61">
            <v>2463.44</v>
          </cell>
          <cell r="AO61">
            <v>422</v>
          </cell>
          <cell r="AP61">
            <v>500</v>
          </cell>
          <cell r="AQ61">
            <v>922.52</v>
          </cell>
          <cell r="AR61">
            <v>1963.44</v>
          </cell>
        </row>
        <row r="62">
          <cell r="F62">
            <v>22</v>
          </cell>
          <cell r="G62">
            <v>10</v>
          </cell>
          <cell r="H62">
            <v>12</v>
          </cell>
          <cell r="P62">
            <v>30</v>
          </cell>
          <cell r="S62">
            <v>54</v>
          </cell>
          <cell r="T62">
            <v>26</v>
          </cell>
          <cell r="U62">
            <v>27</v>
          </cell>
          <cell r="V62">
            <v>11</v>
          </cell>
          <cell r="W62">
            <v>9</v>
          </cell>
          <cell r="X62">
            <v>16</v>
          </cell>
          <cell r="Y62">
            <v>11</v>
          </cell>
          <cell r="Z62">
            <v>5</v>
          </cell>
          <cell r="AA62">
            <v>15</v>
          </cell>
          <cell r="AB62">
            <v>12</v>
          </cell>
          <cell r="AC62">
            <v>16</v>
          </cell>
          <cell r="AD62">
            <v>11</v>
          </cell>
          <cell r="AE62">
            <v>5</v>
          </cell>
          <cell r="AF62">
            <v>61</v>
          </cell>
          <cell r="AG62">
            <v>55</v>
          </cell>
          <cell r="AH62">
            <v>6</v>
          </cell>
          <cell r="AK62">
            <v>209</v>
          </cell>
          <cell r="AL62">
            <v>74</v>
          </cell>
          <cell r="AM62">
            <v>135</v>
          </cell>
          <cell r="AN62">
            <v>136</v>
          </cell>
          <cell r="AO62">
            <v>22</v>
          </cell>
          <cell r="AP62">
            <v>20</v>
          </cell>
          <cell r="AQ62">
            <v>52</v>
          </cell>
          <cell r="AR62">
            <v>115</v>
          </cell>
        </row>
        <row r="63">
          <cell r="F63">
            <v>129</v>
          </cell>
          <cell r="G63">
            <v>57</v>
          </cell>
          <cell r="H63">
            <v>72</v>
          </cell>
          <cell r="P63">
            <v>174</v>
          </cell>
          <cell r="S63">
            <v>312</v>
          </cell>
          <cell r="T63">
            <v>153</v>
          </cell>
          <cell r="U63">
            <v>159</v>
          </cell>
          <cell r="V63">
            <v>61</v>
          </cell>
          <cell r="W63">
            <v>49</v>
          </cell>
          <cell r="X63">
            <v>96</v>
          </cell>
          <cell r="Y63">
            <v>69</v>
          </cell>
          <cell r="Z63">
            <v>27</v>
          </cell>
          <cell r="AA63">
            <v>89</v>
          </cell>
          <cell r="AB63">
            <v>71</v>
          </cell>
          <cell r="AC63">
            <v>93</v>
          </cell>
          <cell r="AD63">
            <v>66</v>
          </cell>
          <cell r="AE63">
            <v>27</v>
          </cell>
          <cell r="AF63">
            <v>355</v>
          </cell>
          <cell r="AG63">
            <v>320</v>
          </cell>
          <cell r="AH63">
            <v>35</v>
          </cell>
          <cell r="AK63">
            <v>1219</v>
          </cell>
          <cell r="AL63">
            <v>430</v>
          </cell>
          <cell r="AM63">
            <v>789</v>
          </cell>
          <cell r="AN63">
            <v>789</v>
          </cell>
          <cell r="AO63">
            <v>0</v>
          </cell>
          <cell r="AP63">
            <v>0</v>
          </cell>
          <cell r="AQ63">
            <v>0</v>
          </cell>
          <cell r="AR63">
            <v>0</v>
          </cell>
        </row>
        <row r="64">
          <cell r="F64">
            <v>0</v>
          </cell>
          <cell r="G64">
            <v>0</v>
          </cell>
          <cell r="P64">
            <v>0</v>
          </cell>
          <cell r="T64">
            <v>18</v>
          </cell>
          <cell r="U64">
            <v>95</v>
          </cell>
          <cell r="V64">
            <v>0</v>
          </cell>
          <cell r="X64">
            <v>0</v>
          </cell>
          <cell r="AH64">
            <v>0</v>
          </cell>
          <cell r="AI64">
            <v>0</v>
          </cell>
          <cell r="AJ64">
            <v>0</v>
          </cell>
          <cell r="AK64">
            <v>0</v>
          </cell>
          <cell r="AN64">
            <v>0</v>
          </cell>
          <cell r="AO64">
            <v>79</v>
          </cell>
          <cell r="AP64">
            <v>87</v>
          </cell>
          <cell r="AQ64">
            <v>61</v>
          </cell>
          <cell r="AR64">
            <v>132</v>
          </cell>
        </row>
        <row r="65">
          <cell r="F65">
            <v>92</v>
          </cell>
          <cell r="G65">
            <v>41</v>
          </cell>
          <cell r="H65">
            <v>51</v>
          </cell>
          <cell r="P65">
            <v>361</v>
          </cell>
          <cell r="S65">
            <v>549</v>
          </cell>
          <cell r="T65">
            <v>87.84</v>
          </cell>
          <cell r="U65">
            <v>461.15999999999997</v>
          </cell>
          <cell r="V65">
            <v>551</v>
          </cell>
          <cell r="W65">
            <v>447</v>
          </cell>
          <cell r="X65">
            <v>500.33333333333337</v>
          </cell>
          <cell r="Y65">
            <v>359</v>
          </cell>
          <cell r="Z65">
            <v>141.33333333333337</v>
          </cell>
          <cell r="AA65">
            <v>573</v>
          </cell>
          <cell r="AB65">
            <v>455</v>
          </cell>
          <cell r="AC65">
            <v>406</v>
          </cell>
          <cell r="AD65">
            <v>289</v>
          </cell>
          <cell r="AE65">
            <v>117</v>
          </cell>
          <cell r="AF65">
            <v>585</v>
          </cell>
          <cell r="AG65">
            <v>585</v>
          </cell>
          <cell r="AH65">
            <v>0</v>
          </cell>
          <cell r="AK65">
            <v>2493.3333333333335</v>
          </cell>
          <cell r="AL65">
            <v>1050</v>
          </cell>
          <cell r="AM65">
            <v>1443.3333333333335</v>
          </cell>
          <cell r="AN65">
            <v>1443.3333333333335</v>
          </cell>
          <cell r="AO65">
            <v>648</v>
          </cell>
          <cell r="AP65">
            <v>445</v>
          </cell>
          <cell r="AQ65">
            <v>402</v>
          </cell>
          <cell r="AR65">
            <v>998.33333333333348</v>
          </cell>
        </row>
        <row r="66">
          <cell r="F66">
            <v>0</v>
          </cell>
          <cell r="G66">
            <v>0</v>
          </cell>
          <cell r="P66">
            <v>0</v>
          </cell>
          <cell r="S66">
            <v>0</v>
          </cell>
          <cell r="T66">
            <v>9</v>
          </cell>
          <cell r="U66">
            <v>46</v>
          </cell>
          <cell r="X66">
            <v>0</v>
          </cell>
          <cell r="AC66">
            <v>0</v>
          </cell>
          <cell r="AD66">
            <v>0</v>
          </cell>
          <cell r="AH66">
            <v>0</v>
          </cell>
          <cell r="AK66">
            <v>0</v>
          </cell>
          <cell r="AL66">
            <v>0</v>
          </cell>
          <cell r="AM66">
            <v>0</v>
          </cell>
          <cell r="AN66">
            <v>0</v>
          </cell>
          <cell r="AO66">
            <v>65</v>
          </cell>
          <cell r="AP66">
            <v>45</v>
          </cell>
          <cell r="AQ66">
            <v>40</v>
          </cell>
          <cell r="AR66">
            <v>100</v>
          </cell>
        </row>
        <row r="67">
          <cell r="F67">
            <v>84</v>
          </cell>
          <cell r="G67">
            <v>37</v>
          </cell>
          <cell r="H67">
            <v>47</v>
          </cell>
          <cell r="P67">
            <v>361</v>
          </cell>
          <cell r="S67">
            <v>549</v>
          </cell>
          <cell r="T67">
            <v>162.16</v>
          </cell>
          <cell r="U67">
            <v>850.84</v>
          </cell>
          <cell r="V67">
            <v>80</v>
          </cell>
          <cell r="X67">
            <v>8.5</v>
          </cell>
          <cell r="Y67">
            <v>368</v>
          </cell>
          <cell r="Z67">
            <v>195</v>
          </cell>
          <cell r="AA67">
            <v>300</v>
          </cell>
          <cell r="AC67">
            <v>229.5</v>
          </cell>
          <cell r="AD67">
            <v>423</v>
          </cell>
          <cell r="AE67">
            <v>290</v>
          </cell>
          <cell r="AF67">
            <v>202</v>
          </cell>
          <cell r="AG67">
            <v>119</v>
          </cell>
          <cell r="AH67">
            <v>83</v>
          </cell>
          <cell r="AI67">
            <v>0</v>
          </cell>
          <cell r="AJ67">
            <v>0</v>
          </cell>
          <cell r="AK67">
            <v>1351</v>
          </cell>
          <cell r="AL67">
            <v>398</v>
          </cell>
          <cell r="AM67">
            <v>953</v>
          </cell>
          <cell r="AN67">
            <v>715</v>
          </cell>
          <cell r="AO67">
            <v>712</v>
          </cell>
          <cell r="AP67">
            <v>151</v>
          </cell>
          <cell r="AQ67">
            <v>550</v>
          </cell>
          <cell r="AR67">
            <v>1188</v>
          </cell>
        </row>
        <row r="68">
          <cell r="F68">
            <v>0</v>
          </cell>
          <cell r="G68">
            <v>0</v>
          </cell>
          <cell r="H68">
            <v>207</v>
          </cell>
          <cell r="P68">
            <v>0</v>
          </cell>
          <cell r="S68">
            <v>0</v>
          </cell>
          <cell r="T68">
            <v>371.75</v>
          </cell>
          <cell r="U68">
            <v>1115.25</v>
          </cell>
          <cell r="V68">
            <v>0</v>
          </cell>
          <cell r="X68">
            <v>0</v>
          </cell>
          <cell r="Y68">
            <v>1801</v>
          </cell>
          <cell r="Z68">
            <v>953</v>
          </cell>
          <cell r="AA68">
            <v>0</v>
          </cell>
          <cell r="AB68">
            <v>0</v>
          </cell>
          <cell r="AC68">
            <v>0</v>
          </cell>
          <cell r="AD68">
            <v>0</v>
          </cell>
          <cell r="AE68">
            <v>555</v>
          </cell>
          <cell r="AF68">
            <v>1173</v>
          </cell>
          <cell r="AG68">
            <v>1100</v>
          </cell>
          <cell r="AH68">
            <v>0</v>
          </cell>
          <cell r="AK68">
            <v>0</v>
          </cell>
          <cell r="AL68">
            <v>0</v>
          </cell>
          <cell r="AM68">
            <v>0</v>
          </cell>
          <cell r="AN68">
            <v>0</v>
          </cell>
          <cell r="AO68">
            <v>2610</v>
          </cell>
          <cell r="AP68">
            <v>0</v>
          </cell>
          <cell r="AQ68">
            <v>700</v>
          </cell>
          <cell r="AR68">
            <v>2290</v>
          </cell>
        </row>
        <row r="69">
          <cell r="F69">
            <v>0</v>
          </cell>
          <cell r="G69">
            <v>0</v>
          </cell>
          <cell r="H69">
            <v>4</v>
          </cell>
          <cell r="P69">
            <v>0</v>
          </cell>
          <cell r="S69">
            <v>0</v>
          </cell>
          <cell r="T69">
            <v>78.84</v>
          </cell>
          <cell r="U69">
            <v>415.15999999999997</v>
          </cell>
          <cell r="V69">
            <v>471</v>
          </cell>
          <cell r="W69">
            <v>447</v>
          </cell>
          <cell r="X69">
            <v>491.83333333333337</v>
          </cell>
          <cell r="Y69">
            <v>359</v>
          </cell>
          <cell r="Z69">
            <v>141.33333333333337</v>
          </cell>
          <cell r="AA69">
            <v>273</v>
          </cell>
          <cell r="AB69">
            <v>455</v>
          </cell>
          <cell r="AC69">
            <v>176.5</v>
          </cell>
          <cell r="AD69">
            <v>289</v>
          </cell>
          <cell r="AE69">
            <v>117</v>
          </cell>
          <cell r="AF69">
            <v>383</v>
          </cell>
          <cell r="AG69">
            <v>383</v>
          </cell>
          <cell r="AH69">
            <v>0</v>
          </cell>
          <cell r="AK69">
            <v>1051.3333333333335</v>
          </cell>
          <cell r="AL69">
            <v>323</v>
          </cell>
          <cell r="AM69">
            <v>812.09090909090924</v>
          </cell>
          <cell r="AN69">
            <v>645.33333333333337</v>
          </cell>
          <cell r="AO69">
            <v>583</v>
          </cell>
          <cell r="AP69">
            <v>249</v>
          </cell>
          <cell r="AQ69">
            <v>362</v>
          </cell>
          <cell r="AR69">
            <v>898.33333333333348</v>
          </cell>
        </row>
        <row r="70">
          <cell r="F70">
            <v>204</v>
          </cell>
          <cell r="G70">
            <v>91</v>
          </cell>
          <cell r="H70">
            <v>113</v>
          </cell>
          <cell r="P70">
            <v>744.6</v>
          </cell>
          <cell r="S70">
            <v>1219.75</v>
          </cell>
          <cell r="T70">
            <v>304.9375</v>
          </cell>
          <cell r="U70">
            <v>914.8125</v>
          </cell>
          <cell r="V70">
            <v>1070</v>
          </cell>
          <cell r="W70">
            <v>868</v>
          </cell>
          <cell r="X70">
            <v>1767.1499999999999</v>
          </cell>
          <cell r="Y70">
            <v>1269</v>
          </cell>
          <cell r="Z70">
            <v>498.14999999999986</v>
          </cell>
          <cell r="AA70">
            <v>1777</v>
          </cell>
          <cell r="AB70">
            <v>1410</v>
          </cell>
          <cell r="AC70">
            <v>768.7</v>
          </cell>
          <cell r="AD70">
            <v>547</v>
          </cell>
          <cell r="AE70">
            <v>221.70000000000005</v>
          </cell>
          <cell r="AF70">
            <v>899</v>
          </cell>
          <cell r="AG70">
            <v>899</v>
          </cell>
          <cell r="AH70">
            <v>0</v>
          </cell>
          <cell r="AK70">
            <v>5603.2</v>
          </cell>
          <cell r="AL70">
            <v>2651.6</v>
          </cell>
          <cell r="AM70">
            <v>2951.6</v>
          </cell>
          <cell r="AN70">
            <v>2951.6</v>
          </cell>
          <cell r="AO70">
            <v>1816</v>
          </cell>
          <cell r="AP70">
            <v>1135</v>
          </cell>
          <cell r="AQ70">
            <v>835.59999999999991</v>
          </cell>
          <cell r="AR70">
            <v>1816.6</v>
          </cell>
        </row>
        <row r="71">
          <cell r="F71">
            <v>0</v>
          </cell>
          <cell r="G71">
            <v>0</v>
          </cell>
          <cell r="H71">
            <v>0</v>
          </cell>
          <cell r="P71">
            <v>90</v>
          </cell>
          <cell r="S71">
            <v>419.63636363636363</v>
          </cell>
          <cell r="V71">
            <v>333.81818181818181</v>
          </cell>
          <cell r="W71">
            <v>271</v>
          </cell>
          <cell r="X71">
            <v>242.90909090909091</v>
          </cell>
          <cell r="Y71">
            <v>174</v>
          </cell>
          <cell r="Z71">
            <v>68.909090909090907</v>
          </cell>
          <cell r="AA71">
            <v>157.09090909090909</v>
          </cell>
          <cell r="AB71">
            <v>125</v>
          </cell>
          <cell r="AC71">
            <v>149.81818181818181</v>
          </cell>
          <cell r="AD71">
            <v>107</v>
          </cell>
          <cell r="AE71">
            <v>42.818181818181813</v>
          </cell>
          <cell r="AF71">
            <v>136</v>
          </cell>
          <cell r="AG71">
            <v>136</v>
          </cell>
          <cell r="AH71">
            <v>0</v>
          </cell>
          <cell r="AK71">
            <v>1038.3636363636363</v>
          </cell>
          <cell r="AL71">
            <v>371</v>
          </cell>
          <cell r="AM71">
            <v>667.36363636363626</v>
          </cell>
          <cell r="AN71">
            <v>667.36363636363626</v>
          </cell>
        </row>
        <row r="72">
          <cell r="F72">
            <v>0</v>
          </cell>
          <cell r="G72">
            <v>0</v>
          </cell>
          <cell r="H72">
            <v>0</v>
          </cell>
          <cell r="P72">
            <v>5</v>
          </cell>
          <cell r="S72">
            <v>23</v>
          </cell>
          <cell r="V72">
            <v>18</v>
          </cell>
          <cell r="W72">
            <v>15</v>
          </cell>
          <cell r="X72">
            <v>13</v>
          </cell>
          <cell r="Y72">
            <v>9</v>
          </cell>
          <cell r="Z72">
            <v>4</v>
          </cell>
          <cell r="AA72">
            <v>9</v>
          </cell>
          <cell r="AB72">
            <v>7</v>
          </cell>
          <cell r="AC72">
            <v>8</v>
          </cell>
          <cell r="AD72">
            <v>6</v>
          </cell>
          <cell r="AE72">
            <v>2</v>
          </cell>
          <cell r="AF72">
            <v>7</v>
          </cell>
          <cell r="AG72">
            <v>7</v>
          </cell>
          <cell r="AH72">
            <v>0</v>
          </cell>
          <cell r="AK72">
            <v>56</v>
          </cell>
          <cell r="AL72">
            <v>20</v>
          </cell>
          <cell r="AM72">
            <v>36</v>
          </cell>
          <cell r="AN72">
            <v>36</v>
          </cell>
        </row>
        <row r="73">
          <cell r="F73">
            <v>0</v>
          </cell>
          <cell r="G73">
            <v>0</v>
          </cell>
          <cell r="H73">
            <v>0</v>
          </cell>
          <cell r="P73">
            <v>29</v>
          </cell>
          <cell r="S73">
            <v>134</v>
          </cell>
          <cell r="V73">
            <v>107</v>
          </cell>
          <cell r="W73">
            <v>87</v>
          </cell>
          <cell r="X73">
            <v>78</v>
          </cell>
          <cell r="Y73">
            <v>56</v>
          </cell>
          <cell r="Z73">
            <v>22</v>
          </cell>
          <cell r="AA73">
            <v>50</v>
          </cell>
          <cell r="AB73">
            <v>40</v>
          </cell>
          <cell r="AC73">
            <v>49</v>
          </cell>
          <cell r="AD73">
            <v>35</v>
          </cell>
          <cell r="AE73">
            <v>14</v>
          </cell>
          <cell r="AF73">
            <v>44</v>
          </cell>
          <cell r="AG73">
            <v>44</v>
          </cell>
          <cell r="AH73">
            <v>0</v>
          </cell>
          <cell r="AK73">
            <v>334</v>
          </cell>
          <cell r="AL73">
            <v>120</v>
          </cell>
          <cell r="AM73">
            <v>214</v>
          </cell>
          <cell r="AN73">
            <v>214</v>
          </cell>
        </row>
        <row r="74">
          <cell r="F74">
            <v>0</v>
          </cell>
          <cell r="G74">
            <v>0</v>
          </cell>
          <cell r="P74">
            <v>78</v>
          </cell>
          <cell r="S74">
            <v>0</v>
          </cell>
          <cell r="V74">
            <v>0</v>
          </cell>
          <cell r="X74">
            <v>0</v>
          </cell>
          <cell r="Z74">
            <v>0</v>
          </cell>
          <cell r="AA74">
            <v>0</v>
          </cell>
          <cell r="AC74">
            <v>0</v>
          </cell>
          <cell r="AD74">
            <v>0</v>
          </cell>
          <cell r="AE74">
            <v>0</v>
          </cell>
          <cell r="AF74">
            <v>0</v>
          </cell>
          <cell r="AG74">
            <v>0</v>
          </cell>
          <cell r="AH74">
            <v>0</v>
          </cell>
          <cell r="AK74">
            <v>0</v>
          </cell>
          <cell r="AL74">
            <v>0</v>
          </cell>
          <cell r="AM74">
            <v>0</v>
          </cell>
          <cell r="AN74">
            <v>0</v>
          </cell>
        </row>
        <row r="75">
          <cell r="F75">
            <v>1689</v>
          </cell>
          <cell r="G75">
            <v>0</v>
          </cell>
          <cell r="H75">
            <v>1029</v>
          </cell>
          <cell r="P75">
            <v>744.6</v>
          </cell>
          <cell r="S75">
            <v>0</v>
          </cell>
          <cell r="T75">
            <v>100.54</v>
          </cell>
          <cell r="U75">
            <v>324.79333333333335</v>
          </cell>
          <cell r="V75">
            <v>0</v>
          </cell>
          <cell r="W75">
            <v>0</v>
          </cell>
          <cell r="X75">
            <v>0</v>
          </cell>
          <cell r="Y75">
            <v>0</v>
          </cell>
          <cell r="Z75">
            <v>0</v>
          </cell>
          <cell r="AA75">
            <v>0</v>
          </cell>
          <cell r="AB75">
            <v>0</v>
          </cell>
          <cell r="AC75">
            <v>0</v>
          </cell>
          <cell r="AD75">
            <v>0</v>
          </cell>
          <cell r="AE75">
            <v>0</v>
          </cell>
          <cell r="AF75">
            <v>0</v>
          </cell>
          <cell r="AG75">
            <v>0</v>
          </cell>
          <cell r="AH75">
            <v>0</v>
          </cell>
          <cell r="AI75">
            <v>59.2</v>
          </cell>
          <cell r="AK75">
            <v>744.6</v>
          </cell>
          <cell r="AL75">
            <v>744.6</v>
          </cell>
          <cell r="AM75">
            <v>0</v>
          </cell>
          <cell r="AN75">
            <v>0</v>
          </cell>
          <cell r="AO75">
            <v>115</v>
          </cell>
          <cell r="AP75">
            <v>213</v>
          </cell>
          <cell r="AQ75">
            <v>960.66666666666652</v>
          </cell>
          <cell r="AR75">
            <v>1708.3333333333335</v>
          </cell>
        </row>
        <row r="76">
          <cell r="F76">
            <v>83</v>
          </cell>
          <cell r="G76">
            <v>0</v>
          </cell>
          <cell r="H76">
            <v>51</v>
          </cell>
          <cell r="P76">
            <v>289</v>
          </cell>
          <cell r="S76">
            <v>1765.45</v>
          </cell>
          <cell r="T76">
            <v>0</v>
          </cell>
          <cell r="U76">
            <v>0</v>
          </cell>
          <cell r="V76">
            <v>0</v>
          </cell>
          <cell r="X76">
            <v>0</v>
          </cell>
          <cell r="Y76">
            <v>0</v>
          </cell>
          <cell r="Z76">
            <v>0</v>
          </cell>
          <cell r="AA76">
            <v>0</v>
          </cell>
          <cell r="AB76">
            <v>0</v>
          </cell>
          <cell r="AC76">
            <v>0</v>
          </cell>
          <cell r="AD76">
            <v>0</v>
          </cell>
          <cell r="AE76">
            <v>0</v>
          </cell>
          <cell r="AH76">
            <v>0</v>
          </cell>
          <cell r="AK76">
            <v>2054.4499999999998</v>
          </cell>
          <cell r="AL76">
            <v>289</v>
          </cell>
          <cell r="AM76">
            <v>1765.4499999999998</v>
          </cell>
          <cell r="AN76">
            <v>1765.45</v>
          </cell>
          <cell r="AO76">
            <v>0</v>
          </cell>
          <cell r="AP76">
            <v>0</v>
          </cell>
          <cell r="AQ76">
            <v>32</v>
          </cell>
          <cell r="AR76">
            <v>51</v>
          </cell>
        </row>
        <row r="77">
          <cell r="F77">
            <v>2982</v>
          </cell>
          <cell r="G77">
            <v>1718</v>
          </cell>
          <cell r="H77">
            <v>1264</v>
          </cell>
          <cell r="P77">
            <v>98.883333333333326</v>
          </cell>
          <cell r="S77">
            <v>231.42499999999998</v>
          </cell>
          <cell r="T77">
            <v>85.458999999999975</v>
          </cell>
          <cell r="U77">
            <v>145.96600000000001</v>
          </cell>
          <cell r="V77">
            <v>110</v>
          </cell>
          <cell r="W77">
            <v>89</v>
          </cell>
          <cell r="X77">
            <v>98.11666666666666</v>
          </cell>
          <cell r="Y77">
            <v>70</v>
          </cell>
          <cell r="Z77">
            <v>28.11666666666666</v>
          </cell>
          <cell r="AA77">
            <v>119</v>
          </cell>
          <cell r="AB77">
            <v>80</v>
          </cell>
          <cell r="AC77">
            <v>63.466666666666669</v>
          </cell>
          <cell r="AD77">
            <v>45</v>
          </cell>
          <cell r="AE77">
            <v>18.466666666666669</v>
          </cell>
          <cell r="AF77">
            <v>193.38333333333335</v>
          </cell>
          <cell r="AG77">
            <v>176.29000000000002</v>
          </cell>
          <cell r="AH77">
            <v>17.093333333333334</v>
          </cell>
          <cell r="AI77">
            <v>59</v>
          </cell>
          <cell r="AK77">
            <v>4155.1816666666673</v>
          </cell>
          <cell r="AL77">
            <v>2234.8833333333332</v>
          </cell>
          <cell r="AM77">
            <v>1920.2983333333341</v>
          </cell>
          <cell r="AN77">
            <v>1920.2983333333332</v>
          </cell>
          <cell r="AO77">
            <v>115</v>
          </cell>
          <cell r="AP77">
            <v>125</v>
          </cell>
          <cell r="AQ77">
            <v>1727.8833333333332</v>
          </cell>
          <cell r="AR77">
            <v>1795.2983333333341</v>
          </cell>
        </row>
        <row r="78">
          <cell r="F78">
            <v>160</v>
          </cell>
          <cell r="G78">
            <v>71</v>
          </cell>
          <cell r="H78">
            <v>89</v>
          </cell>
          <cell r="P78">
            <v>66</v>
          </cell>
          <cell r="S78">
            <v>152.33333333333334</v>
          </cell>
          <cell r="T78">
            <v>0</v>
          </cell>
          <cell r="U78">
            <v>0</v>
          </cell>
          <cell r="W78">
            <v>0</v>
          </cell>
          <cell r="X78">
            <v>0</v>
          </cell>
          <cell r="Y78">
            <v>0</v>
          </cell>
          <cell r="Z78">
            <v>0</v>
          </cell>
          <cell r="AA78">
            <v>18</v>
          </cell>
          <cell r="AC78">
            <v>18</v>
          </cell>
          <cell r="AD78">
            <v>51</v>
          </cell>
          <cell r="AE78">
            <v>0</v>
          </cell>
          <cell r="AF78">
            <v>141</v>
          </cell>
          <cell r="AG78">
            <v>119</v>
          </cell>
          <cell r="AH78">
            <v>0</v>
          </cell>
          <cell r="AK78">
            <v>160</v>
          </cell>
          <cell r="AL78">
            <v>71</v>
          </cell>
          <cell r="AM78">
            <v>89</v>
          </cell>
          <cell r="AN78">
            <v>89</v>
          </cell>
          <cell r="AO78">
            <v>0</v>
          </cell>
          <cell r="AP78">
            <v>0</v>
          </cell>
          <cell r="AQ78">
            <v>71</v>
          </cell>
          <cell r="AR78">
            <v>89</v>
          </cell>
        </row>
        <row r="79">
          <cell r="F79">
            <v>2822</v>
          </cell>
          <cell r="G79">
            <v>1255</v>
          </cell>
          <cell r="H79">
            <v>1567</v>
          </cell>
          <cell r="P79">
            <v>98.883333333333326</v>
          </cell>
          <cell r="S79">
            <v>231.42499999999998</v>
          </cell>
          <cell r="T79">
            <v>85.458999999999975</v>
          </cell>
          <cell r="U79">
            <v>145.96600000000001</v>
          </cell>
          <cell r="V79">
            <v>110</v>
          </cell>
          <cell r="W79">
            <v>89</v>
          </cell>
          <cell r="X79">
            <v>98.11666666666666</v>
          </cell>
          <cell r="Y79">
            <v>70</v>
          </cell>
          <cell r="Z79">
            <v>28.11666666666666</v>
          </cell>
          <cell r="AA79">
            <v>101</v>
          </cell>
          <cell r="AB79">
            <v>80</v>
          </cell>
          <cell r="AC79">
            <v>63.466666666666669</v>
          </cell>
          <cell r="AD79">
            <v>45</v>
          </cell>
          <cell r="AE79">
            <v>18.466666666666669</v>
          </cell>
          <cell r="AF79">
            <v>193.38333333333335</v>
          </cell>
          <cell r="AG79">
            <v>176.29000000000002</v>
          </cell>
          <cell r="AH79">
            <v>17.093333333333334</v>
          </cell>
          <cell r="AK79">
            <v>3995.1816666666668</v>
          </cell>
          <cell r="AL79">
            <v>1771.8833333333332</v>
          </cell>
          <cell r="AM79">
            <v>2223.2983333333336</v>
          </cell>
          <cell r="AN79">
            <v>2223.2983333333332</v>
          </cell>
          <cell r="AO79">
            <v>115</v>
          </cell>
          <cell r="AP79">
            <v>125</v>
          </cell>
          <cell r="AQ79">
            <v>1656.8833333333332</v>
          </cell>
          <cell r="AR79">
            <v>2098.2983333333336</v>
          </cell>
        </row>
        <row r="80">
          <cell r="F80">
            <v>627</v>
          </cell>
          <cell r="G80">
            <v>279</v>
          </cell>
          <cell r="H80">
            <v>348</v>
          </cell>
          <cell r="P80">
            <v>63.75</v>
          </cell>
          <cell r="S80">
            <v>129.48333333333329</v>
          </cell>
          <cell r="T80">
            <v>85.458999999999975</v>
          </cell>
          <cell r="U80">
            <v>44.024333333333317</v>
          </cell>
          <cell r="V80">
            <v>74</v>
          </cell>
          <cell r="W80">
            <v>60</v>
          </cell>
          <cell r="X80">
            <v>61</v>
          </cell>
          <cell r="Y80">
            <v>44</v>
          </cell>
          <cell r="Z80">
            <v>17</v>
          </cell>
          <cell r="AA80">
            <v>36</v>
          </cell>
          <cell r="AB80">
            <v>29</v>
          </cell>
          <cell r="AC80">
            <v>24.65</v>
          </cell>
          <cell r="AD80">
            <v>14</v>
          </cell>
          <cell r="AE80">
            <v>10.649999999999999</v>
          </cell>
          <cell r="AF80">
            <v>119.85</v>
          </cell>
          <cell r="AG80">
            <v>127</v>
          </cell>
          <cell r="AH80">
            <v>-7.1500000000000057</v>
          </cell>
          <cell r="AI80">
            <v>18.600000000000001</v>
          </cell>
          <cell r="AK80">
            <v>1217.8833333333334</v>
          </cell>
          <cell r="AL80">
            <v>564.75</v>
          </cell>
          <cell r="AM80">
            <v>653.13333333333344</v>
          </cell>
          <cell r="AN80">
            <v>653.13333333333333</v>
          </cell>
          <cell r="AR80">
            <v>653.13333333333344</v>
          </cell>
        </row>
        <row r="81">
          <cell r="F81">
            <v>33</v>
          </cell>
          <cell r="G81">
            <v>15</v>
          </cell>
          <cell r="H81">
            <v>18</v>
          </cell>
          <cell r="P81">
            <v>0</v>
          </cell>
          <cell r="S81">
            <v>0</v>
          </cell>
          <cell r="X81">
            <v>25</v>
          </cell>
          <cell r="AC81">
            <v>32</v>
          </cell>
          <cell r="AF81">
            <v>39.666666666666664</v>
          </cell>
          <cell r="AG81">
            <v>26</v>
          </cell>
          <cell r="AH81">
            <v>13.666666666666664</v>
          </cell>
          <cell r="AI81">
            <v>15.3</v>
          </cell>
          <cell r="AK81">
            <v>342</v>
          </cell>
          <cell r="AL81">
            <v>148</v>
          </cell>
          <cell r="AM81">
            <v>194</v>
          </cell>
          <cell r="AN81">
            <v>194</v>
          </cell>
          <cell r="AR81">
            <v>194</v>
          </cell>
        </row>
        <row r="82">
          <cell r="F82">
            <v>265</v>
          </cell>
          <cell r="G82">
            <v>118</v>
          </cell>
          <cell r="H82">
            <v>147</v>
          </cell>
          <cell r="P82">
            <v>7.0833333333333348</v>
          </cell>
          <cell r="S82">
            <v>72</v>
          </cell>
          <cell r="T82">
            <v>33</v>
          </cell>
          <cell r="U82">
            <v>17</v>
          </cell>
          <cell r="V82">
            <v>11</v>
          </cell>
          <cell r="W82">
            <v>9</v>
          </cell>
          <cell r="X82">
            <v>15.866666666666662</v>
          </cell>
          <cell r="AA82">
            <v>26</v>
          </cell>
          <cell r="AB82">
            <v>21</v>
          </cell>
          <cell r="AC82">
            <v>11.616666666666664</v>
          </cell>
          <cell r="AF82">
            <v>38.816666666666677</v>
          </cell>
          <cell r="AG82">
            <v>23.290000000000006</v>
          </cell>
          <cell r="AH82">
            <v>15.526666666666671</v>
          </cell>
          <cell r="AK82">
            <v>397.85666666666668</v>
          </cell>
          <cell r="AL82">
            <v>127.08333333333333</v>
          </cell>
          <cell r="AM82">
            <v>270.77333333333337</v>
          </cell>
          <cell r="AN82">
            <v>243.29000000000002</v>
          </cell>
        </row>
        <row r="83">
          <cell r="F83">
            <v>535</v>
          </cell>
          <cell r="G83">
            <v>238</v>
          </cell>
          <cell r="H83">
            <v>297</v>
          </cell>
          <cell r="P83">
            <v>28.05</v>
          </cell>
          <cell r="S83">
            <v>29.941666666666681</v>
          </cell>
          <cell r="T83">
            <v>33.660000000000004</v>
          </cell>
          <cell r="U83">
            <v>17.339999999999996</v>
          </cell>
          <cell r="V83">
            <v>25</v>
          </cell>
          <cell r="W83">
            <v>20</v>
          </cell>
          <cell r="X83">
            <v>21.25</v>
          </cell>
          <cell r="AA83">
            <v>39</v>
          </cell>
          <cell r="AB83">
            <v>31</v>
          </cell>
          <cell r="AC83">
            <v>27.2</v>
          </cell>
          <cell r="AF83">
            <v>33.716666666666676</v>
          </cell>
          <cell r="AG83">
            <v>26</v>
          </cell>
          <cell r="AH83">
            <v>7.7166666666666757</v>
          </cell>
          <cell r="AK83">
            <v>675.44166666666672</v>
          </cell>
          <cell r="AL83">
            <v>270.05</v>
          </cell>
          <cell r="AM83">
            <v>405.39166666666671</v>
          </cell>
          <cell r="AN83">
            <v>356.94166666666666</v>
          </cell>
        </row>
        <row r="84">
          <cell r="F84">
            <v>881</v>
          </cell>
          <cell r="G84">
            <v>392</v>
          </cell>
          <cell r="H84">
            <v>489</v>
          </cell>
          <cell r="P84">
            <v>2512.62</v>
          </cell>
          <cell r="Q84">
            <v>0</v>
          </cell>
          <cell r="R84">
            <v>0</v>
          </cell>
          <cell r="S84">
            <v>9258.7648484848487</v>
          </cell>
          <cell r="T84">
            <v>5700.9847757575753</v>
          </cell>
          <cell r="U84">
            <v>3557.7800727272729</v>
          </cell>
          <cell r="X84">
            <v>17486.169696969697</v>
          </cell>
          <cell r="Y84">
            <v>11436</v>
          </cell>
          <cell r="Z84">
            <v>6050.1696969696977</v>
          </cell>
          <cell r="AA84">
            <v>0</v>
          </cell>
          <cell r="AB84">
            <v>0</v>
          </cell>
          <cell r="AC84">
            <v>13595.361818181818</v>
          </cell>
          <cell r="AD84">
            <v>8063</v>
          </cell>
          <cell r="AE84">
            <v>5532.3618181818183</v>
          </cell>
          <cell r="AF84">
            <v>4470.8927272727269</v>
          </cell>
          <cell r="AG84">
            <v>3519</v>
          </cell>
          <cell r="AH84">
            <v>952.89272727272737</v>
          </cell>
          <cell r="AI84">
            <v>783.2</v>
          </cell>
          <cell r="AK84">
            <v>881</v>
          </cell>
          <cell r="AL84">
            <v>392</v>
          </cell>
          <cell r="AM84">
            <v>489</v>
          </cell>
          <cell r="AN84">
            <v>489</v>
          </cell>
          <cell r="AO84">
            <v>19380</v>
          </cell>
          <cell r="AP84">
            <v>16419</v>
          </cell>
          <cell r="AQ84">
            <v>4052.62</v>
          </cell>
          <cell r="AR84">
            <v>9718.3963636363642</v>
          </cell>
        </row>
        <row r="85">
          <cell r="F85">
            <v>13</v>
          </cell>
          <cell r="G85">
            <v>0</v>
          </cell>
          <cell r="H85">
            <v>0</v>
          </cell>
          <cell r="P85">
            <v>18</v>
          </cell>
          <cell r="Q85">
            <v>0</v>
          </cell>
          <cell r="R85">
            <v>0</v>
          </cell>
          <cell r="S85">
            <v>7.5</v>
          </cell>
          <cell r="T85">
            <v>452.808109090909</v>
          </cell>
          <cell r="U85">
            <v>471.29007272727262</v>
          </cell>
          <cell r="V85">
            <v>0</v>
          </cell>
          <cell r="W85">
            <v>0</v>
          </cell>
          <cell r="X85">
            <v>5</v>
          </cell>
          <cell r="Y85">
            <v>351</v>
          </cell>
          <cell r="Z85">
            <v>185.2</v>
          </cell>
          <cell r="AA85">
            <v>4</v>
          </cell>
          <cell r="AB85">
            <v>0</v>
          </cell>
          <cell r="AC85">
            <v>1.7</v>
          </cell>
          <cell r="AD85">
            <v>253</v>
          </cell>
          <cell r="AE85">
            <v>174.18</v>
          </cell>
          <cell r="AF85">
            <v>85</v>
          </cell>
          <cell r="AG85">
            <v>85</v>
          </cell>
          <cell r="AH85">
            <v>0</v>
          </cell>
          <cell r="AI85">
            <v>274</v>
          </cell>
          <cell r="AK85">
            <v>118.2</v>
          </cell>
          <cell r="AL85">
            <v>19</v>
          </cell>
          <cell r="AM85">
            <v>99.2</v>
          </cell>
          <cell r="AN85">
            <v>92.5</v>
          </cell>
        </row>
        <row r="86">
          <cell r="F86">
            <v>4573</v>
          </cell>
          <cell r="G86">
            <v>2426</v>
          </cell>
          <cell r="H86">
            <v>2147</v>
          </cell>
          <cell r="P86">
            <v>2143.7866666666664</v>
          </cell>
          <cell r="Q86">
            <v>0</v>
          </cell>
          <cell r="R86">
            <v>0</v>
          </cell>
          <cell r="S86">
            <v>8033.9989393939386</v>
          </cell>
          <cell r="T86">
            <v>5158.0368969696974</v>
          </cell>
          <cell r="U86">
            <v>2874.9620424242421</v>
          </cell>
          <cell r="V86">
            <v>14476.131818181819</v>
          </cell>
          <cell r="W86">
            <v>11744</v>
          </cell>
          <cell r="X86">
            <v>15812.24090909091</v>
          </cell>
          <cell r="Y86">
            <v>11356</v>
          </cell>
          <cell r="Z86">
            <v>4456.2409090909096</v>
          </cell>
          <cell r="AA86">
            <v>0</v>
          </cell>
          <cell r="AB86">
            <v>0</v>
          </cell>
          <cell r="AC86">
            <v>12605.875151515153</v>
          </cell>
          <cell r="AD86">
            <v>8968</v>
          </cell>
          <cell r="AE86">
            <v>3637.8751515151521</v>
          </cell>
          <cell r="AF86">
            <v>4836.4533333333329</v>
          </cell>
          <cell r="AG86">
            <v>3979.54</v>
          </cell>
          <cell r="AH86">
            <v>856.9133333333333</v>
          </cell>
          <cell r="AK86">
            <v>48266.441666666666</v>
          </cell>
          <cell r="AL86">
            <v>25519.786666666667</v>
          </cell>
          <cell r="AM86">
            <v>22746.654999999999</v>
          </cell>
          <cell r="AN86">
            <v>22747.655000000002</v>
          </cell>
          <cell r="AO86">
            <v>20189</v>
          </cell>
          <cell r="AP86">
            <v>12601</v>
          </cell>
          <cell r="AQ86">
            <v>4508.7866666666669</v>
          </cell>
          <cell r="AR86">
            <v>9356.6550000000025</v>
          </cell>
        </row>
        <row r="87">
          <cell r="F87">
            <v>402</v>
          </cell>
          <cell r="G87">
            <v>179</v>
          </cell>
          <cell r="H87">
            <v>223</v>
          </cell>
          <cell r="P87">
            <v>633.5200000000001</v>
          </cell>
          <cell r="Q87">
            <v>0</v>
          </cell>
          <cell r="R87">
            <v>0</v>
          </cell>
          <cell r="T87">
            <v>477.82706363636368</v>
          </cell>
          <cell r="U87">
            <v>497.33020909090914</v>
          </cell>
          <cell r="V87">
            <v>0</v>
          </cell>
          <cell r="W87">
            <v>0</v>
          </cell>
          <cell r="X87">
            <v>98.949999999999989</v>
          </cell>
          <cell r="Y87">
            <v>389</v>
          </cell>
          <cell r="Z87">
            <v>153.15</v>
          </cell>
          <cell r="AA87">
            <v>0</v>
          </cell>
          <cell r="AB87">
            <v>0</v>
          </cell>
          <cell r="AC87">
            <v>89.66</v>
          </cell>
          <cell r="AD87">
            <v>314</v>
          </cell>
          <cell r="AE87">
            <v>126.86000000000001</v>
          </cell>
          <cell r="AH87">
            <v>109.07000000000016</v>
          </cell>
          <cell r="AK87">
            <v>4846.3236363636361</v>
          </cell>
          <cell r="AL87">
            <v>1715.52</v>
          </cell>
          <cell r="AM87">
            <v>3130.8036363636365</v>
          </cell>
          <cell r="AN87">
            <v>600.01</v>
          </cell>
          <cell r="AO87">
            <v>0</v>
          </cell>
          <cell r="AP87">
            <v>0</v>
          </cell>
          <cell r="AQ87">
            <v>0</v>
          </cell>
          <cell r="AR87">
            <v>0</v>
          </cell>
        </row>
        <row r="88">
          <cell r="F88">
            <v>10937.1</v>
          </cell>
          <cell r="G88">
            <v>0</v>
          </cell>
          <cell r="H88">
            <v>2070.1</v>
          </cell>
          <cell r="P88">
            <v>2512.62</v>
          </cell>
          <cell r="Q88">
            <v>0</v>
          </cell>
          <cell r="R88">
            <v>0</v>
          </cell>
          <cell r="S88">
            <v>9258.7648484848487</v>
          </cell>
          <cell r="T88">
            <v>5700.9847757575753</v>
          </cell>
          <cell r="U88">
            <v>3557.7800727272729</v>
          </cell>
          <cell r="V88">
            <v>0</v>
          </cell>
          <cell r="W88">
            <v>0</v>
          </cell>
          <cell r="X88">
            <v>17486.169696969697</v>
          </cell>
          <cell r="Y88">
            <v>11436</v>
          </cell>
          <cell r="Z88">
            <v>6050.1696969696977</v>
          </cell>
          <cell r="AA88">
            <v>0</v>
          </cell>
          <cell r="AB88">
            <v>0</v>
          </cell>
          <cell r="AC88">
            <v>13595.361818181818</v>
          </cell>
          <cell r="AD88">
            <v>8063</v>
          </cell>
          <cell r="AE88">
            <v>5532.3618181818183</v>
          </cell>
          <cell r="AF88">
            <v>4470.8927272727269</v>
          </cell>
          <cell r="AG88">
            <v>3519</v>
          </cell>
          <cell r="AH88">
            <v>952.89272727272737</v>
          </cell>
          <cell r="AI88">
            <v>783.2</v>
          </cell>
          <cell r="AK88">
            <v>58234.016363636365</v>
          </cell>
          <cell r="AL88">
            <v>25518.786666666667</v>
          </cell>
          <cell r="AM88">
            <v>26872.396363636362</v>
          </cell>
          <cell r="AN88">
            <v>0</v>
          </cell>
          <cell r="AO88">
            <v>19380</v>
          </cell>
          <cell r="AP88">
            <v>16419</v>
          </cell>
          <cell r="AQ88">
            <v>4052.62</v>
          </cell>
          <cell r="AR88">
            <v>9718.3963636363642</v>
          </cell>
        </row>
        <row r="89">
          <cell r="F89">
            <v>4189</v>
          </cell>
          <cell r="G89">
            <v>4189</v>
          </cell>
          <cell r="H89">
            <v>0</v>
          </cell>
          <cell r="AA89" t="str">
            <v>`</v>
          </cell>
          <cell r="AH89">
            <v>0</v>
          </cell>
          <cell r="AK89">
            <v>4189</v>
          </cell>
          <cell r="AL89">
            <v>4189</v>
          </cell>
          <cell r="AM89">
            <v>0</v>
          </cell>
          <cell r="AN89">
            <v>0</v>
          </cell>
          <cell r="AO89">
            <v>0</v>
          </cell>
          <cell r="AP89">
            <v>0</v>
          </cell>
          <cell r="AQ89">
            <v>0</v>
          </cell>
          <cell r="AR89">
            <v>0</v>
          </cell>
        </row>
        <row r="90">
          <cell r="F90">
            <v>8762</v>
          </cell>
          <cell r="G90">
            <v>6615</v>
          </cell>
          <cell r="H90">
            <v>2147</v>
          </cell>
          <cell r="P90">
            <v>2143.7866666666664</v>
          </cell>
          <cell r="Q90">
            <v>0</v>
          </cell>
          <cell r="R90">
            <v>0</v>
          </cell>
          <cell r="S90">
            <v>8033.9989393939386</v>
          </cell>
          <cell r="T90">
            <v>5158.0368969696974</v>
          </cell>
          <cell r="U90">
            <v>2874.9620424242421</v>
          </cell>
          <cell r="V90">
            <v>0</v>
          </cell>
          <cell r="W90">
            <v>0</v>
          </cell>
          <cell r="X90">
            <v>15812.24090909091</v>
          </cell>
          <cell r="Y90">
            <v>11356</v>
          </cell>
          <cell r="Z90">
            <v>4456.2409090909096</v>
          </cell>
          <cell r="AA90">
            <v>0</v>
          </cell>
          <cell r="AB90">
            <v>0</v>
          </cell>
          <cell r="AC90">
            <v>12605.875151515153</v>
          </cell>
          <cell r="AD90">
            <v>8968</v>
          </cell>
          <cell r="AE90">
            <v>3637.8751515151521</v>
          </cell>
          <cell r="AF90">
            <v>4836.4533333333329</v>
          </cell>
          <cell r="AG90">
            <v>3979.54</v>
          </cell>
          <cell r="AH90">
            <v>856.9133333333333</v>
          </cell>
          <cell r="AK90">
            <v>52455.441666666666</v>
          </cell>
          <cell r="AL90">
            <v>29708.786666666667</v>
          </cell>
          <cell r="AM90">
            <v>22746.654999999999</v>
          </cell>
          <cell r="AN90">
            <v>22747.655000000002</v>
          </cell>
          <cell r="AO90">
            <v>20189</v>
          </cell>
          <cell r="AP90">
            <v>12601</v>
          </cell>
          <cell r="AQ90">
            <v>4508.7866666666669</v>
          </cell>
          <cell r="AR90">
            <v>9356.6550000000025</v>
          </cell>
        </row>
        <row r="91">
          <cell r="F91">
            <v>0</v>
          </cell>
          <cell r="G91">
            <v>0</v>
          </cell>
          <cell r="H91">
            <v>0</v>
          </cell>
          <cell r="S91">
            <v>0</v>
          </cell>
          <cell r="T91">
            <v>0</v>
          </cell>
          <cell r="U91">
            <v>0</v>
          </cell>
          <cell r="X91">
            <v>0</v>
          </cell>
          <cell r="Y91">
            <v>0</v>
          </cell>
          <cell r="Z91">
            <v>0</v>
          </cell>
          <cell r="AA91">
            <v>0</v>
          </cell>
          <cell r="AB91">
            <v>0</v>
          </cell>
          <cell r="AC91">
            <v>0</v>
          </cell>
          <cell r="AD91">
            <v>0</v>
          </cell>
          <cell r="AE91">
            <v>0</v>
          </cell>
          <cell r="AH91">
            <v>0</v>
          </cell>
          <cell r="AK91">
            <v>127</v>
          </cell>
          <cell r="AL91">
            <v>70.766579973992179</v>
          </cell>
          <cell r="AM91">
            <v>0</v>
          </cell>
          <cell r="AN91">
            <v>0</v>
          </cell>
          <cell r="AO91">
            <v>0</v>
          </cell>
          <cell r="AP91">
            <v>0</v>
          </cell>
          <cell r="AQ91">
            <v>0</v>
          </cell>
          <cell r="AR91">
            <v>-1</v>
          </cell>
        </row>
        <row r="92">
          <cell r="F92">
            <v>419</v>
          </cell>
          <cell r="G92">
            <v>331</v>
          </cell>
          <cell r="H92">
            <v>88</v>
          </cell>
          <cell r="P92">
            <v>66</v>
          </cell>
          <cell r="S92">
            <v>0</v>
          </cell>
          <cell r="X92">
            <v>28.333333333333332</v>
          </cell>
          <cell r="Y92">
            <v>19</v>
          </cell>
          <cell r="Z92">
            <v>9.3333333333333321</v>
          </cell>
          <cell r="AC92">
            <v>27.333333333333332</v>
          </cell>
          <cell r="AD92">
            <v>16</v>
          </cell>
          <cell r="AE92">
            <v>11.333333333333332</v>
          </cell>
          <cell r="AF92">
            <v>12.666666666666666</v>
          </cell>
          <cell r="AG92">
            <v>13</v>
          </cell>
          <cell r="AH92">
            <v>0</v>
          </cell>
          <cell r="AK92">
            <v>419</v>
          </cell>
          <cell r="AL92">
            <v>331</v>
          </cell>
          <cell r="AM92">
            <v>88</v>
          </cell>
          <cell r="AN92">
            <v>88</v>
          </cell>
          <cell r="AO92">
            <v>0</v>
          </cell>
          <cell r="AP92">
            <v>0</v>
          </cell>
          <cell r="AQ92">
            <v>22.41900898044376</v>
          </cell>
          <cell r="AR92">
            <v>14.93842880876316</v>
          </cell>
        </row>
        <row r="93">
          <cell r="F93">
            <v>67</v>
          </cell>
          <cell r="G93">
            <v>42.401178010471199</v>
          </cell>
          <cell r="H93">
            <v>24.598821989528801</v>
          </cell>
          <cell r="S93">
            <v>0</v>
          </cell>
          <cell r="T93">
            <v>0</v>
          </cell>
          <cell r="U93">
            <v>0</v>
          </cell>
          <cell r="V93">
            <v>0</v>
          </cell>
          <cell r="W93">
            <v>0</v>
          </cell>
          <cell r="X93">
            <v>0</v>
          </cell>
          <cell r="Y93">
            <v>0</v>
          </cell>
          <cell r="Z93">
            <v>0</v>
          </cell>
          <cell r="AA93">
            <v>0</v>
          </cell>
          <cell r="AB93">
            <v>0</v>
          </cell>
          <cell r="AC93">
            <v>0</v>
          </cell>
          <cell r="AD93">
            <v>0</v>
          </cell>
          <cell r="AE93">
            <v>0</v>
          </cell>
          <cell r="AH93">
            <v>0</v>
          </cell>
          <cell r="AK93">
            <v>67</v>
          </cell>
          <cell r="AL93">
            <v>42.401178010471199</v>
          </cell>
          <cell r="AM93">
            <v>24.598821989528801</v>
          </cell>
          <cell r="AN93">
            <v>24.598821989528801</v>
          </cell>
          <cell r="AO93">
            <v>0</v>
          </cell>
          <cell r="AP93">
            <v>0</v>
          </cell>
          <cell r="AQ93">
            <v>0</v>
          </cell>
          <cell r="AR93">
            <v>0</v>
          </cell>
        </row>
        <row r="94">
          <cell r="F94">
            <v>11</v>
          </cell>
          <cell r="G94">
            <v>6.9613874345549736</v>
          </cell>
          <cell r="H94">
            <v>4.0386125654450264</v>
          </cell>
          <cell r="P94">
            <v>1</v>
          </cell>
          <cell r="S94">
            <v>81</v>
          </cell>
          <cell r="V94">
            <v>-129</v>
          </cell>
          <cell r="W94">
            <v>-105</v>
          </cell>
          <cell r="X94">
            <v>172</v>
          </cell>
          <cell r="Y94">
            <v>124</v>
          </cell>
          <cell r="Z94">
            <v>48</v>
          </cell>
          <cell r="AA94">
            <v>0</v>
          </cell>
          <cell r="AB94">
            <v>0</v>
          </cell>
          <cell r="AC94">
            <v>261</v>
          </cell>
          <cell r="AD94">
            <v>186</v>
          </cell>
          <cell r="AE94">
            <v>75</v>
          </cell>
          <cell r="AF94">
            <v>58</v>
          </cell>
          <cell r="AG94">
            <v>13</v>
          </cell>
          <cell r="AH94">
            <v>0</v>
          </cell>
          <cell r="AK94">
            <v>539</v>
          </cell>
          <cell r="AL94">
            <v>317.96138743455498</v>
          </cell>
          <cell r="AM94">
            <v>221.03861256544502</v>
          </cell>
          <cell r="AN94">
            <v>221.03861256544502</v>
          </cell>
          <cell r="AO94">
            <v>310</v>
          </cell>
          <cell r="AP94">
            <v>145</v>
          </cell>
          <cell r="AQ94">
            <v>7.9613874345549789</v>
          </cell>
          <cell r="AR94">
            <v>76.038612565445021</v>
          </cell>
        </row>
        <row r="95">
          <cell r="F95">
            <v>11562.1</v>
          </cell>
          <cell r="G95">
            <v>9326.3537061118332</v>
          </cell>
          <cell r="H95">
            <v>2235.7462938881663</v>
          </cell>
          <cell r="P95">
            <v>2578.62</v>
          </cell>
          <cell r="Q95">
            <v>0</v>
          </cell>
          <cell r="R95">
            <v>0</v>
          </cell>
          <cell r="S95">
            <v>9258.7648484848487</v>
          </cell>
          <cell r="T95">
            <v>5700.9847757575753</v>
          </cell>
          <cell r="U95">
            <v>3557.7800727272729</v>
          </cell>
          <cell r="V95">
            <v>0</v>
          </cell>
          <cell r="W95">
            <v>0</v>
          </cell>
          <cell r="X95">
            <v>17514.503030303029</v>
          </cell>
          <cell r="Y95">
            <v>11455</v>
          </cell>
          <cell r="Z95">
            <v>6059.5030303030308</v>
          </cell>
          <cell r="AA95">
            <v>0</v>
          </cell>
          <cell r="AB95">
            <v>0</v>
          </cell>
          <cell r="AC95">
            <v>13622.695151515152</v>
          </cell>
          <cell r="AD95">
            <v>8079</v>
          </cell>
          <cell r="AE95">
            <v>5543.6951515151513</v>
          </cell>
          <cell r="AF95">
            <v>4483.5593939393939</v>
          </cell>
          <cell r="AG95">
            <v>3532</v>
          </cell>
          <cell r="AH95">
            <v>952.89272727272737</v>
          </cell>
          <cell r="AI95">
            <v>783.2</v>
          </cell>
          <cell r="AJ95">
            <v>0</v>
          </cell>
          <cell r="AK95">
            <v>58993.683030303029</v>
          </cell>
          <cell r="AL95">
            <v>31921.973706111832</v>
          </cell>
          <cell r="AM95">
            <v>27071.709324191197</v>
          </cell>
          <cell r="AN95">
            <v>0</v>
          </cell>
          <cell r="AO95">
            <v>19415</v>
          </cell>
          <cell r="AP95">
            <v>16440</v>
          </cell>
          <cell r="AQ95">
            <v>4153.252222919521</v>
          </cell>
          <cell r="AR95">
            <v>9754.6660308805876</v>
          </cell>
        </row>
        <row r="96">
          <cell r="F96">
            <v>4024.1000000000004</v>
          </cell>
          <cell r="G96">
            <v>1788.3537061118332</v>
          </cell>
          <cell r="H96">
            <v>2235.7462938881663</v>
          </cell>
          <cell r="P96">
            <v>2578.62</v>
          </cell>
          <cell r="Q96">
            <v>0</v>
          </cell>
          <cell r="R96">
            <v>0</v>
          </cell>
          <cell r="S96">
            <v>6428.7648484848487</v>
          </cell>
          <cell r="T96">
            <v>2870.9847757575753</v>
          </cell>
          <cell r="U96">
            <v>3557.7800727272729</v>
          </cell>
          <cell r="V96">
            <v>0</v>
          </cell>
          <cell r="W96">
            <v>0</v>
          </cell>
          <cell r="X96">
            <v>5059.5030303030289</v>
          </cell>
          <cell r="Y96">
            <v>3309</v>
          </cell>
          <cell r="Z96">
            <v>1750.5030303030308</v>
          </cell>
          <cell r="AA96">
            <v>0</v>
          </cell>
          <cell r="AB96">
            <v>0</v>
          </cell>
          <cell r="AC96">
            <v>3034.6951515151522</v>
          </cell>
          <cell r="AD96">
            <v>1800</v>
          </cell>
          <cell r="AE96">
            <v>1234.6951515151513</v>
          </cell>
          <cell r="AF96">
            <v>4483.5593939393939</v>
          </cell>
          <cell r="AG96">
            <v>3532</v>
          </cell>
          <cell r="AH96">
            <v>952.89272727272737</v>
          </cell>
          <cell r="AI96">
            <v>783.2</v>
          </cell>
          <cell r="AJ96">
            <v>0</v>
          </cell>
          <cell r="AK96">
            <v>25582.683030303029</v>
          </cell>
          <cell r="AL96">
            <v>9958.9737061118321</v>
          </cell>
          <cell r="AM96">
            <v>15623.709324191197</v>
          </cell>
          <cell r="AN96">
            <v>0</v>
          </cell>
          <cell r="AO96">
            <v>4990</v>
          </cell>
          <cell r="AP96">
            <v>4992</v>
          </cell>
          <cell r="AQ96">
            <v>4153.252222919521</v>
          </cell>
          <cell r="AR96">
            <v>9754.6660308805876</v>
          </cell>
        </row>
        <row r="97">
          <cell r="F97">
            <v>9259</v>
          </cell>
          <cell r="G97">
            <v>6995.3625654450261</v>
          </cell>
          <cell r="H97">
            <v>2263.6374345549739</v>
          </cell>
          <cell r="P97">
            <v>2144.7866666666664</v>
          </cell>
          <cell r="Q97">
            <v>0</v>
          </cell>
          <cell r="R97">
            <v>0</v>
          </cell>
          <cell r="S97">
            <v>8114.9989393939386</v>
          </cell>
          <cell r="T97">
            <v>5158.0368969696974</v>
          </cell>
          <cell r="U97">
            <v>2874.9620424242421</v>
          </cell>
          <cell r="V97">
            <v>0</v>
          </cell>
          <cell r="W97">
            <v>0</v>
          </cell>
          <cell r="X97">
            <v>15984.24090909091</v>
          </cell>
          <cell r="Y97">
            <v>11480</v>
          </cell>
          <cell r="Z97">
            <v>4504.2409090909096</v>
          </cell>
          <cell r="AA97">
            <v>0</v>
          </cell>
          <cell r="AB97">
            <v>0</v>
          </cell>
          <cell r="AC97">
            <v>12866.875151515153</v>
          </cell>
          <cell r="AD97">
            <v>9154</v>
          </cell>
          <cell r="AE97">
            <v>3712.8751515151521</v>
          </cell>
          <cell r="AF97">
            <v>4894.4533333333329</v>
          </cell>
          <cell r="AG97">
            <v>3992.54</v>
          </cell>
          <cell r="AH97">
            <v>856.9133333333333</v>
          </cell>
          <cell r="AI97">
            <v>54.400000000000006</v>
          </cell>
          <cell r="AJ97">
            <v>0</v>
          </cell>
          <cell r="AK97">
            <v>53480.441666666666</v>
          </cell>
          <cell r="AL97">
            <v>30400.149232111693</v>
          </cell>
          <cell r="AM97">
            <v>23080.292434554973</v>
          </cell>
          <cell r="AN97">
            <v>23081.292434554976</v>
          </cell>
          <cell r="AO97">
            <v>20499</v>
          </cell>
          <cell r="AP97">
            <v>12746</v>
          </cell>
          <cell r="AQ97">
            <v>4539.1670630816652</v>
          </cell>
          <cell r="AR97">
            <v>9446.6320413742123</v>
          </cell>
        </row>
        <row r="98">
          <cell r="F98">
            <v>5070</v>
          </cell>
          <cell r="G98">
            <v>2806.3625654450261</v>
          </cell>
          <cell r="H98">
            <v>2263.6374345549739</v>
          </cell>
          <cell r="P98">
            <v>2144.7866666666664</v>
          </cell>
          <cell r="Q98">
            <v>0</v>
          </cell>
          <cell r="R98">
            <v>0</v>
          </cell>
          <cell r="S98">
            <v>5169.9989393939386</v>
          </cell>
          <cell r="T98">
            <v>2213.0368969696974</v>
          </cell>
          <cell r="U98">
            <v>2874.9620424242421</v>
          </cell>
          <cell r="V98">
            <v>0</v>
          </cell>
          <cell r="W98">
            <v>0</v>
          </cell>
          <cell r="X98">
            <v>3625.2409090909096</v>
          </cell>
          <cell r="Y98">
            <v>2602</v>
          </cell>
          <cell r="Z98">
            <v>1023.2409090909096</v>
          </cell>
          <cell r="AA98">
            <v>0</v>
          </cell>
          <cell r="AB98">
            <v>0</v>
          </cell>
          <cell r="AC98">
            <v>2509.8751515151525</v>
          </cell>
          <cell r="AD98">
            <v>1785</v>
          </cell>
          <cell r="AE98">
            <v>724.87515151515208</v>
          </cell>
          <cell r="AF98">
            <v>4894.4533333333329</v>
          </cell>
          <cell r="AG98">
            <v>3992.54</v>
          </cell>
          <cell r="AH98">
            <v>856.9133333333333</v>
          </cell>
          <cell r="AI98">
            <v>54.400000000000006</v>
          </cell>
          <cell r="AK98">
            <v>23630.441666666666</v>
          </cell>
          <cell r="AL98">
            <v>9964.149232111693</v>
          </cell>
          <cell r="AM98">
            <v>13666.292434554973</v>
          </cell>
          <cell r="AN98">
            <v>13667.292434554976</v>
          </cell>
          <cell r="AO98">
            <v>4252</v>
          </cell>
          <cell r="AP98">
            <v>3332</v>
          </cell>
          <cell r="AQ98">
            <v>4539.1670630816652</v>
          </cell>
          <cell r="AR98">
            <v>9446.6320413742123</v>
          </cell>
        </row>
        <row r="99">
          <cell r="F99">
            <v>555</v>
          </cell>
          <cell r="P99">
            <v>705.5</v>
          </cell>
          <cell r="S99">
            <v>1948.2</v>
          </cell>
          <cell r="V99">
            <v>80</v>
          </cell>
          <cell r="W99">
            <v>14347.131818181819</v>
          </cell>
          <cell r="X99">
            <v>8.5</v>
          </cell>
          <cell r="Y99">
            <v>15984.24090909091</v>
          </cell>
          <cell r="AA99">
            <v>300</v>
          </cell>
          <cell r="AC99">
            <v>229.5</v>
          </cell>
          <cell r="AD99">
            <v>12866.875151515153</v>
          </cell>
          <cell r="AF99">
            <v>202.29999999999998</v>
          </cell>
          <cell r="AG99">
            <v>119</v>
          </cell>
          <cell r="AH99">
            <v>83.299999999999983</v>
          </cell>
          <cell r="AK99">
            <v>3675.7</v>
          </cell>
          <cell r="AL99">
            <v>53480.441666666673</v>
          </cell>
        </row>
        <row r="100">
          <cell r="F100">
            <v>92</v>
          </cell>
          <cell r="P100">
            <v>361</v>
          </cell>
          <cell r="S100">
            <v>549</v>
          </cell>
          <cell r="V100">
            <v>80</v>
          </cell>
          <cell r="X100">
            <v>9</v>
          </cell>
          <cell r="AA100">
            <v>300</v>
          </cell>
          <cell r="AC100">
            <v>230</v>
          </cell>
          <cell r="AF100">
            <v>202</v>
          </cell>
          <cell r="AG100">
            <v>119</v>
          </cell>
          <cell r="AH100">
            <v>0</v>
          </cell>
          <cell r="AI100">
            <v>0</v>
          </cell>
          <cell r="AK100">
            <v>1360</v>
          </cell>
          <cell r="AL100">
            <v>53480.441666666666</v>
          </cell>
          <cell r="AM100">
            <v>30399.149232111693</v>
          </cell>
        </row>
        <row r="101">
          <cell r="F101">
            <v>0</v>
          </cell>
          <cell r="P101">
            <v>600</v>
          </cell>
          <cell r="S101">
            <v>278</v>
          </cell>
          <cell r="V101">
            <v>80</v>
          </cell>
          <cell r="X101">
            <v>9</v>
          </cell>
          <cell r="AA101">
            <v>300</v>
          </cell>
          <cell r="AF101">
            <v>0</v>
          </cell>
          <cell r="AK101">
            <v>287</v>
          </cell>
        </row>
        <row r="102">
          <cell r="F102">
            <v>463</v>
          </cell>
          <cell r="P102">
            <v>344.5</v>
          </cell>
          <cell r="S102">
            <v>1399.2</v>
          </cell>
          <cell r="V102">
            <v>0</v>
          </cell>
          <cell r="X102">
            <v>0</v>
          </cell>
          <cell r="AA102">
            <v>0</v>
          </cell>
          <cell r="AC102">
            <v>0</v>
          </cell>
          <cell r="AF102">
            <v>0.29999999999998295</v>
          </cell>
          <cell r="AG102">
            <v>0</v>
          </cell>
          <cell r="AH102">
            <v>83.299999999999983</v>
          </cell>
          <cell r="AK102">
            <v>2316.6999999999998</v>
          </cell>
        </row>
        <row r="103">
          <cell r="S103">
            <v>30</v>
          </cell>
        </row>
        <row r="104">
          <cell r="P104">
            <v>289</v>
          </cell>
          <cell r="S104">
            <v>1765.45</v>
          </cell>
          <cell r="AK104">
            <v>0</v>
          </cell>
        </row>
        <row r="105">
          <cell r="S105">
            <v>0</v>
          </cell>
          <cell r="V105">
            <v>0</v>
          </cell>
          <cell r="X105">
            <v>0</v>
          </cell>
          <cell r="AK105">
            <v>0</v>
          </cell>
        </row>
        <row r="106">
          <cell r="F106">
            <v>850</v>
          </cell>
          <cell r="P106">
            <v>550</v>
          </cell>
          <cell r="S106">
            <v>530</v>
          </cell>
          <cell r="X106">
            <v>0</v>
          </cell>
          <cell r="AC106">
            <v>0</v>
          </cell>
          <cell r="AF106">
            <v>0</v>
          </cell>
          <cell r="AG106">
            <v>0</v>
          </cell>
          <cell r="AH106">
            <v>0</v>
          </cell>
          <cell r="AI106">
            <v>0</v>
          </cell>
          <cell r="AK106">
            <v>850</v>
          </cell>
        </row>
        <row r="107">
          <cell r="F107">
            <v>850</v>
          </cell>
          <cell r="S107">
            <v>0</v>
          </cell>
          <cell r="AC107">
            <v>0</v>
          </cell>
          <cell r="AF107">
            <v>0</v>
          </cell>
          <cell r="AG107">
            <v>0</v>
          </cell>
          <cell r="AH107">
            <v>0</v>
          </cell>
          <cell r="AI107">
            <v>0</v>
          </cell>
          <cell r="AK107">
            <v>0</v>
          </cell>
        </row>
        <row r="108">
          <cell r="F108">
            <v>0</v>
          </cell>
          <cell r="P108">
            <v>0</v>
          </cell>
          <cell r="S108">
            <v>0</v>
          </cell>
          <cell r="AC108">
            <v>0</v>
          </cell>
          <cell r="AF108">
            <v>0</v>
          </cell>
          <cell r="AG108">
            <v>0</v>
          </cell>
          <cell r="AH108">
            <v>0</v>
          </cell>
          <cell r="AI108">
            <v>0</v>
          </cell>
          <cell r="AK108">
            <v>0</v>
          </cell>
        </row>
        <row r="109">
          <cell r="F109">
            <v>463</v>
          </cell>
          <cell r="P109">
            <v>344.5</v>
          </cell>
          <cell r="S109">
            <v>1369.2</v>
          </cell>
          <cell r="V109">
            <v>0</v>
          </cell>
          <cell r="X109">
            <v>0</v>
          </cell>
          <cell r="AA109">
            <v>0</v>
          </cell>
          <cell r="AC109">
            <v>0</v>
          </cell>
          <cell r="AF109">
            <v>0</v>
          </cell>
          <cell r="AG109">
            <v>0</v>
          </cell>
          <cell r="AH109">
            <v>0</v>
          </cell>
          <cell r="AK109">
            <v>2176.6999999999998</v>
          </cell>
        </row>
        <row r="110">
          <cell r="F110">
            <v>463</v>
          </cell>
          <cell r="P110">
            <v>344.5</v>
          </cell>
          <cell r="S110">
            <v>1369.2</v>
          </cell>
          <cell r="X110">
            <v>0</v>
          </cell>
          <cell r="AA110">
            <v>0</v>
          </cell>
          <cell r="AC110">
            <v>0</v>
          </cell>
          <cell r="AF110">
            <v>0</v>
          </cell>
          <cell r="AG110">
            <v>0</v>
          </cell>
          <cell r="AH110">
            <v>0</v>
          </cell>
          <cell r="AI110">
            <v>64</v>
          </cell>
          <cell r="AK110">
            <v>2176.6999999999998</v>
          </cell>
        </row>
        <row r="111">
          <cell r="F111">
            <v>0</v>
          </cell>
          <cell r="P111">
            <v>0</v>
          </cell>
          <cell r="S111">
            <v>0</v>
          </cell>
          <cell r="AA111">
            <v>0</v>
          </cell>
          <cell r="AC111">
            <v>0</v>
          </cell>
          <cell r="AF111">
            <v>0</v>
          </cell>
          <cell r="AG111">
            <v>0</v>
          </cell>
          <cell r="AH111">
            <v>0</v>
          </cell>
          <cell r="AI111">
            <v>64</v>
          </cell>
          <cell r="AK111">
            <v>0</v>
          </cell>
        </row>
        <row r="112">
          <cell r="F112">
            <v>0</v>
          </cell>
          <cell r="P112">
            <v>0</v>
          </cell>
          <cell r="S112">
            <v>0</v>
          </cell>
          <cell r="V112">
            <v>0</v>
          </cell>
          <cell r="X112">
            <v>0</v>
          </cell>
          <cell r="AA112">
            <v>0</v>
          </cell>
          <cell r="AC112">
            <v>0</v>
          </cell>
          <cell r="AF112">
            <v>0</v>
          </cell>
          <cell r="AG112">
            <v>0</v>
          </cell>
          <cell r="AH112">
            <v>0</v>
          </cell>
          <cell r="AK112">
            <v>0</v>
          </cell>
        </row>
        <row r="113">
          <cell r="F113">
            <v>0</v>
          </cell>
          <cell r="P113">
            <v>0</v>
          </cell>
          <cell r="S113">
            <v>30</v>
          </cell>
          <cell r="V113">
            <v>0</v>
          </cell>
          <cell r="X113">
            <v>0</v>
          </cell>
          <cell r="AA113">
            <v>0</v>
          </cell>
          <cell r="AC113">
            <v>0</v>
          </cell>
          <cell r="AF113">
            <v>0</v>
          </cell>
          <cell r="AG113">
            <v>0</v>
          </cell>
          <cell r="AH113">
            <v>0</v>
          </cell>
          <cell r="AK113">
            <v>30</v>
          </cell>
          <cell r="AM113">
            <v>0</v>
          </cell>
        </row>
        <row r="114">
          <cell r="F114">
            <v>0</v>
          </cell>
          <cell r="P114">
            <v>0</v>
          </cell>
          <cell r="S114">
            <v>30</v>
          </cell>
          <cell r="AA114">
            <v>0</v>
          </cell>
          <cell r="AC114">
            <v>0</v>
          </cell>
          <cell r="AF114">
            <v>0</v>
          </cell>
          <cell r="AG114">
            <v>0</v>
          </cell>
          <cell r="AH114">
            <v>0</v>
          </cell>
          <cell r="AK114">
            <v>30</v>
          </cell>
        </row>
        <row r="115">
          <cell r="F115">
            <v>0</v>
          </cell>
          <cell r="P115">
            <v>0</v>
          </cell>
          <cell r="S115">
            <v>0</v>
          </cell>
          <cell r="V115">
            <v>0</v>
          </cell>
          <cell r="X115">
            <v>0</v>
          </cell>
          <cell r="AA115">
            <v>0</v>
          </cell>
          <cell r="AC115">
            <v>0</v>
          </cell>
          <cell r="AF115">
            <v>0</v>
          </cell>
          <cell r="AG115">
            <v>0</v>
          </cell>
          <cell r="AH115">
            <v>0</v>
          </cell>
          <cell r="AK115">
            <v>0</v>
          </cell>
          <cell r="AL115">
            <v>0</v>
          </cell>
          <cell r="AM115">
            <v>0</v>
          </cell>
        </row>
        <row r="116">
          <cell r="F116">
            <v>0</v>
          </cell>
          <cell r="P116">
            <v>0</v>
          </cell>
          <cell r="S116">
            <v>0</v>
          </cell>
          <cell r="AA116">
            <v>0</v>
          </cell>
          <cell r="AC116">
            <v>0</v>
          </cell>
          <cell r="AG116">
            <v>0</v>
          </cell>
          <cell r="AH116">
            <v>0</v>
          </cell>
          <cell r="AK116">
            <v>0</v>
          </cell>
          <cell r="AM116">
            <v>0</v>
          </cell>
        </row>
        <row r="117">
          <cell r="F117">
            <v>0</v>
          </cell>
          <cell r="P117">
            <v>0</v>
          </cell>
          <cell r="S117">
            <v>0</v>
          </cell>
          <cell r="AC117">
            <v>0</v>
          </cell>
          <cell r="AF117">
            <v>0</v>
          </cell>
          <cell r="AG117">
            <v>0</v>
          </cell>
          <cell r="AH117">
            <v>0</v>
          </cell>
          <cell r="AK117">
            <v>0</v>
          </cell>
        </row>
        <row r="118">
          <cell r="F118">
            <v>0</v>
          </cell>
          <cell r="P118">
            <v>0</v>
          </cell>
          <cell r="S118">
            <v>0</v>
          </cell>
          <cell r="X118">
            <v>0</v>
          </cell>
          <cell r="AA118">
            <v>0</v>
          </cell>
          <cell r="AC118">
            <v>0</v>
          </cell>
          <cell r="AG118">
            <v>0</v>
          </cell>
          <cell r="AH118">
            <v>0</v>
          </cell>
          <cell r="AK118">
            <v>0</v>
          </cell>
          <cell r="AL118">
            <v>0</v>
          </cell>
          <cell r="AM118">
            <v>0</v>
          </cell>
        </row>
        <row r="119">
          <cell r="F119">
            <v>700</v>
          </cell>
          <cell r="P119">
            <v>0</v>
          </cell>
          <cell r="S119">
            <v>0</v>
          </cell>
          <cell r="AA119">
            <v>0</v>
          </cell>
          <cell r="AC119">
            <v>0</v>
          </cell>
          <cell r="AG119">
            <v>0</v>
          </cell>
          <cell r="AH119">
            <v>0</v>
          </cell>
          <cell r="AK119">
            <v>0</v>
          </cell>
        </row>
        <row r="120">
          <cell r="F120">
            <v>0</v>
          </cell>
          <cell r="P120">
            <v>0</v>
          </cell>
          <cell r="S120">
            <v>0</v>
          </cell>
          <cell r="X120">
            <v>0</v>
          </cell>
          <cell r="AA120">
            <v>0</v>
          </cell>
          <cell r="AC120">
            <v>0</v>
          </cell>
          <cell r="AF120">
            <v>0</v>
          </cell>
          <cell r="AG120">
            <v>0</v>
          </cell>
          <cell r="AH120">
            <v>0</v>
          </cell>
          <cell r="AK120">
            <v>0</v>
          </cell>
        </row>
        <row r="121">
          <cell r="F121">
            <v>3500</v>
          </cell>
          <cell r="P121">
            <v>0</v>
          </cell>
          <cell r="S121">
            <v>0</v>
          </cell>
          <cell r="V121">
            <v>0</v>
          </cell>
          <cell r="X121">
            <v>0</v>
          </cell>
          <cell r="AA121">
            <v>0</v>
          </cell>
          <cell r="AC121">
            <v>0</v>
          </cell>
          <cell r="AG121">
            <v>0</v>
          </cell>
          <cell r="AH121">
            <v>0</v>
          </cell>
          <cell r="AK121">
            <v>0</v>
          </cell>
        </row>
        <row r="122">
          <cell r="F122">
            <v>595</v>
          </cell>
          <cell r="AK122">
            <v>595</v>
          </cell>
        </row>
        <row r="123">
          <cell r="S123">
            <v>0</v>
          </cell>
          <cell r="V123">
            <v>0</v>
          </cell>
          <cell r="X123">
            <v>0</v>
          </cell>
          <cell r="AF123">
            <v>0</v>
          </cell>
          <cell r="AK123">
            <v>0</v>
          </cell>
          <cell r="AL123">
            <v>-13345.80312121212</v>
          </cell>
        </row>
        <row r="124">
          <cell r="F124">
            <v>2805</v>
          </cell>
          <cell r="AK124">
            <v>2805</v>
          </cell>
        </row>
        <row r="125">
          <cell r="F125">
            <v>6050</v>
          </cell>
          <cell r="G125">
            <v>0</v>
          </cell>
          <cell r="H125">
            <v>0</v>
          </cell>
          <cell r="P125">
            <v>0</v>
          </cell>
          <cell r="Q125">
            <v>0</v>
          </cell>
          <cell r="R125">
            <v>0</v>
          </cell>
          <cell r="S125">
            <v>60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64</v>
          </cell>
          <cell r="AJ125">
            <v>0</v>
          </cell>
          <cell r="AK125">
            <v>0</v>
          </cell>
          <cell r="AO125">
            <v>0</v>
          </cell>
          <cell r="AP125">
            <v>0</v>
          </cell>
          <cell r="AQ125">
            <v>0</v>
          </cell>
          <cell r="AR125">
            <v>0</v>
          </cell>
        </row>
        <row r="126">
          <cell r="F126">
            <v>6050</v>
          </cell>
          <cell r="G126">
            <v>0</v>
          </cell>
          <cell r="H126">
            <v>0</v>
          </cell>
          <cell r="P126">
            <v>0</v>
          </cell>
          <cell r="S126">
            <v>120</v>
          </cell>
          <cell r="X126">
            <v>0</v>
          </cell>
          <cell r="Y126">
            <v>0</v>
          </cell>
          <cell r="Z126">
            <v>0</v>
          </cell>
          <cell r="AC126">
            <v>0</v>
          </cell>
          <cell r="AD126">
            <v>0</v>
          </cell>
          <cell r="AE126">
            <v>0</v>
          </cell>
          <cell r="AF126">
            <v>0</v>
          </cell>
          <cell r="AG126">
            <v>0</v>
          </cell>
          <cell r="AH126">
            <v>0</v>
          </cell>
          <cell r="AI126">
            <v>64</v>
          </cell>
          <cell r="AJ126">
            <v>0</v>
          </cell>
          <cell r="AK126">
            <v>0</v>
          </cell>
          <cell r="AL126">
            <v>-13112.934166666666</v>
          </cell>
        </row>
        <row r="127">
          <cell r="F127">
            <v>0</v>
          </cell>
          <cell r="AK127">
            <v>0</v>
          </cell>
          <cell r="AL127">
            <v>6264</v>
          </cell>
        </row>
        <row r="128">
          <cell r="F128">
            <v>3863</v>
          </cell>
          <cell r="G128">
            <v>0</v>
          </cell>
          <cell r="H128">
            <v>0</v>
          </cell>
          <cell r="P128">
            <v>344.5</v>
          </cell>
          <cell r="Q128">
            <v>0</v>
          </cell>
          <cell r="R128">
            <v>0</v>
          </cell>
          <cell r="S128">
            <v>1399.2</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K128">
            <v>5606.7</v>
          </cell>
          <cell r="AO128">
            <v>0</v>
          </cell>
          <cell r="AP128">
            <v>0</v>
          </cell>
          <cell r="AQ128">
            <v>0</v>
          </cell>
          <cell r="AR128">
            <v>0</v>
          </cell>
        </row>
        <row r="129">
          <cell r="F129">
            <v>3863</v>
          </cell>
          <cell r="G129">
            <v>0</v>
          </cell>
          <cell r="H129">
            <v>0</v>
          </cell>
          <cell r="P129">
            <v>689</v>
          </cell>
          <cell r="S129">
            <v>2798.4</v>
          </cell>
          <cell r="V129">
            <v>0</v>
          </cell>
          <cell r="W129">
            <v>0</v>
          </cell>
          <cell r="X129">
            <v>0</v>
          </cell>
          <cell r="Y129">
            <v>0</v>
          </cell>
          <cell r="Z129">
            <v>0</v>
          </cell>
          <cell r="AA129">
            <v>0</v>
          </cell>
          <cell r="AB129">
            <v>0</v>
          </cell>
          <cell r="AC129">
            <v>0</v>
          </cell>
          <cell r="AD129">
            <v>0</v>
          </cell>
          <cell r="AE129">
            <v>0</v>
          </cell>
          <cell r="AF129">
            <v>0.29999999999998295</v>
          </cell>
          <cell r="AG129">
            <v>0</v>
          </cell>
          <cell r="AH129">
            <v>83.299999999999983</v>
          </cell>
          <cell r="AK129">
            <v>5606.7</v>
          </cell>
          <cell r="AL129">
            <v>5888.0262938881679</v>
          </cell>
          <cell r="AM129">
            <v>-16998.709324191197</v>
          </cell>
        </row>
        <row r="130">
          <cell r="AK130">
            <v>-7506.2341666666662</v>
          </cell>
          <cell r="AL130">
            <v>5716.7</v>
          </cell>
        </row>
        <row r="131">
          <cell r="AK131">
            <v>-7506.2341666666662</v>
          </cell>
          <cell r="AO131">
            <v>0</v>
          </cell>
        </row>
        <row r="132">
          <cell r="AK132">
            <v>-10723.191666666666</v>
          </cell>
          <cell r="AL132">
            <v>2697.850767888307</v>
          </cell>
          <cell r="AM132">
            <v>-14286.292434554973</v>
          </cell>
        </row>
        <row r="134">
          <cell r="AK134">
            <v>-3216.9574999999995</v>
          </cell>
          <cell r="AM134">
            <v>10073</v>
          </cell>
          <cell r="AO134">
            <v>0</v>
          </cell>
          <cell r="AQ134">
            <v>0</v>
          </cell>
        </row>
        <row r="135">
          <cell r="AK135">
            <v>-16998.709324191197</v>
          </cell>
          <cell r="AO135">
            <v>0</v>
          </cell>
        </row>
        <row r="136">
          <cell r="AK136">
            <v>6.38</v>
          </cell>
          <cell r="AO136" t="e">
            <v>#DIV/0!</v>
          </cell>
        </row>
        <row r="137">
          <cell r="AK137">
            <v>8794</v>
          </cell>
          <cell r="AM137">
            <v>8794</v>
          </cell>
          <cell r="AO137">
            <v>0</v>
          </cell>
          <cell r="AQ137">
            <v>0</v>
          </cell>
        </row>
        <row r="138">
          <cell r="AK138">
            <v>-14286.292434554973</v>
          </cell>
          <cell r="AO138">
            <v>0</v>
          </cell>
        </row>
        <row r="139">
          <cell r="AK139">
            <v>5.57</v>
          </cell>
          <cell r="AO139" t="e">
            <v>#DIV/0!</v>
          </cell>
        </row>
        <row r="140">
          <cell r="AK140">
            <v>14.61</v>
          </cell>
          <cell r="AO140" t="e">
            <v>#DIV/0!</v>
          </cell>
        </row>
        <row r="141">
          <cell r="AK141">
            <v>0</v>
          </cell>
          <cell r="AO141">
            <v>0</v>
          </cell>
        </row>
        <row r="142">
          <cell r="AJ142">
            <v>0</v>
          </cell>
          <cell r="AK142">
            <v>8.07</v>
          </cell>
          <cell r="AO142" t="e">
            <v>#DIV/0!</v>
          </cell>
        </row>
        <row r="143">
          <cell r="AK143">
            <v>8.3699999999999992</v>
          </cell>
          <cell r="AL143">
            <v>37810</v>
          </cell>
          <cell r="AO143" t="e">
            <v>#DIV/0!</v>
          </cell>
        </row>
        <row r="145">
          <cell r="AJ145">
            <v>300</v>
          </cell>
          <cell r="AK145">
            <v>7.68</v>
          </cell>
          <cell r="AO145" t="e">
            <v>#DIV/0!</v>
          </cell>
        </row>
        <row r="146">
          <cell r="AK146">
            <v>33098</v>
          </cell>
          <cell r="AL146">
            <v>33098</v>
          </cell>
          <cell r="AM146">
            <v>-27071.709324191197</v>
          </cell>
        </row>
        <row r="147">
          <cell r="S147">
            <v>0</v>
          </cell>
          <cell r="AK147">
            <v>865.25</v>
          </cell>
        </row>
        <row r="149">
          <cell r="AJ149">
            <v>0</v>
          </cell>
          <cell r="AK149">
            <v>8009.5714285714284</v>
          </cell>
          <cell r="AL149">
            <v>-30400.149232111693</v>
          </cell>
          <cell r="AM149">
            <v>-23080.292434554973</v>
          </cell>
          <cell r="AO149">
            <v>0</v>
          </cell>
        </row>
        <row r="150">
          <cell r="S150">
            <v>0</v>
          </cell>
          <cell r="AK150">
            <v>865.25</v>
          </cell>
        </row>
        <row r="151">
          <cell r="AK151">
            <v>47883</v>
          </cell>
          <cell r="AL151">
            <v>37810</v>
          </cell>
          <cell r="AM151">
            <v>10073</v>
          </cell>
        </row>
        <row r="152">
          <cell r="AK152">
            <v>41892</v>
          </cell>
          <cell r="AL152">
            <v>33098</v>
          </cell>
          <cell r="AM152">
            <v>8794</v>
          </cell>
          <cell r="AO152">
            <v>0</v>
          </cell>
          <cell r="AP152">
            <v>4992</v>
          </cell>
          <cell r="AQ152">
            <v>4153.252222919521</v>
          </cell>
          <cell r="AR152">
            <v>9754.6660308805876</v>
          </cell>
        </row>
        <row r="153">
          <cell r="AK153">
            <v>0</v>
          </cell>
          <cell r="AL153">
            <v>18.399999999999999</v>
          </cell>
          <cell r="AM153">
            <v>-62.8</v>
          </cell>
        </row>
        <row r="154">
          <cell r="AK154">
            <v>41892</v>
          </cell>
          <cell r="AL154">
            <v>33098</v>
          </cell>
          <cell r="AM154">
            <v>8794</v>
          </cell>
        </row>
        <row r="155">
          <cell r="AK155">
            <v>0</v>
          </cell>
          <cell r="AL155">
            <v>0</v>
          </cell>
          <cell r="AM155">
            <v>0</v>
          </cell>
          <cell r="AO155">
            <v>4252</v>
          </cell>
          <cell r="AP155">
            <v>3332</v>
          </cell>
          <cell r="AQ155">
            <v>4539.1670630816652</v>
          </cell>
          <cell r="AR155">
            <v>9446.6320413742123</v>
          </cell>
        </row>
        <row r="156">
          <cell r="AK156">
            <v>-20.100000000000001</v>
          </cell>
          <cell r="AL156">
            <v>8.9</v>
          </cell>
          <cell r="AM156">
            <v>-61.9</v>
          </cell>
        </row>
        <row r="157">
          <cell r="F157">
            <v>0</v>
          </cell>
          <cell r="P157">
            <v>0</v>
          </cell>
          <cell r="S157">
            <v>0</v>
          </cell>
          <cell r="X157">
            <v>0</v>
          </cell>
          <cell r="AC157">
            <v>0</v>
          </cell>
          <cell r="AI157">
            <v>0</v>
          </cell>
          <cell r="AJ157">
            <v>142</v>
          </cell>
          <cell r="AK157">
            <v>14.976636652504762</v>
          </cell>
          <cell r="AL157">
            <v>-100</v>
          </cell>
          <cell r="AM157">
            <v>-100</v>
          </cell>
        </row>
        <row r="158">
          <cell r="F158">
            <v>320</v>
          </cell>
          <cell r="P158">
            <v>810</v>
          </cell>
          <cell r="S158">
            <v>1487</v>
          </cell>
          <cell r="X158">
            <v>2754</v>
          </cell>
          <cell r="AC158">
            <v>1364</v>
          </cell>
          <cell r="AF158">
            <v>1173</v>
          </cell>
          <cell r="AG158">
            <v>1100</v>
          </cell>
          <cell r="AH158">
            <v>73</v>
          </cell>
          <cell r="AK158">
            <v>7908</v>
          </cell>
          <cell r="AL158">
            <v>0</v>
          </cell>
          <cell r="AM158">
            <v>0</v>
          </cell>
        </row>
        <row r="159">
          <cell r="F159">
            <v>320</v>
          </cell>
          <cell r="P159">
            <v>390</v>
          </cell>
          <cell r="S159">
            <v>512</v>
          </cell>
          <cell r="X159">
            <v>2374</v>
          </cell>
          <cell r="AC159">
            <v>1081</v>
          </cell>
          <cell r="AF159">
            <v>560</v>
          </cell>
          <cell r="AG159">
            <v>500</v>
          </cell>
          <cell r="AH159">
            <v>60</v>
          </cell>
          <cell r="AK159">
            <v>4677</v>
          </cell>
        </row>
        <row r="160">
          <cell r="F160">
            <v>0</v>
          </cell>
          <cell r="P160">
            <v>0</v>
          </cell>
          <cell r="S160">
            <v>0</v>
          </cell>
          <cell r="V160">
            <v>0</v>
          </cell>
          <cell r="X160">
            <v>0</v>
          </cell>
          <cell r="AA160">
            <v>0</v>
          </cell>
          <cell r="AC160">
            <v>0</v>
          </cell>
          <cell r="AF160">
            <v>125</v>
          </cell>
          <cell r="AG160">
            <v>125</v>
          </cell>
          <cell r="AH160">
            <v>0</v>
          </cell>
          <cell r="AI160">
            <v>210</v>
          </cell>
          <cell r="AK160">
            <v>0</v>
          </cell>
        </row>
        <row r="161">
          <cell r="F161">
            <v>204</v>
          </cell>
          <cell r="P161">
            <v>744.6</v>
          </cell>
          <cell r="S161">
            <v>1219.75</v>
          </cell>
          <cell r="V161">
            <v>1070</v>
          </cell>
          <cell r="X161">
            <v>1767.1499999999999</v>
          </cell>
          <cell r="AA161">
            <v>1777</v>
          </cell>
          <cell r="AB161">
            <v>9</v>
          </cell>
          <cell r="AC161">
            <v>768.7</v>
          </cell>
          <cell r="AF161">
            <v>899</v>
          </cell>
          <cell r="AG161">
            <v>899</v>
          </cell>
          <cell r="AH161">
            <v>0</v>
          </cell>
          <cell r="AK161">
            <v>5603.2</v>
          </cell>
        </row>
        <row r="162">
          <cell r="F162">
            <v>204</v>
          </cell>
          <cell r="P162">
            <v>497.6</v>
          </cell>
          <cell r="S162">
            <v>916.75</v>
          </cell>
          <cell r="V162">
            <v>1070</v>
          </cell>
          <cell r="X162">
            <v>1694.1499999999999</v>
          </cell>
          <cell r="AA162">
            <v>1639</v>
          </cell>
          <cell r="AF162">
            <v>242</v>
          </cell>
          <cell r="AG162">
            <v>242</v>
          </cell>
          <cell r="AH162">
            <v>0</v>
          </cell>
          <cell r="AK162">
            <v>3312.5</v>
          </cell>
        </row>
        <row r="163">
          <cell r="F163">
            <v>204</v>
          </cell>
          <cell r="P163">
            <v>247</v>
          </cell>
          <cell r="S163">
            <v>303</v>
          </cell>
          <cell r="V163">
            <v>0</v>
          </cell>
          <cell r="X163">
            <v>73</v>
          </cell>
          <cell r="AA163">
            <v>138</v>
          </cell>
          <cell r="AC163">
            <v>87</v>
          </cell>
          <cell r="AF163">
            <v>99</v>
          </cell>
          <cell r="AG163">
            <v>99</v>
          </cell>
          <cell r="AH163">
            <v>0</v>
          </cell>
          <cell r="AK163">
            <v>1013</v>
          </cell>
        </row>
        <row r="164">
          <cell r="P164">
            <v>100</v>
          </cell>
          <cell r="S164">
            <v>107</v>
          </cell>
          <cell r="V164">
            <v>0</v>
          </cell>
          <cell r="X164">
            <v>54</v>
          </cell>
          <cell r="AA164">
            <v>12</v>
          </cell>
          <cell r="AC164">
            <v>206.81818181818181</v>
          </cell>
          <cell r="AF164">
            <v>92</v>
          </cell>
          <cell r="AG164">
            <v>308.72727272727275</v>
          </cell>
          <cell r="AK164">
            <v>161</v>
          </cell>
        </row>
        <row r="165">
          <cell r="F165">
            <v>260</v>
          </cell>
          <cell r="S165">
            <v>868.81818181818176</v>
          </cell>
          <cell r="X165">
            <v>2450.6363636363635</v>
          </cell>
          <cell r="AC165">
            <v>1157.1818181818182</v>
          </cell>
          <cell r="AK165">
            <v>0</v>
          </cell>
        </row>
        <row r="166">
          <cell r="F166">
            <v>14.170833333333334</v>
          </cell>
          <cell r="S166">
            <v>1487</v>
          </cell>
          <cell r="X166">
            <v>2754</v>
          </cell>
          <cell r="AC166">
            <v>1364</v>
          </cell>
          <cell r="AK166">
            <v>14.170833333333334</v>
          </cell>
        </row>
        <row r="167">
          <cell r="F167">
            <v>60</v>
          </cell>
          <cell r="P167">
            <v>124</v>
          </cell>
          <cell r="S167">
            <v>576.63636363636363</v>
          </cell>
          <cell r="V167">
            <v>458.81818181818181</v>
          </cell>
          <cell r="X167">
            <v>333.90909090909088</v>
          </cell>
          <cell r="AA167">
            <v>216.09090909090909</v>
          </cell>
          <cell r="AC167">
            <v>206.81818181818181</v>
          </cell>
          <cell r="AF167">
            <v>187</v>
          </cell>
          <cell r="AG167">
            <v>187</v>
          </cell>
          <cell r="AK167">
            <v>1241.3636363636363</v>
          </cell>
        </row>
        <row r="168">
          <cell r="F168">
            <v>-255</v>
          </cell>
          <cell r="S168">
            <v>643.11363636363637</v>
          </cell>
          <cell r="V168">
            <v>611.18181818181824</v>
          </cell>
          <cell r="X168">
            <v>1433.2409090909091</v>
          </cell>
          <cell r="AA168">
            <v>1560.909090909091</v>
          </cell>
          <cell r="AC168">
            <v>561.88181818181829</v>
          </cell>
          <cell r="AF168">
            <v>0</v>
          </cell>
          <cell r="AG168">
            <v>0</v>
          </cell>
          <cell r="AH168">
            <v>0</v>
          </cell>
          <cell r="AK168">
            <v>2383.2363636363639</v>
          </cell>
        </row>
        <row r="169">
          <cell r="F169">
            <v>850</v>
          </cell>
          <cell r="G169">
            <v>11562.099999999999</v>
          </cell>
          <cell r="H169">
            <v>0</v>
          </cell>
          <cell r="P169">
            <v>689</v>
          </cell>
          <cell r="Q169">
            <v>0</v>
          </cell>
          <cell r="R169">
            <v>0</v>
          </cell>
          <cell r="S169">
            <v>1219.75</v>
          </cell>
          <cell r="T169">
            <v>0</v>
          </cell>
          <cell r="U169">
            <v>0</v>
          </cell>
          <cell r="V169">
            <v>1070</v>
          </cell>
          <cell r="W169">
            <v>0</v>
          </cell>
          <cell r="X169">
            <v>1767.15</v>
          </cell>
          <cell r="Y169">
            <v>17514.503030303029</v>
          </cell>
          <cell r="Z169">
            <v>0</v>
          </cell>
          <cell r="AA169">
            <v>1777</v>
          </cell>
          <cell r="AB169">
            <v>0</v>
          </cell>
          <cell r="AC169">
            <v>768.7</v>
          </cell>
          <cell r="AD169">
            <v>13622.695151515152</v>
          </cell>
          <cell r="AE169">
            <v>0</v>
          </cell>
          <cell r="AF169">
            <v>400</v>
          </cell>
          <cell r="AG169">
            <v>400</v>
          </cell>
          <cell r="AH169">
            <v>0</v>
          </cell>
          <cell r="AI169">
            <v>118.4</v>
          </cell>
          <cell r="AJ169">
            <v>0</v>
          </cell>
          <cell r="AK169">
            <v>5038.3999999999996</v>
          </cell>
        </row>
        <row r="170">
          <cell r="F170">
            <v>459</v>
          </cell>
          <cell r="G170">
            <v>11562.099999999999</v>
          </cell>
          <cell r="H170">
            <v>0</v>
          </cell>
          <cell r="P170">
            <v>0</v>
          </cell>
          <cell r="Q170">
            <v>0</v>
          </cell>
          <cell r="R170">
            <v>0</v>
          </cell>
          <cell r="S170">
            <v>0</v>
          </cell>
          <cell r="T170">
            <v>0</v>
          </cell>
          <cell r="U170">
            <v>0</v>
          </cell>
          <cell r="V170">
            <v>0</v>
          </cell>
          <cell r="W170">
            <v>0</v>
          </cell>
          <cell r="X170">
            <v>0</v>
          </cell>
          <cell r="Y170">
            <v>17514.503030303029</v>
          </cell>
          <cell r="Z170">
            <v>0</v>
          </cell>
          <cell r="AA170">
            <v>0</v>
          </cell>
          <cell r="AB170">
            <v>0</v>
          </cell>
          <cell r="AC170">
            <v>0</v>
          </cell>
          <cell r="AD170">
            <v>13622.695151515152</v>
          </cell>
          <cell r="AE170">
            <v>0</v>
          </cell>
          <cell r="AF170">
            <v>400</v>
          </cell>
          <cell r="AG170">
            <v>400</v>
          </cell>
          <cell r="AH170">
            <v>0</v>
          </cell>
          <cell r="AI170">
            <v>118.4</v>
          </cell>
          <cell r="AJ170">
            <v>0</v>
          </cell>
          <cell r="AK170">
            <v>459</v>
          </cell>
        </row>
        <row r="171">
          <cell r="F171">
            <v>0</v>
          </cell>
          <cell r="G171">
            <v>0</v>
          </cell>
          <cell r="H171">
            <v>0</v>
          </cell>
          <cell r="P171">
            <v>0</v>
          </cell>
          <cell r="R171">
            <v>0</v>
          </cell>
          <cell r="S171">
            <v>0</v>
          </cell>
          <cell r="T171">
            <v>0</v>
          </cell>
          <cell r="U171">
            <v>0</v>
          </cell>
          <cell r="V171">
            <v>0</v>
          </cell>
          <cell r="W171">
            <v>0</v>
          </cell>
          <cell r="X171">
            <v>0</v>
          </cell>
          <cell r="Y171">
            <v>0</v>
          </cell>
          <cell r="Z171">
            <v>0</v>
          </cell>
          <cell r="AA171">
            <v>0</v>
          </cell>
          <cell r="AB171">
            <v>0</v>
          </cell>
          <cell r="AC171">
            <v>0</v>
          </cell>
          <cell r="AE171">
            <v>0</v>
          </cell>
          <cell r="AF171">
            <v>0</v>
          </cell>
          <cell r="AG171">
            <v>0</v>
          </cell>
          <cell r="AH171">
            <v>0</v>
          </cell>
          <cell r="AI171">
            <v>0</v>
          </cell>
          <cell r="AJ171">
            <v>0</v>
          </cell>
          <cell r="AK171">
            <v>0</v>
          </cell>
        </row>
        <row r="172">
          <cell r="F172">
            <v>555</v>
          </cell>
          <cell r="G172">
            <v>0</v>
          </cell>
          <cell r="H172">
            <v>0</v>
          </cell>
          <cell r="P172">
            <v>705.5</v>
          </cell>
          <cell r="Q172">
            <v>0</v>
          </cell>
          <cell r="R172">
            <v>0</v>
          </cell>
          <cell r="S172">
            <v>1978.2</v>
          </cell>
          <cell r="T172">
            <v>0</v>
          </cell>
          <cell r="U172">
            <v>0</v>
          </cell>
          <cell r="V172">
            <v>0</v>
          </cell>
          <cell r="W172">
            <v>0</v>
          </cell>
          <cell r="X172">
            <v>8.5</v>
          </cell>
          <cell r="Y172">
            <v>15984.24090909091</v>
          </cell>
          <cell r="Z172">
            <v>0</v>
          </cell>
          <cell r="AA172">
            <v>0</v>
          </cell>
          <cell r="AB172">
            <v>0</v>
          </cell>
          <cell r="AC172">
            <v>229.5</v>
          </cell>
          <cell r="AD172">
            <v>12866.875151515153</v>
          </cell>
          <cell r="AE172">
            <v>0</v>
          </cell>
          <cell r="AF172">
            <v>202.29999999999998</v>
          </cell>
          <cell r="AG172">
            <v>119</v>
          </cell>
          <cell r="AH172">
            <v>83.299999999999983</v>
          </cell>
          <cell r="AK172">
            <v>3705.7</v>
          </cell>
        </row>
        <row r="173">
          <cell r="F173">
            <v>555</v>
          </cell>
          <cell r="G173">
            <v>0</v>
          </cell>
          <cell r="H173">
            <v>0</v>
          </cell>
          <cell r="P173">
            <v>705.5</v>
          </cell>
          <cell r="Q173">
            <v>0</v>
          </cell>
          <cell r="R173">
            <v>0</v>
          </cell>
          <cell r="S173">
            <v>1978.2</v>
          </cell>
          <cell r="T173">
            <v>0</v>
          </cell>
          <cell r="U173">
            <v>0</v>
          </cell>
          <cell r="V173">
            <v>0</v>
          </cell>
          <cell r="W173">
            <v>0</v>
          </cell>
          <cell r="X173">
            <v>8.5</v>
          </cell>
          <cell r="Y173">
            <v>15984.24090909091</v>
          </cell>
          <cell r="Z173">
            <v>0</v>
          </cell>
          <cell r="AA173">
            <v>0</v>
          </cell>
          <cell r="AB173">
            <v>0</v>
          </cell>
          <cell r="AC173">
            <v>229.5</v>
          </cell>
          <cell r="AD173">
            <v>12866.875151515153</v>
          </cell>
          <cell r="AE173">
            <v>0</v>
          </cell>
          <cell r="AF173">
            <v>202.29999999999998</v>
          </cell>
          <cell r="AG173">
            <v>119</v>
          </cell>
          <cell r="AH173">
            <v>83.299999999999983</v>
          </cell>
          <cell r="AK173">
            <v>3705.7</v>
          </cell>
        </row>
        <row r="174">
          <cell r="F174">
            <v>0</v>
          </cell>
          <cell r="G174">
            <v>0</v>
          </cell>
          <cell r="H174">
            <v>0</v>
          </cell>
          <cell r="P174">
            <v>0</v>
          </cell>
          <cell r="R174">
            <v>0</v>
          </cell>
          <cell r="S174">
            <v>0</v>
          </cell>
          <cell r="T174">
            <v>0</v>
          </cell>
          <cell r="U174">
            <v>0</v>
          </cell>
          <cell r="V174">
            <v>0</v>
          </cell>
          <cell r="W174">
            <v>0</v>
          </cell>
          <cell r="X174">
            <v>0</v>
          </cell>
          <cell r="Y174">
            <v>0</v>
          </cell>
          <cell r="Z174">
            <v>0</v>
          </cell>
          <cell r="AA174">
            <v>0</v>
          </cell>
          <cell r="AB174">
            <v>0</v>
          </cell>
          <cell r="AC174">
            <v>0</v>
          </cell>
          <cell r="AE174">
            <v>0</v>
          </cell>
          <cell r="AF174">
            <v>0</v>
          </cell>
          <cell r="AG174">
            <v>0</v>
          </cell>
          <cell r="AH174">
            <v>0</v>
          </cell>
          <cell r="AK174">
            <v>0</v>
          </cell>
        </row>
        <row r="175">
          <cell r="F175">
            <v>0</v>
          </cell>
          <cell r="P175">
            <v>866.62000000000012</v>
          </cell>
          <cell r="Q175">
            <v>0</v>
          </cell>
          <cell r="R175">
            <v>0</v>
          </cell>
          <cell r="S175">
            <v>1889.28</v>
          </cell>
          <cell r="T175">
            <v>622.80810909090906</v>
          </cell>
          <cell r="U175">
            <v>648.29007272727267</v>
          </cell>
          <cell r="V175">
            <v>0</v>
          </cell>
          <cell r="W175">
            <v>0</v>
          </cell>
          <cell r="X175">
            <v>737.2</v>
          </cell>
          <cell r="AA175">
            <v>0</v>
          </cell>
          <cell r="AB175">
            <v>0</v>
          </cell>
          <cell r="AC175">
            <v>588.18000000000006</v>
          </cell>
          <cell r="AF175">
            <v>1626.6200000000001</v>
          </cell>
          <cell r="AG175">
            <v>0</v>
          </cell>
          <cell r="AH175">
            <v>157.89272727272737</v>
          </cell>
          <cell r="AJ175">
            <v>0</v>
          </cell>
          <cell r="AK175">
            <v>0</v>
          </cell>
          <cell r="AO175">
            <v>391</v>
          </cell>
          <cell r="AP175">
            <v>558</v>
          </cell>
          <cell r="AQ175">
            <v>897.62000000000012</v>
          </cell>
          <cell r="AR175">
            <v>1862.3963636363642</v>
          </cell>
        </row>
        <row r="176">
          <cell r="F176">
            <v>0</v>
          </cell>
          <cell r="G176">
            <v>0</v>
          </cell>
          <cell r="H176">
            <v>0</v>
          </cell>
          <cell r="P176">
            <v>124</v>
          </cell>
          <cell r="Q176">
            <v>0</v>
          </cell>
          <cell r="R176">
            <v>0</v>
          </cell>
          <cell r="S176">
            <v>618.18181818181824</v>
          </cell>
          <cell r="T176">
            <v>0</v>
          </cell>
          <cell r="U176">
            <v>0</v>
          </cell>
          <cell r="V176">
            <v>0</v>
          </cell>
          <cell r="W176">
            <v>0</v>
          </cell>
          <cell r="X176">
            <v>303.36363636363637</v>
          </cell>
          <cell r="Y176">
            <v>198</v>
          </cell>
          <cell r="Z176">
            <v>105.36363636363637</v>
          </cell>
          <cell r="AA176">
            <v>0</v>
          </cell>
          <cell r="AB176">
            <v>0</v>
          </cell>
          <cell r="AC176">
            <v>206.81818181818181</v>
          </cell>
          <cell r="AD176">
            <v>123</v>
          </cell>
          <cell r="AE176">
            <v>83.818181818181813</v>
          </cell>
          <cell r="AF176">
            <v>308.72727272727275</v>
          </cell>
          <cell r="AG176">
            <v>308.72727272727275</v>
          </cell>
          <cell r="AH176">
            <v>0</v>
          </cell>
          <cell r="AK176">
            <v>0</v>
          </cell>
        </row>
        <row r="177">
          <cell r="F177">
            <v>2805</v>
          </cell>
          <cell r="P177">
            <v>66</v>
          </cell>
          <cell r="Q177">
            <v>0</v>
          </cell>
          <cell r="R177">
            <v>0</v>
          </cell>
          <cell r="S177">
            <v>13.666666666666666</v>
          </cell>
          <cell r="T177">
            <v>13.666666666666666</v>
          </cell>
          <cell r="U177">
            <v>0</v>
          </cell>
          <cell r="V177">
            <v>0</v>
          </cell>
          <cell r="W177">
            <v>0</v>
          </cell>
          <cell r="X177">
            <v>785.33333333333337</v>
          </cell>
          <cell r="AA177">
            <v>0</v>
          </cell>
          <cell r="AB177">
            <v>0</v>
          </cell>
          <cell r="AC177">
            <v>40.666666666666664</v>
          </cell>
          <cell r="AF177">
            <v>13</v>
          </cell>
          <cell r="AG177">
            <v>13</v>
          </cell>
          <cell r="AH177">
            <v>0.33333333333333331</v>
          </cell>
          <cell r="AI177">
            <v>0</v>
          </cell>
          <cell r="AJ177">
            <v>0</v>
          </cell>
          <cell r="AK177">
            <v>2805</v>
          </cell>
          <cell r="AO177">
            <v>538</v>
          </cell>
          <cell r="AP177">
            <v>293</v>
          </cell>
          <cell r="AQ177">
            <v>76.587126137841352</v>
          </cell>
          <cell r="AR177">
            <v>30.079540528825305</v>
          </cell>
        </row>
        <row r="178">
          <cell r="F178">
            <v>553</v>
          </cell>
          <cell r="P178">
            <v>871.5200000000001</v>
          </cell>
          <cell r="Q178">
            <v>0</v>
          </cell>
          <cell r="R178">
            <v>0</v>
          </cell>
          <cell r="S178">
            <v>1917.7936363636363</v>
          </cell>
          <cell r="T178">
            <v>656.82706363636362</v>
          </cell>
          <cell r="U178">
            <v>683.33020909090919</v>
          </cell>
          <cell r="V178">
            <v>0</v>
          </cell>
          <cell r="W178">
            <v>0</v>
          </cell>
          <cell r="X178">
            <v>745.15</v>
          </cell>
          <cell r="Y178">
            <v>0</v>
          </cell>
          <cell r="Z178">
            <v>0</v>
          </cell>
          <cell r="AA178">
            <v>0</v>
          </cell>
          <cell r="AB178">
            <v>0</v>
          </cell>
          <cell r="AC178">
            <v>606.86</v>
          </cell>
          <cell r="AF178">
            <v>1712.0700000000002</v>
          </cell>
          <cell r="AG178">
            <v>1562</v>
          </cell>
          <cell r="AH178">
            <v>150.07000000000016</v>
          </cell>
          <cell r="AK178">
            <v>6664.3236363636361</v>
          </cell>
          <cell r="AO178">
            <v>444</v>
          </cell>
          <cell r="AP178">
            <v>520</v>
          </cell>
          <cell r="AQ178">
            <v>974.52</v>
          </cell>
          <cell r="AR178">
            <v>2078.44</v>
          </cell>
        </row>
        <row r="179">
          <cell r="F179">
            <v>0</v>
          </cell>
          <cell r="G179">
            <v>0</v>
          </cell>
          <cell r="H179">
            <v>0</v>
          </cell>
          <cell r="P179">
            <v>124</v>
          </cell>
          <cell r="Q179">
            <v>0</v>
          </cell>
          <cell r="R179">
            <v>0</v>
          </cell>
          <cell r="S179">
            <v>576.63636363636363</v>
          </cell>
          <cell r="T179">
            <v>0</v>
          </cell>
          <cell r="U179">
            <v>0</v>
          </cell>
          <cell r="V179">
            <v>0</v>
          </cell>
          <cell r="W179">
            <v>0</v>
          </cell>
          <cell r="X179">
            <v>333.90909090909088</v>
          </cell>
          <cell r="Y179">
            <v>239</v>
          </cell>
          <cell r="Z179">
            <v>94.909090909090907</v>
          </cell>
          <cell r="AA179">
            <v>0</v>
          </cell>
          <cell r="AB179">
            <v>0</v>
          </cell>
          <cell r="AC179">
            <v>206.81818181818181</v>
          </cell>
          <cell r="AD179">
            <v>148</v>
          </cell>
          <cell r="AE179">
            <v>58.818181818181813</v>
          </cell>
          <cell r="AF179">
            <v>187</v>
          </cell>
          <cell r="AG179">
            <v>187</v>
          </cell>
          <cell r="AH179">
            <v>0</v>
          </cell>
        </row>
        <row r="180">
          <cell r="F180">
            <v>11</v>
          </cell>
          <cell r="P180">
            <v>1</v>
          </cell>
          <cell r="Q180">
            <v>0</v>
          </cell>
          <cell r="R180">
            <v>0</v>
          </cell>
          <cell r="S180">
            <v>93.666666666666671</v>
          </cell>
          <cell r="T180">
            <v>13.666666666666666</v>
          </cell>
          <cell r="U180">
            <v>0</v>
          </cell>
          <cell r="V180">
            <v>0</v>
          </cell>
          <cell r="W180">
            <v>0</v>
          </cell>
          <cell r="X180">
            <v>449</v>
          </cell>
          <cell r="Y180">
            <v>0</v>
          </cell>
          <cell r="Z180">
            <v>0</v>
          </cell>
          <cell r="AA180">
            <v>0</v>
          </cell>
          <cell r="AB180">
            <v>0</v>
          </cell>
          <cell r="AC180">
            <v>274.33333333333331</v>
          </cell>
          <cell r="AF180">
            <v>58.333333333333336</v>
          </cell>
          <cell r="AG180">
            <v>13</v>
          </cell>
          <cell r="AH180">
            <v>0.33333333333333331</v>
          </cell>
          <cell r="AK180">
            <v>-2374.9574999999995</v>
          </cell>
          <cell r="AO180">
            <v>518</v>
          </cell>
          <cell r="AP180">
            <v>232</v>
          </cell>
          <cell r="AQ180">
            <v>7.9613874345549789</v>
          </cell>
          <cell r="AR180">
            <v>85.038612565445021</v>
          </cell>
        </row>
        <row r="181">
          <cell r="AO181" t="str">
            <v>ОЧИК.18.02.</v>
          </cell>
        </row>
        <row r="183">
          <cell r="F183">
            <v>11799</v>
          </cell>
          <cell r="P183">
            <v>290.6666666666664</v>
          </cell>
          <cell r="S183">
            <v>1936.4249999999993</v>
          </cell>
          <cell r="V183">
            <v>382.00000000000051</v>
          </cell>
          <cell r="X183">
            <v>497.51666666666711</v>
          </cell>
          <cell r="AA183">
            <v>237.66666666666663</v>
          </cell>
          <cell r="AC183">
            <v>660.80000000000098</v>
          </cell>
          <cell r="AF183">
            <v>1826.7499999999993</v>
          </cell>
          <cell r="AG183">
            <v>1203.54</v>
          </cell>
          <cell r="AH183">
            <v>623.20999999999981</v>
          </cell>
          <cell r="AP183">
            <v>1507.2</v>
          </cell>
        </row>
        <row r="184">
          <cell r="F184" t="str">
            <v>АПАРАТ ВСЬОГО</v>
          </cell>
          <cell r="G184" t="str">
            <v>АПАРАТ ЕЛЕКТРО</v>
          </cell>
          <cell r="H184" t="str">
            <v>АПАРАТ ТЕПЛО</v>
          </cell>
          <cell r="P184" t="str">
            <v>ККМ</v>
          </cell>
          <cell r="S184" t="str">
            <v>КТМ</v>
          </cell>
          <cell r="X184" t="str">
            <v>ТЕЦ-5 ВСЬОГО</v>
          </cell>
          <cell r="Y184" t="str">
            <v>Е/Е</v>
          </cell>
          <cell r="Z184" t="str">
            <v xml:space="preserve"> Т/Е</v>
          </cell>
          <cell r="AC184" t="str">
            <v>ТЕЦ-6 ВСЬОГО</v>
          </cell>
          <cell r="AD184" t="str">
            <v>Е/Е</v>
          </cell>
          <cell r="AE184" t="str">
            <v xml:space="preserve"> Т/Е</v>
          </cell>
          <cell r="AF184" t="str">
            <v>Е/Е</v>
          </cell>
          <cell r="AG184" t="str">
            <v xml:space="preserve"> Т/Е</v>
          </cell>
          <cell r="AI184" t="str">
            <v xml:space="preserve">ДОП.ВИР. </v>
          </cell>
          <cell r="AJ184" t="str">
            <v>ДОП.ВИР. СТ.ОРГ.</v>
          </cell>
          <cell r="AK184" t="str">
            <v>АК КЕ ВСЬОГО</v>
          </cell>
          <cell r="AL184" t="str">
            <v>Е/Е</v>
          </cell>
          <cell r="AM184" t="str">
            <v xml:space="preserve"> Т/Е</v>
          </cell>
          <cell r="AO184" t="str">
            <v>ОЧИК.18.02.</v>
          </cell>
          <cell r="AP184" t="str">
            <v>СТАНЦІІ ТЕПЛОВІ</v>
          </cell>
          <cell r="AQ184" t="str">
            <v>МЕРЕЖІ ЕЛЕКТРО</v>
          </cell>
          <cell r="AR184" t="str">
            <v>МЕРЕЖІ ТЕПЛОВІ</v>
          </cell>
        </row>
        <row r="187">
          <cell r="F187" t="str">
            <v>АПАРАТ ВСЬОГО</v>
          </cell>
          <cell r="G187" t="str">
            <v>АПАРАТ ЕЛЕКТРО</v>
          </cell>
          <cell r="H187" t="str">
            <v>АПАРАТ ТЕПЛО</v>
          </cell>
          <cell r="P187" t="str">
            <v>ККМ</v>
          </cell>
          <cell r="S187" t="str">
            <v>КТМ</v>
          </cell>
          <cell r="V187" t="str">
            <v>ТЕЦ-5 ВСЬОГО</v>
          </cell>
          <cell r="W187" t="str">
            <v>Е/Е</v>
          </cell>
          <cell r="X187" t="str">
            <v>ТЕЦ-5 ВСЬОГО</v>
          </cell>
          <cell r="Y187" t="str">
            <v>Е/Е</v>
          </cell>
          <cell r="Z187" t="str">
            <v xml:space="preserve"> Т/Е</v>
          </cell>
          <cell r="AA187" t="str">
            <v>ТЕЦ-6 ВСЬОГО</v>
          </cell>
          <cell r="AB187" t="str">
            <v>Е/Е</v>
          </cell>
          <cell r="AC187" t="str">
            <v>ТЕЦ-6 ВСЬОГО</v>
          </cell>
          <cell r="AD187" t="str">
            <v>Е/Е</v>
          </cell>
          <cell r="AE187" t="str">
            <v xml:space="preserve"> Т/Е</v>
          </cell>
          <cell r="AF187" t="str">
            <v>Е/Е</v>
          </cell>
          <cell r="AG187" t="str">
            <v xml:space="preserve"> Т/Е</v>
          </cell>
          <cell r="AK187" t="str">
            <v>АК КЕ ВСЬОГО</v>
          </cell>
          <cell r="AL187" t="str">
            <v>Е/Е</v>
          </cell>
          <cell r="AM187" t="str">
            <v xml:space="preserve"> Т/Е</v>
          </cell>
          <cell r="AO187" t="str">
            <v>СТАНЦІї ЕЛЕКТРО</v>
          </cell>
          <cell r="AP187" t="str">
            <v>СТАНЦІІ ТЕПЛОВІ</v>
          </cell>
          <cell r="AQ187" t="str">
            <v>МЕРЕЖІ ЕЛЕКТРО</v>
          </cell>
          <cell r="AR187" t="str">
            <v>МЕРЕЖІ ТЕПЛОВІ</v>
          </cell>
        </row>
        <row r="188">
          <cell r="S188">
            <v>16.899999999999999</v>
          </cell>
          <cell r="X188">
            <v>74</v>
          </cell>
          <cell r="AC188">
            <v>62.9</v>
          </cell>
          <cell r="AK188">
            <v>153.80000000000001</v>
          </cell>
          <cell r="AO188">
            <v>252.49999999999997</v>
          </cell>
        </row>
        <row r="189">
          <cell r="P189">
            <v>0</v>
          </cell>
          <cell r="S189">
            <v>0</v>
          </cell>
          <cell r="X189">
            <v>0</v>
          </cell>
          <cell r="AC189">
            <v>0</v>
          </cell>
          <cell r="AO189">
            <v>66</v>
          </cell>
        </row>
        <row r="190">
          <cell r="P190">
            <v>0</v>
          </cell>
          <cell r="S190">
            <v>15.3</v>
          </cell>
          <cell r="V190">
            <v>58.7</v>
          </cell>
          <cell r="X190">
            <v>64.2</v>
          </cell>
          <cell r="AA190">
            <v>55</v>
          </cell>
          <cell r="AC190">
            <v>53.8</v>
          </cell>
          <cell r="AK190">
            <v>133.30000000000001</v>
          </cell>
          <cell r="AO190">
            <v>221.49122807017542</v>
          </cell>
        </row>
        <row r="191">
          <cell r="S191">
            <v>17.600000000000001</v>
          </cell>
          <cell r="V191">
            <v>67.3</v>
          </cell>
          <cell r="X191">
            <v>73.5</v>
          </cell>
          <cell r="AA191">
            <v>63</v>
          </cell>
          <cell r="AC191">
            <v>61.7</v>
          </cell>
          <cell r="AK191">
            <v>152.79999999999998</v>
          </cell>
          <cell r="AO191">
            <v>252.49999999999997</v>
          </cell>
        </row>
        <row r="192">
          <cell r="P192">
            <v>0</v>
          </cell>
          <cell r="S192">
            <v>0</v>
          </cell>
          <cell r="V192">
            <v>0</v>
          </cell>
          <cell r="X192">
            <v>0</v>
          </cell>
          <cell r="AA192">
            <v>0</v>
          </cell>
          <cell r="AC192">
            <v>0</v>
          </cell>
          <cell r="AK192">
            <v>25873</v>
          </cell>
          <cell r="AO192">
            <v>66</v>
          </cell>
        </row>
        <row r="193">
          <cell r="P193">
            <v>0</v>
          </cell>
          <cell r="S193">
            <v>192.5</v>
          </cell>
          <cell r="V193">
            <v>192.5</v>
          </cell>
          <cell r="X193">
            <v>192.5</v>
          </cell>
          <cell r="AA193">
            <v>192.5</v>
          </cell>
          <cell r="AC193">
            <v>192.5</v>
          </cell>
          <cell r="AK193">
            <v>192.5</v>
          </cell>
          <cell r="AO193">
            <v>0</v>
          </cell>
        </row>
        <row r="194">
          <cell r="S194">
            <v>2945</v>
          </cell>
          <cell r="V194">
            <v>11300</v>
          </cell>
          <cell r="X194">
            <v>12359</v>
          </cell>
          <cell r="AA194">
            <v>10588</v>
          </cell>
          <cell r="AC194">
            <v>10357</v>
          </cell>
          <cell r="AK194">
            <v>25661</v>
          </cell>
          <cell r="AO194">
            <v>0</v>
          </cell>
        </row>
        <row r="195">
          <cell r="X195">
            <v>82.5</v>
          </cell>
          <cell r="AC195">
            <v>82.5</v>
          </cell>
          <cell r="AK195">
            <v>25661</v>
          </cell>
        </row>
        <row r="196">
          <cell r="V196">
            <v>0</v>
          </cell>
          <cell r="X196">
            <v>0</v>
          </cell>
          <cell r="AA196">
            <v>0</v>
          </cell>
          <cell r="AC196">
            <v>0</v>
          </cell>
          <cell r="AK196">
            <v>0</v>
          </cell>
        </row>
        <row r="197">
          <cell r="S197">
            <v>0</v>
          </cell>
          <cell r="V197">
            <v>0</v>
          </cell>
          <cell r="X197">
            <v>0</v>
          </cell>
          <cell r="AA197">
            <v>0</v>
          </cell>
          <cell r="AC197">
            <v>0</v>
          </cell>
          <cell r="AK197">
            <v>0</v>
          </cell>
        </row>
        <row r="198">
          <cell r="V198">
            <v>82.5</v>
          </cell>
          <cell r="X198">
            <v>82.5</v>
          </cell>
          <cell r="AA198">
            <v>82.5</v>
          </cell>
          <cell r="AC198">
            <v>82.5</v>
          </cell>
        </row>
        <row r="199">
          <cell r="V199">
            <v>0</v>
          </cell>
          <cell r="X199">
            <v>0</v>
          </cell>
          <cell r="AA199">
            <v>0</v>
          </cell>
          <cell r="AC199">
            <v>0</v>
          </cell>
          <cell r="AK199">
            <v>0</v>
          </cell>
          <cell r="AO199">
            <v>75.839416058394164</v>
          </cell>
        </row>
        <row r="200">
          <cell r="S200">
            <v>0</v>
          </cell>
          <cell r="V200">
            <v>0</v>
          </cell>
          <cell r="X200">
            <v>0</v>
          </cell>
          <cell r="AA200">
            <v>0</v>
          </cell>
          <cell r="AC200">
            <v>0</v>
          </cell>
          <cell r="AK200">
            <v>0</v>
          </cell>
          <cell r="AO200">
            <v>103.9</v>
          </cell>
        </row>
        <row r="201">
          <cell r="F201">
            <v>75</v>
          </cell>
          <cell r="P201">
            <v>75</v>
          </cell>
          <cell r="AJ201">
            <v>0</v>
          </cell>
          <cell r="AO201" t="e">
            <v>#DIV/0!</v>
          </cell>
          <cell r="AR201">
            <v>75</v>
          </cell>
        </row>
        <row r="202">
          <cell r="S202">
            <v>385</v>
          </cell>
          <cell r="V202">
            <v>0</v>
          </cell>
          <cell r="X202">
            <v>0</v>
          </cell>
          <cell r="AA202">
            <v>0</v>
          </cell>
          <cell r="AC202">
            <v>0</v>
          </cell>
          <cell r="AK202">
            <v>0</v>
          </cell>
          <cell r="AO202">
            <v>75.839416058394164</v>
          </cell>
        </row>
        <row r="203">
          <cell r="S203">
            <v>0</v>
          </cell>
          <cell r="V203">
            <v>0</v>
          </cell>
          <cell r="X203">
            <v>0</v>
          </cell>
          <cell r="AA203">
            <v>0</v>
          </cell>
          <cell r="AC203">
            <v>0</v>
          </cell>
          <cell r="AK203">
            <v>0</v>
          </cell>
          <cell r="AO203">
            <v>103.9</v>
          </cell>
        </row>
        <row r="204">
          <cell r="F204">
            <v>75</v>
          </cell>
          <cell r="P204">
            <v>75</v>
          </cell>
          <cell r="AK204">
            <v>0</v>
          </cell>
          <cell r="AO204" t="e">
            <v>#DIV/0!</v>
          </cell>
          <cell r="AR204">
            <v>75</v>
          </cell>
        </row>
        <row r="205">
          <cell r="S205">
            <v>385</v>
          </cell>
          <cell r="V205">
            <v>385</v>
          </cell>
          <cell r="X205">
            <v>385</v>
          </cell>
          <cell r="Y205">
            <v>48.4</v>
          </cell>
          <cell r="Z205">
            <v>25.6</v>
          </cell>
          <cell r="AA205">
            <v>385</v>
          </cell>
          <cell r="AC205">
            <v>385</v>
          </cell>
          <cell r="AD205">
            <v>37.299999999999997</v>
          </cell>
          <cell r="AE205">
            <v>25.6</v>
          </cell>
          <cell r="AK205">
            <v>385</v>
          </cell>
          <cell r="AL205">
            <v>85.699999999999989</v>
          </cell>
          <cell r="AM205">
            <v>68.099999999999994</v>
          </cell>
          <cell r="AO205">
            <v>195.28</v>
          </cell>
          <cell r="AP205">
            <v>74.900000000000006</v>
          </cell>
          <cell r="AQ205">
            <v>281.5</v>
          </cell>
        </row>
        <row r="206">
          <cell r="S206">
            <v>0</v>
          </cell>
          <cell r="V206">
            <v>0</v>
          </cell>
          <cell r="X206">
            <v>0</v>
          </cell>
          <cell r="Y206">
            <v>8146</v>
          </cell>
          <cell r="Z206">
            <v>4309</v>
          </cell>
          <cell r="AA206">
            <v>0</v>
          </cell>
          <cell r="AC206">
            <v>0</v>
          </cell>
          <cell r="AD206">
            <v>6279</v>
          </cell>
          <cell r="AE206">
            <v>4309</v>
          </cell>
          <cell r="AK206">
            <v>0</v>
          </cell>
          <cell r="AL206">
            <v>14425</v>
          </cell>
          <cell r="AM206">
            <v>11448</v>
          </cell>
          <cell r="AO206">
            <v>14810</v>
          </cell>
          <cell r="AP206">
            <v>3112.427048260382</v>
          </cell>
          <cell r="AQ206">
            <v>11697.572951739618</v>
          </cell>
        </row>
        <row r="207">
          <cell r="S207">
            <v>167.46</v>
          </cell>
          <cell r="X207">
            <v>168.31</v>
          </cell>
          <cell r="Y207">
            <v>168.31</v>
          </cell>
          <cell r="Z207">
            <v>168.32</v>
          </cell>
          <cell r="AC207">
            <v>168.33</v>
          </cell>
          <cell r="AD207">
            <v>168.34</v>
          </cell>
          <cell r="AE207">
            <v>168.32</v>
          </cell>
          <cell r="AI207">
            <v>0</v>
          </cell>
          <cell r="AJ207">
            <v>0</v>
          </cell>
          <cell r="AK207">
            <v>0</v>
          </cell>
          <cell r="AL207">
            <v>168.32</v>
          </cell>
          <cell r="AM207">
            <v>168.11</v>
          </cell>
          <cell r="AO207">
            <v>41.55</v>
          </cell>
          <cell r="AP207">
            <v>41.55</v>
          </cell>
          <cell r="AQ207">
            <v>41.55</v>
          </cell>
          <cell r="AR207">
            <v>0</v>
          </cell>
        </row>
        <row r="208">
          <cell r="S208">
            <v>17.600000000000001</v>
          </cell>
          <cell r="V208">
            <v>67.3</v>
          </cell>
          <cell r="W208">
            <v>54.6</v>
          </cell>
          <cell r="X208">
            <v>73.5</v>
          </cell>
          <cell r="Y208">
            <v>52.8</v>
          </cell>
          <cell r="Z208">
            <v>20.700000000000003</v>
          </cell>
          <cell r="AA208">
            <v>63</v>
          </cell>
          <cell r="AB208">
            <v>50</v>
          </cell>
          <cell r="AC208">
            <v>61.7</v>
          </cell>
          <cell r="AD208">
            <v>43.9</v>
          </cell>
          <cell r="AE208">
            <v>17.8</v>
          </cell>
          <cell r="AK208">
            <v>152.79999999999998</v>
          </cell>
          <cell r="AL208">
            <v>96.699999999999989</v>
          </cell>
          <cell r="AM208">
            <v>56.1</v>
          </cell>
          <cell r="AO208">
            <v>356.4</v>
          </cell>
          <cell r="AP208">
            <v>74.900000000000006</v>
          </cell>
          <cell r="AQ208">
            <v>281.5</v>
          </cell>
        </row>
        <row r="209">
          <cell r="S209">
            <v>2945</v>
          </cell>
          <cell r="V209">
            <v>11300</v>
          </cell>
          <cell r="W209">
            <v>9168</v>
          </cell>
          <cell r="X209">
            <v>12359</v>
          </cell>
          <cell r="Y209">
            <v>8878</v>
          </cell>
          <cell r="Z209">
            <v>3481</v>
          </cell>
          <cell r="AA209">
            <v>3481</v>
          </cell>
          <cell r="AB209">
            <v>8403</v>
          </cell>
          <cell r="AC209">
            <v>10357</v>
          </cell>
          <cell r="AD209">
            <v>7369</v>
          </cell>
          <cell r="AE209">
            <v>2988</v>
          </cell>
          <cell r="AK209">
            <v>25661</v>
          </cell>
          <cell r="AL209">
            <v>16247</v>
          </cell>
          <cell r="AM209">
            <v>9414</v>
          </cell>
          <cell r="AO209">
            <v>14810</v>
          </cell>
          <cell r="AP209">
            <v>3112.427048260382</v>
          </cell>
          <cell r="AQ209">
            <v>11697.572951739618</v>
          </cell>
        </row>
        <row r="210">
          <cell r="S210">
            <v>167.33</v>
          </cell>
          <cell r="V210">
            <v>167.9</v>
          </cell>
          <cell r="W210">
            <v>167.91</v>
          </cell>
          <cell r="X210">
            <v>168.15</v>
          </cell>
          <cell r="Y210">
            <v>168.14</v>
          </cell>
          <cell r="Z210">
            <v>168.16</v>
          </cell>
          <cell r="AA210">
            <v>168.06</v>
          </cell>
          <cell r="AB210">
            <v>168.06</v>
          </cell>
          <cell r="AC210">
            <v>167.86</v>
          </cell>
          <cell r="AD210">
            <v>167.86</v>
          </cell>
          <cell r="AE210">
            <v>167.87</v>
          </cell>
          <cell r="AK210">
            <v>167.94</v>
          </cell>
          <cell r="AL210">
            <v>168.01</v>
          </cell>
          <cell r="AM210">
            <v>167.81</v>
          </cell>
          <cell r="AO210">
            <v>41.55</v>
          </cell>
          <cell r="AP210">
            <v>41.55</v>
          </cell>
          <cell r="AQ210">
            <v>41.55</v>
          </cell>
          <cell r="AR210">
            <v>0</v>
          </cell>
        </row>
        <row r="211">
          <cell r="AM211">
            <v>0</v>
          </cell>
          <cell r="AO211">
            <v>52</v>
          </cell>
          <cell r="AP211">
            <v>52</v>
          </cell>
        </row>
        <row r="212">
          <cell r="V212">
            <v>11300</v>
          </cell>
          <cell r="X212">
            <v>12359</v>
          </cell>
          <cell r="AA212">
            <v>10588</v>
          </cell>
          <cell r="AC212">
            <v>10357</v>
          </cell>
          <cell r="AK212">
            <v>25661</v>
          </cell>
          <cell r="AL212">
            <v>16247</v>
          </cell>
          <cell r="AM212">
            <v>9414</v>
          </cell>
          <cell r="AO212">
            <v>14862</v>
          </cell>
          <cell r="AP212">
            <v>3164.427048260382</v>
          </cell>
          <cell r="AQ212">
            <v>11697.572951739618</v>
          </cell>
        </row>
        <row r="218">
          <cell r="G218" t="str">
            <v>Б.В.ЯЩЕНКО</v>
          </cell>
        </row>
        <row r="219">
          <cell r="G219" t="str">
            <v>М.В.ТЕРПИЛО</v>
          </cell>
        </row>
        <row r="220">
          <cell r="G220" t="str">
            <v xml:space="preserve">В.І.МИРГОРОДСЬКИЙ                                  </v>
          </cell>
        </row>
        <row r="221">
          <cell r="G221" t="str">
            <v xml:space="preserve">М.І.ШЕВЧЕНКО                                 </v>
          </cell>
        </row>
        <row r="222">
          <cell r="G222" t="str">
            <v>В.Ю.МОНТЬЕВ</v>
          </cell>
        </row>
        <row r="223">
          <cell r="G223" t="str">
            <v xml:space="preserve">О.М.НИКОЛЕНКО      </v>
          </cell>
          <cell r="AP223">
            <v>1507.2</v>
          </cell>
        </row>
        <row r="227">
          <cell r="AP227">
            <v>1507.2</v>
          </cell>
        </row>
        <row r="238">
          <cell r="AG238" t="str">
            <v xml:space="preserve">         Затверджую</v>
          </cell>
        </row>
        <row r="239">
          <cell r="AG239" t="str">
            <v xml:space="preserve"> Голова правління </v>
          </cell>
        </row>
        <row r="240">
          <cell r="AG240" t="str">
            <v xml:space="preserve">                        І.В.Плачков</v>
          </cell>
        </row>
        <row r="241">
          <cell r="AG241" t="str">
            <v xml:space="preserve">   "_____" ________2000 р.</v>
          </cell>
        </row>
        <row r="242">
          <cell r="AG242" t="str">
            <v xml:space="preserve">         Затверджую</v>
          </cell>
        </row>
        <row r="243">
          <cell r="AG243" t="str">
            <v xml:space="preserve"> Голова правління </v>
          </cell>
        </row>
        <row r="244">
          <cell r="AG244" t="str">
            <v xml:space="preserve">                        І.В.Плачков</v>
          </cell>
        </row>
        <row r="245">
          <cell r="F245" t="str">
            <v>РОЗРАХУНОК ФІНАНСОВИХ ПОТОКІВ НА   березень  2000 року</v>
          </cell>
          <cell r="AG245" t="str">
            <v xml:space="preserve">   "_____" ________2000 р.</v>
          </cell>
        </row>
        <row r="246">
          <cell r="F246" t="str">
            <v>ПО ФІЛІАЛАХ АК КИЇВЕНЕРГО</v>
          </cell>
        </row>
        <row r="249">
          <cell r="F249" t="str">
            <v>РОЗРАХУНОК ФІНАНСОВИХ ПОТОКІВ НА   березень  2000 року</v>
          </cell>
        </row>
        <row r="250">
          <cell r="F250" t="str">
            <v>ПО ФІЛІАЛАХ АК КИЇВЕНЕРГО</v>
          </cell>
        </row>
        <row r="251">
          <cell r="AK251" t="str">
            <v>тис.грн.</v>
          </cell>
        </row>
        <row r="252">
          <cell r="F252" t="str">
            <v>ВИКОН.ДИР.</v>
          </cell>
          <cell r="G252" t="str">
            <v>АПАРАТ ЕЛЕКТРО</v>
          </cell>
          <cell r="H252" t="str">
            <v>АПАРАТ ТЕПЛО</v>
          </cell>
          <cell r="P252" t="str">
            <v>КМ</v>
          </cell>
          <cell r="Q252" t="str">
            <v>ТМ</v>
          </cell>
          <cell r="S252" t="str">
            <v>КТМ</v>
          </cell>
          <cell r="T252" t="str">
            <v>ВИРОБН</v>
          </cell>
          <cell r="U252" t="str">
            <v>ПЕРЕД</v>
          </cell>
          <cell r="V252" t="str">
            <v>ТЕЦ-5 ВСЬОГО</v>
          </cell>
          <cell r="W252" t="str">
            <v>Е/Е</v>
          </cell>
          <cell r="X252" t="str">
            <v>ТЕЦ-5 ВСЬОГО</v>
          </cell>
          <cell r="Y252" t="str">
            <v>Е/Е</v>
          </cell>
          <cell r="Z252" t="str">
            <v xml:space="preserve"> Т/Е</v>
          </cell>
          <cell r="AA252" t="str">
            <v>ТЕЦ-6 ВСЬОГО</v>
          </cell>
          <cell r="AB252" t="str">
            <v>Е/Е</v>
          </cell>
          <cell r="AC252" t="str">
            <v>ТЕЦ-6 ВСЬОГО</v>
          </cell>
          <cell r="AD252" t="str">
            <v>Е/Е</v>
          </cell>
          <cell r="AE252" t="str">
            <v xml:space="preserve"> Т/Е</v>
          </cell>
          <cell r="AF252" t="str">
            <v>ТРМ ВСЬОГО</v>
          </cell>
          <cell r="AG252" t="str">
            <v>ТРМ  АК КЕ</v>
          </cell>
          <cell r="AH252" t="str">
            <v>ТРМ СТОР</v>
          </cell>
          <cell r="AK252" t="str">
            <v>АК КЕ осн.вир.</v>
          </cell>
          <cell r="AL252" t="str">
            <v>АК КЕ ВСЬОГО</v>
          </cell>
          <cell r="AM252" t="str">
            <v xml:space="preserve"> Т/Е</v>
          </cell>
          <cell r="AO252" t="str">
            <v>СТАНЦІї ЕЛЕКТРО</v>
          </cell>
          <cell r="AP252" t="str">
            <v>СТАНЦІІ ТЕПЛОВІ</v>
          </cell>
          <cell r="AQ252" t="str">
            <v>МЕРЕЖІ ЕЛЕКТРО</v>
          </cell>
          <cell r="AR252" t="str">
            <v>МЕРЕЖІ ТЕПЛОВІ</v>
          </cell>
        </row>
        <row r="253">
          <cell r="F253">
            <v>4887</v>
          </cell>
          <cell r="P253">
            <v>2489.2866666666664</v>
          </cell>
          <cell r="S253">
            <v>6569.1989393939384</v>
          </cell>
          <cell r="V253">
            <v>2576.1318181818187</v>
          </cell>
          <cell r="X253">
            <v>3133.4075757575761</v>
          </cell>
          <cell r="AA253">
            <v>2709.5690909090908</v>
          </cell>
          <cell r="AC253">
            <v>2333.3751515151525</v>
          </cell>
          <cell r="AF253">
            <v>4511.4533333333329</v>
          </cell>
          <cell r="AG253">
            <v>3609.54</v>
          </cell>
          <cell r="AH253">
            <v>856.9133333333333</v>
          </cell>
          <cell r="AK253">
            <v>25151.721666666665</v>
          </cell>
        </row>
        <row r="255">
          <cell r="F255">
            <v>14595.584285714285</v>
          </cell>
          <cell r="G255">
            <v>2806.3625654450261</v>
          </cell>
          <cell r="H255">
            <v>2259.6374345549739</v>
          </cell>
          <cell r="P255">
            <v>2489.2866666666664</v>
          </cell>
          <cell r="Q255">
            <v>0</v>
          </cell>
          <cell r="R255">
            <v>0</v>
          </cell>
          <cell r="S255">
            <v>6569.1989393939384</v>
          </cell>
          <cell r="T255">
            <v>2125.1968969696973</v>
          </cell>
          <cell r="U255">
            <v>2413.8020424242422</v>
          </cell>
          <cell r="V255">
            <v>0</v>
          </cell>
          <cell r="W255">
            <v>0</v>
          </cell>
          <cell r="X255">
            <v>3133.4075757575761</v>
          </cell>
          <cell r="Y255">
            <v>2243</v>
          </cell>
          <cell r="Z255">
            <v>881.90757575757618</v>
          </cell>
          <cell r="AA255">
            <v>0</v>
          </cell>
          <cell r="AB255">
            <v>0</v>
          </cell>
          <cell r="AC255">
            <v>2333.3751515151525</v>
          </cell>
          <cell r="AD255">
            <v>1496</v>
          </cell>
          <cell r="AE255">
            <v>607.87515151515208</v>
          </cell>
          <cell r="AF255">
            <v>4511.4533333333329</v>
          </cell>
          <cell r="AG255">
            <v>3609.54</v>
          </cell>
          <cell r="AH255">
            <v>856.9133333333333</v>
          </cell>
          <cell r="AI255" t="str">
            <v>ТИС.ГРН.</v>
          </cell>
          <cell r="AK255">
            <v>61359.725952380955</v>
          </cell>
          <cell r="AM255">
            <v>42757.25</v>
          </cell>
        </row>
        <row r="256">
          <cell r="F256">
            <v>9158.2509523809513</v>
          </cell>
          <cell r="G256">
            <v>2560.3625654450261</v>
          </cell>
          <cell r="H256">
            <v>1952.6374345549739</v>
          </cell>
          <cell r="P256">
            <v>475.74999999999989</v>
          </cell>
          <cell r="Q256" t="str">
            <v>ТМ</v>
          </cell>
          <cell r="S256">
            <v>2876.2916666666656</v>
          </cell>
          <cell r="T256">
            <v>1380.5298333333337</v>
          </cell>
          <cell r="U256">
            <v>1269.3118333333332</v>
          </cell>
          <cell r="V256">
            <v>1033.0000000000005</v>
          </cell>
          <cell r="W256">
            <v>1364</v>
          </cell>
          <cell r="X256">
            <v>721.46666666666692</v>
          </cell>
          <cell r="Y256">
            <v>1589</v>
          </cell>
          <cell r="Z256">
            <v>624.33333333333371</v>
          </cell>
          <cell r="AA256">
            <v>624</v>
          </cell>
          <cell r="AB256">
            <v>1140</v>
          </cell>
          <cell r="AC256">
            <v>940.63333333333412</v>
          </cell>
          <cell r="AD256">
            <v>923</v>
          </cell>
          <cell r="AE256">
            <v>374.83333333333388</v>
          </cell>
          <cell r="AF256">
            <v>578.56666666666615</v>
          </cell>
          <cell r="AG256">
            <v>327.53999999999996</v>
          </cell>
          <cell r="AH256">
            <v>207.02666666666664</v>
          </cell>
          <cell r="AI256" t="str">
            <v xml:space="preserve">ДОП.ВИР. </v>
          </cell>
          <cell r="AJ256" t="str">
            <v>ДОП.ВИР. СТ.ОРГ.</v>
          </cell>
          <cell r="AK256">
            <v>45600.045952380948</v>
          </cell>
          <cell r="AL256" t="str">
            <v>АК КЕ ВСЬОГО</v>
          </cell>
          <cell r="AM256">
            <v>14494.392619047618</v>
          </cell>
          <cell r="AO256" t="str">
            <v>СТАНЦІї ЕЛЕКТРО</v>
          </cell>
          <cell r="AP256" t="str">
            <v>СТАНЦІІ ТЕПЛОВІ</v>
          </cell>
          <cell r="AQ256" t="str">
            <v>МЕРЕЖІ ЕЛЕКТРО</v>
          </cell>
          <cell r="AR256" t="str">
            <v>МЕРЕЖІ ТЕПЛОВІ</v>
          </cell>
        </row>
        <row r="257">
          <cell r="F257">
            <v>39848.917619047621</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J257">
            <v>7599</v>
          </cell>
          <cell r="AK257">
            <v>39848.917619047621</v>
          </cell>
        </row>
        <row r="258">
          <cell r="F258">
            <v>25661</v>
          </cell>
          <cell r="AK258">
            <v>25661</v>
          </cell>
        </row>
        <row r="259">
          <cell r="F259">
            <v>4189</v>
          </cell>
          <cell r="G259">
            <v>1757.3537061118332</v>
          </cell>
          <cell r="H259">
            <v>2187.7462938881663</v>
          </cell>
          <cell r="P259">
            <v>2694.62</v>
          </cell>
          <cell r="Q259">
            <v>0</v>
          </cell>
          <cell r="R259">
            <v>0</v>
          </cell>
          <cell r="S259">
            <v>7710.7648484848487</v>
          </cell>
          <cell r="T259">
            <v>2690.8247757575755</v>
          </cell>
          <cell r="U259">
            <v>2611.9400727272728</v>
          </cell>
          <cell r="V259">
            <v>0</v>
          </cell>
          <cell r="W259">
            <v>0</v>
          </cell>
          <cell r="X259">
            <v>4714.5030303030289</v>
          </cell>
          <cell r="Y259">
            <v>2941</v>
          </cell>
          <cell r="Z259">
            <v>1555.5030303030308</v>
          </cell>
          <cell r="AA259">
            <v>0</v>
          </cell>
          <cell r="AB259">
            <v>0</v>
          </cell>
          <cell r="AC259">
            <v>2516.6951515151522</v>
          </cell>
          <cell r="AD259">
            <v>1377</v>
          </cell>
          <cell r="AE259">
            <v>944.69515151515134</v>
          </cell>
          <cell r="AF259">
            <v>4357.5593939393939</v>
          </cell>
          <cell r="AG259">
            <v>3406</v>
          </cell>
          <cell r="AH259">
            <v>952.89272727272737</v>
          </cell>
          <cell r="AI259">
            <v>847.2</v>
          </cell>
          <cell r="AJ259">
            <v>0</v>
          </cell>
          <cell r="AK259">
            <v>4189</v>
          </cell>
          <cell r="AM259">
            <v>48748.25</v>
          </cell>
        </row>
        <row r="260">
          <cell r="F260">
            <v>6438.9176190476192</v>
          </cell>
          <cell r="G260">
            <v>1560.3537061118332</v>
          </cell>
          <cell r="H260">
            <v>1880.6462938881664</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229.20000000000005</v>
          </cell>
          <cell r="AJ260">
            <v>-2455</v>
          </cell>
          <cell r="AK260">
            <v>6438.9176190476192</v>
          </cell>
          <cell r="AM260">
            <v>14653.6</v>
          </cell>
        </row>
        <row r="261">
          <cell r="F261">
            <v>290.33333333333331</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K261">
            <v>290.33333333333331</v>
          </cell>
        </row>
        <row r="262">
          <cell r="F262">
            <v>0</v>
          </cell>
          <cell r="AK262">
            <v>0</v>
          </cell>
        </row>
        <row r="263">
          <cell r="F263">
            <v>2162.5842857142857</v>
          </cell>
          <cell r="AK263">
            <v>2162.5842857142857</v>
          </cell>
        </row>
        <row r="264">
          <cell r="F264">
            <v>3500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K264">
            <v>3500</v>
          </cell>
        </row>
        <row r="265">
          <cell r="F265">
            <v>0</v>
          </cell>
          <cell r="AK265">
            <v>0</v>
          </cell>
        </row>
        <row r="266">
          <cell r="F266">
            <v>486</v>
          </cell>
          <cell r="P266">
            <v>0</v>
          </cell>
          <cell r="S266">
            <v>0</v>
          </cell>
          <cell r="V266">
            <v>0</v>
          </cell>
          <cell r="X266">
            <v>0</v>
          </cell>
          <cell r="AA266">
            <v>0</v>
          </cell>
          <cell r="AC266">
            <v>0</v>
          </cell>
          <cell r="AF266">
            <v>0</v>
          </cell>
          <cell r="AG266">
            <v>0</v>
          </cell>
          <cell r="AH266">
            <v>0</v>
          </cell>
          <cell r="AK266">
            <v>486</v>
          </cell>
        </row>
        <row r="267">
          <cell r="F267">
            <v>3400</v>
          </cell>
          <cell r="AK267">
            <v>3400</v>
          </cell>
        </row>
        <row r="268">
          <cell r="F268">
            <v>160</v>
          </cell>
          <cell r="P268">
            <v>0</v>
          </cell>
          <cell r="S268">
            <v>0</v>
          </cell>
          <cell r="V268">
            <v>0</v>
          </cell>
          <cell r="X268">
            <v>0</v>
          </cell>
          <cell r="AA268">
            <v>18</v>
          </cell>
          <cell r="AC268">
            <v>0</v>
          </cell>
          <cell r="AF268">
            <v>0</v>
          </cell>
          <cell r="AG268">
            <v>0</v>
          </cell>
          <cell r="AH268">
            <v>0</v>
          </cell>
          <cell r="AK268">
            <v>160</v>
          </cell>
        </row>
        <row r="269">
          <cell r="F269">
            <v>44735.917619047621</v>
          </cell>
          <cell r="P269">
            <v>2489.2866666666664</v>
          </cell>
          <cell r="Q269">
            <v>0</v>
          </cell>
          <cell r="R269">
            <v>0</v>
          </cell>
          <cell r="S269">
            <v>6569.1989393939384</v>
          </cell>
          <cell r="T269">
            <v>0</v>
          </cell>
          <cell r="U269">
            <v>0</v>
          </cell>
          <cell r="V269">
            <v>0</v>
          </cell>
          <cell r="W269">
            <v>0</v>
          </cell>
          <cell r="X269">
            <v>3133.4075757575761</v>
          </cell>
          <cell r="Y269">
            <v>0</v>
          </cell>
          <cell r="Z269">
            <v>0</v>
          </cell>
          <cell r="AA269">
            <v>0</v>
          </cell>
          <cell r="AB269">
            <v>0</v>
          </cell>
          <cell r="AC269">
            <v>2333.3751515151525</v>
          </cell>
          <cell r="AD269">
            <v>0</v>
          </cell>
          <cell r="AE269">
            <v>0</v>
          </cell>
          <cell r="AF269">
            <v>4511.4533333333329</v>
          </cell>
          <cell r="AG269">
            <v>3609.54</v>
          </cell>
          <cell r="AH269">
            <v>856.9133333333333</v>
          </cell>
          <cell r="AK269">
            <v>65000.639285714286</v>
          </cell>
        </row>
        <row r="270">
          <cell r="F270">
            <v>1747</v>
          </cell>
          <cell r="P270">
            <v>1682.9366666666667</v>
          </cell>
          <cell r="Q270">
            <v>0</v>
          </cell>
          <cell r="R270">
            <v>0</v>
          </cell>
          <cell r="S270">
            <v>3603.4603030303033</v>
          </cell>
          <cell r="T270">
            <v>670.49373030303025</v>
          </cell>
          <cell r="U270">
            <v>683.33020909090919</v>
          </cell>
          <cell r="V270">
            <v>0</v>
          </cell>
          <cell r="W270">
            <v>0</v>
          </cell>
          <cell r="X270">
            <v>1387.7</v>
          </cell>
          <cell r="Y270">
            <v>494</v>
          </cell>
          <cell r="Z270">
            <v>194.2409090909091</v>
          </cell>
          <cell r="AA270">
            <v>0</v>
          </cell>
          <cell r="AB270">
            <v>0</v>
          </cell>
          <cell r="AC270">
            <v>930.19333333333338</v>
          </cell>
          <cell r="AD270">
            <v>293</v>
          </cell>
          <cell r="AE270">
            <v>120.37515151515153</v>
          </cell>
          <cell r="AF270">
            <v>3419.2200000000003</v>
          </cell>
          <cell r="AG270">
            <v>2768</v>
          </cell>
          <cell r="AH270">
            <v>650.22</v>
          </cell>
          <cell r="AI270">
            <v>0</v>
          </cell>
          <cell r="AK270">
            <v>13676.510303030303</v>
          </cell>
        </row>
        <row r="271">
          <cell r="F271">
            <v>553</v>
          </cell>
          <cell r="G271">
            <v>246</v>
          </cell>
          <cell r="H271">
            <v>307</v>
          </cell>
          <cell r="P271">
            <v>871.5200000000001</v>
          </cell>
          <cell r="S271">
            <v>1917.7936363636363</v>
          </cell>
          <cell r="T271">
            <v>656.82706363636362</v>
          </cell>
          <cell r="U271">
            <v>683.33020909090919</v>
          </cell>
          <cell r="V271">
            <v>721.95</v>
          </cell>
          <cell r="W271">
            <v>213</v>
          </cell>
          <cell r="X271">
            <v>745.15</v>
          </cell>
          <cell r="Y271">
            <v>295</v>
          </cell>
          <cell r="Z271">
            <v>116.2409090909091</v>
          </cell>
          <cell r="AA271">
            <v>597.66</v>
          </cell>
          <cell r="AB271">
            <v>303</v>
          </cell>
          <cell r="AC271">
            <v>606.86</v>
          </cell>
          <cell r="AD271">
            <v>284</v>
          </cell>
          <cell r="AE271">
            <v>116.0418181818182</v>
          </cell>
          <cell r="AF271">
            <v>1712.0700000000002</v>
          </cell>
          <cell r="AG271">
            <v>1562</v>
          </cell>
          <cell r="AH271">
            <v>150.07000000000016</v>
          </cell>
          <cell r="AK271">
            <v>6814.3936363636367</v>
          </cell>
        </row>
        <row r="272">
          <cell r="F272">
            <v>0</v>
          </cell>
          <cell r="P272">
            <v>0</v>
          </cell>
          <cell r="Q272">
            <v>0</v>
          </cell>
          <cell r="R272">
            <v>0</v>
          </cell>
          <cell r="S272">
            <v>13.666666666666666</v>
          </cell>
          <cell r="T272">
            <v>13.666666666666666</v>
          </cell>
          <cell r="U272">
            <v>0</v>
          </cell>
          <cell r="V272">
            <v>0</v>
          </cell>
          <cell r="W272">
            <v>0</v>
          </cell>
          <cell r="X272">
            <v>277</v>
          </cell>
          <cell r="Y272">
            <v>199</v>
          </cell>
          <cell r="Z272">
            <v>78</v>
          </cell>
          <cell r="AA272">
            <v>0</v>
          </cell>
          <cell r="AB272">
            <v>0</v>
          </cell>
          <cell r="AC272">
            <v>-0.66666666666666607</v>
          </cell>
          <cell r="AD272">
            <v>9</v>
          </cell>
          <cell r="AE272">
            <v>4.3333333333333339</v>
          </cell>
          <cell r="AF272">
            <v>0.33333333333333331</v>
          </cell>
          <cell r="AG272">
            <v>0</v>
          </cell>
          <cell r="AH272">
            <v>0.33333333333333331</v>
          </cell>
          <cell r="AI272">
            <v>0</v>
          </cell>
          <cell r="AK272">
            <v>290.33333333333331</v>
          </cell>
        </row>
        <row r="273">
          <cell r="F273">
            <v>1188</v>
          </cell>
          <cell r="P273">
            <v>793</v>
          </cell>
          <cell r="Q273">
            <v>0</v>
          </cell>
          <cell r="R273">
            <v>0</v>
          </cell>
          <cell r="S273">
            <v>1357</v>
          </cell>
          <cell r="T273">
            <v>0</v>
          </cell>
          <cell r="U273">
            <v>0</v>
          </cell>
          <cell r="V273">
            <v>0</v>
          </cell>
          <cell r="W273">
            <v>0</v>
          </cell>
          <cell r="X273">
            <v>363</v>
          </cell>
          <cell r="Y273">
            <v>0</v>
          </cell>
          <cell r="Z273">
            <v>0</v>
          </cell>
          <cell r="AA273">
            <v>0</v>
          </cell>
          <cell r="AB273">
            <v>0</v>
          </cell>
          <cell r="AC273">
            <v>324</v>
          </cell>
          <cell r="AD273">
            <v>0</v>
          </cell>
          <cell r="AE273">
            <v>0</v>
          </cell>
          <cell r="AF273">
            <v>869</v>
          </cell>
          <cell r="AG273">
            <v>868</v>
          </cell>
          <cell r="AH273">
            <v>0</v>
          </cell>
          <cell r="AI273">
            <v>0</v>
          </cell>
          <cell r="AK273">
            <v>5083</v>
          </cell>
        </row>
        <row r="274">
          <cell r="F274">
            <v>163</v>
          </cell>
          <cell r="P274">
            <v>118</v>
          </cell>
          <cell r="Q274">
            <v>0</v>
          </cell>
          <cell r="R274">
            <v>0</v>
          </cell>
          <cell r="S274">
            <v>703</v>
          </cell>
          <cell r="T274">
            <v>636.47477575757569</v>
          </cell>
          <cell r="U274">
            <v>648.29007272727267</v>
          </cell>
          <cell r="V274">
            <v>132</v>
          </cell>
          <cell r="W274">
            <v>0</v>
          </cell>
          <cell r="X274">
            <v>128</v>
          </cell>
          <cell r="Y274">
            <v>779</v>
          </cell>
          <cell r="Z274">
            <v>411.83636363636361</v>
          </cell>
          <cell r="AA274">
            <v>100</v>
          </cell>
          <cell r="AB274">
            <v>9</v>
          </cell>
          <cell r="AC274">
            <v>89</v>
          </cell>
          <cell r="AD274">
            <v>234</v>
          </cell>
          <cell r="AE274">
            <v>160.69515151515154</v>
          </cell>
          <cell r="AF274">
            <v>616</v>
          </cell>
          <cell r="AG274">
            <v>616</v>
          </cell>
          <cell r="AH274">
            <v>0</v>
          </cell>
          <cell r="AI274">
            <v>618</v>
          </cell>
          <cell r="AK274">
            <v>1849</v>
          </cell>
        </row>
        <row r="275">
          <cell r="F275">
            <v>761</v>
          </cell>
          <cell r="G275">
            <v>197</v>
          </cell>
          <cell r="H275">
            <v>307.10000000000002</v>
          </cell>
          <cell r="P275">
            <v>30</v>
          </cell>
          <cell r="S275">
            <v>79</v>
          </cell>
          <cell r="T275">
            <v>622.80810909090906</v>
          </cell>
          <cell r="U275">
            <v>648.29007272727267</v>
          </cell>
          <cell r="V275">
            <v>44</v>
          </cell>
          <cell r="X275">
            <v>69</v>
          </cell>
          <cell r="Y275">
            <v>284</v>
          </cell>
          <cell r="Z275">
            <v>149.83636363636361</v>
          </cell>
          <cell r="AA275">
            <v>47</v>
          </cell>
          <cell r="AC275">
            <v>55</v>
          </cell>
          <cell r="AD275">
            <v>226</v>
          </cell>
          <cell r="AE275">
            <v>155.36181818181819</v>
          </cell>
          <cell r="AF275">
            <v>4</v>
          </cell>
          <cell r="AG275">
            <v>3</v>
          </cell>
          <cell r="AH275">
            <v>0</v>
          </cell>
          <cell r="AI275">
            <v>377</v>
          </cell>
          <cell r="AK275">
            <v>1155</v>
          </cell>
        </row>
        <row r="276">
          <cell r="F276">
            <v>60</v>
          </cell>
          <cell r="P276">
            <v>500</v>
          </cell>
          <cell r="Q276">
            <v>0</v>
          </cell>
          <cell r="R276">
            <v>0</v>
          </cell>
          <cell r="S276">
            <v>430</v>
          </cell>
          <cell r="T276">
            <v>13.666666666666666</v>
          </cell>
          <cell r="U276">
            <v>0</v>
          </cell>
          <cell r="V276">
            <v>100</v>
          </cell>
          <cell r="W276">
            <v>0</v>
          </cell>
          <cell r="X276">
            <v>100</v>
          </cell>
          <cell r="Y276">
            <v>495</v>
          </cell>
          <cell r="Z276">
            <v>262</v>
          </cell>
          <cell r="AA276">
            <v>130</v>
          </cell>
          <cell r="AB276">
            <v>0</v>
          </cell>
          <cell r="AC276">
            <v>130</v>
          </cell>
          <cell r="AD276">
            <v>8</v>
          </cell>
          <cell r="AE276">
            <v>5.3333333333333339</v>
          </cell>
          <cell r="AF276">
            <v>150</v>
          </cell>
          <cell r="AG276">
            <v>150</v>
          </cell>
          <cell r="AH276">
            <v>0.33333333333333331</v>
          </cell>
          <cell r="AI276">
            <v>0</v>
          </cell>
          <cell r="AK276">
            <v>1370</v>
          </cell>
        </row>
        <row r="277">
          <cell r="F277">
            <v>204</v>
          </cell>
          <cell r="P277">
            <v>145</v>
          </cell>
          <cell r="Q277">
            <v>0</v>
          </cell>
          <cell r="R277">
            <v>0</v>
          </cell>
          <cell r="S277">
            <v>145</v>
          </cell>
          <cell r="T277">
            <v>0</v>
          </cell>
          <cell r="U277">
            <v>0</v>
          </cell>
          <cell r="V277">
            <v>66</v>
          </cell>
          <cell r="W277">
            <v>0</v>
          </cell>
          <cell r="X277">
            <v>66</v>
          </cell>
          <cell r="Y277">
            <v>0</v>
          </cell>
          <cell r="Z277">
            <v>0</v>
          </cell>
          <cell r="AA277">
            <v>50</v>
          </cell>
          <cell r="AB277">
            <v>9</v>
          </cell>
          <cell r="AC277">
            <v>50</v>
          </cell>
          <cell r="AD277">
            <v>0</v>
          </cell>
          <cell r="AE277">
            <v>0</v>
          </cell>
          <cell r="AF277">
            <v>99</v>
          </cell>
          <cell r="AG277">
            <v>99</v>
          </cell>
          <cell r="AH277">
            <v>0</v>
          </cell>
          <cell r="AI277">
            <v>0</v>
          </cell>
          <cell r="AK277">
            <v>709</v>
          </cell>
        </row>
        <row r="278">
          <cell r="F278">
            <v>6</v>
          </cell>
          <cell r="P278">
            <v>18.416666666666661</v>
          </cell>
          <cell r="Q278">
            <v>0</v>
          </cell>
          <cell r="R278">
            <v>0</v>
          </cell>
          <cell r="S278">
            <v>65</v>
          </cell>
          <cell r="T278">
            <v>0</v>
          </cell>
          <cell r="U278">
            <v>0</v>
          </cell>
          <cell r="V278">
            <v>0</v>
          </cell>
          <cell r="W278">
            <v>0</v>
          </cell>
          <cell r="X278">
            <v>2.5499999999999998</v>
          </cell>
          <cell r="Y278">
            <v>0</v>
          </cell>
          <cell r="Z278">
            <v>0</v>
          </cell>
          <cell r="AA278">
            <v>0</v>
          </cell>
          <cell r="AB278">
            <v>0</v>
          </cell>
          <cell r="AC278">
            <v>0</v>
          </cell>
          <cell r="AD278">
            <v>0</v>
          </cell>
          <cell r="AE278">
            <v>0</v>
          </cell>
          <cell r="AF278">
            <v>837.81666666666649</v>
          </cell>
          <cell r="AG278">
            <v>338</v>
          </cell>
          <cell r="AH278">
            <v>499.81666666666649</v>
          </cell>
          <cell r="AI278">
            <v>0</v>
          </cell>
          <cell r="AK278">
            <v>1238.7833333333333</v>
          </cell>
        </row>
        <row r="279">
          <cell r="F279">
            <v>0</v>
          </cell>
          <cell r="P279">
            <v>0</v>
          </cell>
          <cell r="S279">
            <v>0</v>
          </cell>
          <cell r="V279">
            <v>0</v>
          </cell>
          <cell r="X279">
            <v>2.5499999999999998</v>
          </cell>
          <cell r="AA279">
            <v>-300</v>
          </cell>
          <cell r="AC279">
            <v>0</v>
          </cell>
          <cell r="AF279">
            <v>0</v>
          </cell>
          <cell r="AG279">
            <v>0</v>
          </cell>
          <cell r="AH279">
            <v>0</v>
          </cell>
          <cell r="AI279">
            <v>0</v>
          </cell>
          <cell r="AK279">
            <v>2.5499999999999998</v>
          </cell>
        </row>
        <row r="280">
          <cell r="F280">
            <v>6</v>
          </cell>
          <cell r="P280">
            <v>18.416666666666661</v>
          </cell>
          <cell r="S280">
            <v>65</v>
          </cell>
          <cell r="V280">
            <v>0</v>
          </cell>
          <cell r="X280">
            <v>0</v>
          </cell>
          <cell r="AA280">
            <v>0</v>
          </cell>
          <cell r="AC280">
            <v>0</v>
          </cell>
          <cell r="AF280">
            <v>837.81666666666649</v>
          </cell>
          <cell r="AG280">
            <v>338</v>
          </cell>
          <cell r="AH280">
            <v>499.81666666666649</v>
          </cell>
          <cell r="AK280">
            <v>927.23333333333312</v>
          </cell>
        </row>
        <row r="281">
          <cell r="F281">
            <v>320</v>
          </cell>
          <cell r="P281">
            <v>110</v>
          </cell>
          <cell r="Q281">
            <v>0</v>
          </cell>
          <cell r="R281">
            <v>0</v>
          </cell>
          <cell r="S281">
            <v>59</v>
          </cell>
          <cell r="T281">
            <v>0</v>
          </cell>
          <cell r="U281">
            <v>0</v>
          </cell>
          <cell r="V281">
            <v>0</v>
          </cell>
          <cell r="W281">
            <v>0</v>
          </cell>
          <cell r="X281">
            <v>74</v>
          </cell>
          <cell r="Y281">
            <v>0</v>
          </cell>
          <cell r="Z281">
            <v>0</v>
          </cell>
          <cell r="AA281">
            <v>0</v>
          </cell>
          <cell r="AB281">
            <v>9</v>
          </cell>
          <cell r="AC281">
            <v>34</v>
          </cell>
          <cell r="AD281">
            <v>0</v>
          </cell>
          <cell r="AE281">
            <v>0</v>
          </cell>
          <cell r="AF281">
            <v>115</v>
          </cell>
          <cell r="AG281">
            <v>115</v>
          </cell>
          <cell r="AH281">
            <v>0</v>
          </cell>
          <cell r="AI281">
            <v>0</v>
          </cell>
          <cell r="AJ281">
            <v>0</v>
          </cell>
          <cell r="AK281">
            <v>309</v>
          </cell>
        </row>
        <row r="282">
          <cell r="F282">
            <v>8</v>
          </cell>
          <cell r="P282">
            <v>21.666666666666668</v>
          </cell>
          <cell r="Q282">
            <v>0</v>
          </cell>
          <cell r="R282">
            <v>0</v>
          </cell>
          <cell r="S282">
            <v>250</v>
          </cell>
          <cell r="T282">
            <v>0</v>
          </cell>
          <cell r="U282">
            <v>0</v>
          </cell>
          <cell r="V282">
            <v>0</v>
          </cell>
          <cell r="W282">
            <v>0</v>
          </cell>
          <cell r="X282">
            <v>0</v>
          </cell>
          <cell r="Y282">
            <v>0</v>
          </cell>
          <cell r="Z282">
            <v>0</v>
          </cell>
          <cell r="AA282">
            <v>0</v>
          </cell>
          <cell r="AB282">
            <v>0</v>
          </cell>
          <cell r="AC282">
            <v>0</v>
          </cell>
          <cell r="AD282">
            <v>0</v>
          </cell>
          <cell r="AE282">
            <v>0</v>
          </cell>
          <cell r="AF282">
            <v>539.33333333333337</v>
          </cell>
          <cell r="AG282">
            <v>241</v>
          </cell>
          <cell r="AH282">
            <v>0</v>
          </cell>
          <cell r="AI282">
            <v>241</v>
          </cell>
          <cell r="AK282">
            <v>250</v>
          </cell>
        </row>
        <row r="283">
          <cell r="F283">
            <v>42988.917619047621</v>
          </cell>
          <cell r="P283">
            <v>806.34999999999968</v>
          </cell>
          <cell r="Q283">
            <v>0</v>
          </cell>
          <cell r="R283">
            <v>0</v>
          </cell>
          <cell r="S283">
            <v>2965.7386363636351</v>
          </cell>
          <cell r="T283">
            <v>-670.49373030303025</v>
          </cell>
          <cell r="U283">
            <v>-683.33020909090919</v>
          </cell>
          <cell r="V283">
            <v>0</v>
          </cell>
          <cell r="W283">
            <v>0</v>
          </cell>
          <cell r="X283">
            <v>1745.707575757576</v>
          </cell>
          <cell r="Y283">
            <v>-494</v>
          </cell>
          <cell r="Z283">
            <v>-194.2409090909091</v>
          </cell>
          <cell r="AA283">
            <v>0</v>
          </cell>
          <cell r="AB283">
            <v>0</v>
          </cell>
          <cell r="AC283">
            <v>1403.1818181818192</v>
          </cell>
          <cell r="AD283">
            <v>-293</v>
          </cell>
          <cell r="AE283">
            <v>-120.37515151515153</v>
          </cell>
          <cell r="AF283">
            <v>1092.2333333333327</v>
          </cell>
          <cell r="AG283">
            <v>841.54</v>
          </cell>
          <cell r="AH283">
            <v>206.69333333333327</v>
          </cell>
          <cell r="AI283">
            <v>0</v>
          </cell>
          <cell r="AK283">
            <v>51324.128982683971</v>
          </cell>
        </row>
        <row r="284">
          <cell r="F284">
            <v>8</v>
          </cell>
          <cell r="P284">
            <v>21.666666666666668</v>
          </cell>
          <cell r="S284">
            <v>865.66666666666663</v>
          </cell>
          <cell r="X284">
            <v>0</v>
          </cell>
          <cell r="AC284">
            <v>0</v>
          </cell>
          <cell r="AF284">
            <v>539.33333333333337</v>
          </cell>
          <cell r="AG284">
            <v>241</v>
          </cell>
          <cell r="AH284">
            <v>298.33333333333337</v>
          </cell>
          <cell r="AI284">
            <v>241</v>
          </cell>
          <cell r="AK284">
            <v>0</v>
          </cell>
        </row>
        <row r="285">
          <cell r="F285">
            <v>3571</v>
          </cell>
          <cell r="P285">
            <v>806.35</v>
          </cell>
          <cell r="Q285">
            <v>0</v>
          </cell>
          <cell r="R285">
            <v>0</v>
          </cell>
          <cell r="S285">
            <v>2995.738636363636</v>
          </cell>
          <cell r="T285">
            <v>0</v>
          </cell>
          <cell r="U285">
            <v>0</v>
          </cell>
          <cell r="V285">
            <v>0</v>
          </cell>
          <cell r="W285">
            <v>0</v>
          </cell>
          <cell r="X285">
            <v>1745.7075757575756</v>
          </cell>
          <cell r="Y285">
            <v>0</v>
          </cell>
          <cell r="Z285">
            <v>0</v>
          </cell>
          <cell r="AA285">
            <v>0</v>
          </cell>
          <cell r="AB285">
            <v>0</v>
          </cell>
          <cell r="AC285">
            <v>1402.5151515151517</v>
          </cell>
          <cell r="AD285">
            <v>0</v>
          </cell>
          <cell r="AE285">
            <v>0</v>
          </cell>
          <cell r="AF285">
            <v>1092.5333333333333</v>
          </cell>
          <cell r="AG285">
            <v>758.54</v>
          </cell>
          <cell r="AH285">
            <v>289.99333333333323</v>
          </cell>
          <cell r="AK285">
            <v>11935.844696969696</v>
          </cell>
        </row>
        <row r="286">
          <cell r="F286">
            <v>555</v>
          </cell>
          <cell r="P286">
            <v>205.5</v>
          </cell>
          <cell r="S286">
            <v>1298.2</v>
          </cell>
          <cell r="V286">
            <v>-20</v>
          </cell>
          <cell r="X286">
            <v>-91.5</v>
          </cell>
          <cell r="AA286">
            <v>170</v>
          </cell>
          <cell r="AC286">
            <v>99.5</v>
          </cell>
          <cell r="AF286">
            <v>52.299999999999983</v>
          </cell>
          <cell r="AG286">
            <v>-31</v>
          </cell>
          <cell r="AH286">
            <v>83.299999999999983</v>
          </cell>
          <cell r="AI286">
            <v>0</v>
          </cell>
          <cell r="AK286">
            <v>2229</v>
          </cell>
        </row>
        <row r="287">
          <cell r="F287">
            <v>204</v>
          </cell>
          <cell r="P287">
            <v>475.6</v>
          </cell>
          <cell r="Q287">
            <v>0</v>
          </cell>
          <cell r="R287">
            <v>0</v>
          </cell>
          <cell r="S287">
            <v>498.11363636363637</v>
          </cell>
          <cell r="T287">
            <v>0</v>
          </cell>
          <cell r="U287">
            <v>0</v>
          </cell>
          <cell r="V287">
            <v>0</v>
          </cell>
          <cell r="W287">
            <v>0</v>
          </cell>
          <cell r="X287">
            <v>1367.2409090909089</v>
          </cell>
          <cell r="Y287">
            <v>0</v>
          </cell>
          <cell r="Z287">
            <v>0</v>
          </cell>
          <cell r="AA287">
            <v>0</v>
          </cell>
          <cell r="AB287">
            <v>0</v>
          </cell>
          <cell r="AC287">
            <v>511.88181818181829</v>
          </cell>
          <cell r="AD287">
            <v>0</v>
          </cell>
          <cell r="AE287">
            <v>0</v>
          </cell>
          <cell r="AF287">
            <v>613</v>
          </cell>
          <cell r="AG287">
            <v>613</v>
          </cell>
          <cell r="AH287">
            <v>0</v>
          </cell>
          <cell r="AI287">
            <v>-618</v>
          </cell>
          <cell r="AK287">
            <v>3669.8363636363633</v>
          </cell>
        </row>
        <row r="288">
          <cell r="F288">
            <v>0</v>
          </cell>
          <cell r="P288">
            <v>0</v>
          </cell>
          <cell r="S288">
            <v>0</v>
          </cell>
          <cell r="V288">
            <v>0</v>
          </cell>
          <cell r="X288">
            <v>0</v>
          </cell>
          <cell r="AA288">
            <v>0</v>
          </cell>
          <cell r="AC288">
            <v>0</v>
          </cell>
          <cell r="AF288">
            <v>0</v>
          </cell>
          <cell r="AG288">
            <v>0</v>
          </cell>
          <cell r="AH288">
            <v>0</v>
          </cell>
          <cell r="AK288">
            <v>0</v>
          </cell>
        </row>
        <row r="289">
          <cell r="F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283.60000000000002</v>
          </cell>
          <cell r="AK289">
            <v>0</v>
          </cell>
        </row>
        <row r="290">
          <cell r="F290">
            <v>2801</v>
          </cell>
          <cell r="P290">
            <v>124.25</v>
          </cell>
          <cell r="Q290">
            <v>0</v>
          </cell>
          <cell r="R290">
            <v>0</v>
          </cell>
          <cell r="S290">
            <v>1118.425</v>
          </cell>
          <cell r="T290">
            <v>0</v>
          </cell>
          <cell r="U290">
            <v>0</v>
          </cell>
          <cell r="V290">
            <v>0</v>
          </cell>
          <cell r="W290">
            <v>0</v>
          </cell>
          <cell r="X290">
            <v>297.96666666666664</v>
          </cell>
          <cell r="Y290">
            <v>0</v>
          </cell>
          <cell r="Z290">
            <v>0</v>
          </cell>
          <cell r="AA290">
            <v>0</v>
          </cell>
          <cell r="AB290">
            <v>0</v>
          </cell>
          <cell r="AC290">
            <v>530.13333333333344</v>
          </cell>
          <cell r="AD290">
            <v>0</v>
          </cell>
          <cell r="AE290">
            <v>0</v>
          </cell>
          <cell r="AF290">
            <v>369.23333333333329</v>
          </cell>
          <cell r="AG290">
            <v>163.54000000000002</v>
          </cell>
          <cell r="AH290">
            <v>206.69333333333327</v>
          </cell>
          <cell r="AI290">
            <v>118.4</v>
          </cell>
          <cell r="AK290">
            <v>5453.0083333333332</v>
          </cell>
        </row>
        <row r="291">
          <cell r="F291">
            <v>11</v>
          </cell>
          <cell r="P291">
            <v>-2.4000000000000057</v>
          </cell>
          <cell r="Q291">
            <v>0</v>
          </cell>
          <cell r="R291">
            <v>0</v>
          </cell>
          <cell r="S291">
            <v>287.66666666666652</v>
          </cell>
          <cell r="T291">
            <v>0</v>
          </cell>
          <cell r="U291">
            <v>0</v>
          </cell>
          <cell r="V291">
            <v>11</v>
          </cell>
          <cell r="W291">
            <v>0</v>
          </cell>
          <cell r="X291">
            <v>23.850000000000005</v>
          </cell>
          <cell r="Y291">
            <v>0</v>
          </cell>
          <cell r="Z291">
            <v>0</v>
          </cell>
          <cell r="AA291">
            <v>201</v>
          </cell>
          <cell r="AB291">
            <v>0</v>
          </cell>
          <cell r="AC291">
            <v>394.98333333333346</v>
          </cell>
          <cell r="AD291">
            <v>0</v>
          </cell>
          <cell r="AE291">
            <v>0</v>
          </cell>
          <cell r="AF291">
            <v>15.25</v>
          </cell>
          <cell r="AG291">
            <v>-162.75</v>
          </cell>
          <cell r="AH291">
            <v>179</v>
          </cell>
          <cell r="AI291">
            <v>0</v>
          </cell>
          <cell r="AK291">
            <v>746.35</v>
          </cell>
        </row>
        <row r="292">
          <cell r="F292">
            <v>1</v>
          </cell>
          <cell r="P292">
            <v>27.766666666666676</v>
          </cell>
          <cell r="S292">
            <v>599.33333333333337</v>
          </cell>
          <cell r="V292">
            <v>85</v>
          </cell>
          <cell r="X292">
            <v>176</v>
          </cell>
          <cell r="AA292">
            <v>84</v>
          </cell>
          <cell r="AC292">
            <v>71.683333333333351</v>
          </cell>
          <cell r="AF292">
            <v>160.59999999999994</v>
          </cell>
          <cell r="AG292">
            <v>150</v>
          </cell>
          <cell r="AH292">
            <v>10.599999999999946</v>
          </cell>
          <cell r="AI292">
            <v>0</v>
          </cell>
          <cell r="AK292">
            <v>1036.3833333333334</v>
          </cell>
        </row>
        <row r="293">
          <cell r="F293">
            <v>2789</v>
          </cell>
          <cell r="P293">
            <v>98.883333333333326</v>
          </cell>
          <cell r="S293">
            <v>231.42499999999998</v>
          </cell>
          <cell r="V293">
            <v>110</v>
          </cell>
          <cell r="X293">
            <v>98.11666666666666</v>
          </cell>
          <cell r="AA293">
            <v>101</v>
          </cell>
          <cell r="AC293">
            <v>63.466666666666669</v>
          </cell>
          <cell r="AF293">
            <v>193.38333333333335</v>
          </cell>
          <cell r="AG293">
            <v>176.29000000000002</v>
          </cell>
          <cell r="AH293">
            <v>17.093333333333334</v>
          </cell>
          <cell r="AI293">
            <v>0</v>
          </cell>
          <cell r="AK293">
            <v>3670.2750000000001</v>
          </cell>
        </row>
        <row r="294">
          <cell r="F294">
            <v>1626</v>
          </cell>
          <cell r="P294">
            <v>0</v>
          </cell>
          <cell r="Q294">
            <v>0</v>
          </cell>
          <cell r="R294">
            <v>0</v>
          </cell>
          <cell r="S294">
            <v>827.33333333333337</v>
          </cell>
          <cell r="T294">
            <v>0</v>
          </cell>
          <cell r="U294">
            <v>0</v>
          </cell>
          <cell r="V294">
            <v>0</v>
          </cell>
          <cell r="W294">
            <v>0</v>
          </cell>
          <cell r="X294">
            <v>356.33333333333331</v>
          </cell>
          <cell r="Y294">
            <v>0</v>
          </cell>
          <cell r="Z294">
            <v>0</v>
          </cell>
          <cell r="AA294">
            <v>0</v>
          </cell>
          <cell r="AB294">
            <v>0</v>
          </cell>
          <cell r="AC294">
            <v>386</v>
          </cell>
          <cell r="AD294">
            <v>0</v>
          </cell>
          <cell r="AE294">
            <v>0</v>
          </cell>
          <cell r="AF294">
            <v>0</v>
          </cell>
          <cell r="AG294">
            <v>0</v>
          </cell>
          <cell r="AH294">
            <v>0</v>
          </cell>
          <cell r="AI294">
            <v>165.2</v>
          </cell>
          <cell r="AK294">
            <v>0</v>
          </cell>
        </row>
        <row r="295">
          <cell r="F295">
            <v>11</v>
          </cell>
          <cell r="P295">
            <v>1</v>
          </cell>
          <cell r="S295">
            <v>81</v>
          </cell>
          <cell r="V295">
            <v>-129</v>
          </cell>
          <cell r="X295">
            <v>172</v>
          </cell>
          <cell r="AA295">
            <v>0</v>
          </cell>
          <cell r="AC295">
            <v>261</v>
          </cell>
          <cell r="AF295">
            <v>58</v>
          </cell>
          <cell r="AG295">
            <v>13</v>
          </cell>
          <cell r="AH295">
            <v>0</v>
          </cell>
          <cell r="AI295">
            <v>70</v>
          </cell>
          <cell r="AK295">
            <v>584</v>
          </cell>
        </row>
        <row r="296">
          <cell r="F296">
            <v>42988.917619047621</v>
          </cell>
          <cell r="P296">
            <v>806.34999999999968</v>
          </cell>
          <cell r="Q296">
            <v>0</v>
          </cell>
          <cell r="R296">
            <v>0</v>
          </cell>
          <cell r="S296">
            <v>2965.7386363636351</v>
          </cell>
          <cell r="T296">
            <v>-670.49373030303025</v>
          </cell>
          <cell r="U296">
            <v>-683.33020909090919</v>
          </cell>
          <cell r="V296">
            <v>0</v>
          </cell>
          <cell r="W296">
            <v>0</v>
          </cell>
          <cell r="X296">
            <v>1745.707575757576</v>
          </cell>
          <cell r="Y296">
            <v>-494</v>
          </cell>
          <cell r="Z296">
            <v>-194.2409090909091</v>
          </cell>
          <cell r="AA296">
            <v>0</v>
          </cell>
          <cell r="AB296">
            <v>0</v>
          </cell>
          <cell r="AC296">
            <v>1403.1818181818192</v>
          </cell>
          <cell r="AD296">
            <v>-293</v>
          </cell>
          <cell r="AE296">
            <v>-120.37515151515153</v>
          </cell>
          <cell r="AF296">
            <v>1092.2333333333327</v>
          </cell>
          <cell r="AG296">
            <v>841.54</v>
          </cell>
          <cell r="AH296">
            <v>206.69333333333327</v>
          </cell>
          <cell r="AI296">
            <v>36</v>
          </cell>
          <cell r="AK296">
            <v>51324.128982683971</v>
          </cell>
        </row>
        <row r="297">
          <cell r="F297">
            <v>1606</v>
          </cell>
          <cell r="P297">
            <v>91.666666666666671</v>
          </cell>
          <cell r="S297">
            <v>425.33333333333337</v>
          </cell>
          <cell r="X297">
            <v>97.666666666666671</v>
          </cell>
          <cell r="AC297">
            <v>85.333333333333343</v>
          </cell>
          <cell r="AF297">
            <v>226.33333333333331</v>
          </cell>
          <cell r="AG297">
            <v>173</v>
          </cell>
          <cell r="AH297">
            <v>191</v>
          </cell>
          <cell r="AI297">
            <v>59.2</v>
          </cell>
          <cell r="AK297">
            <v>0</v>
          </cell>
        </row>
        <row r="298">
          <cell r="P298">
            <v>0</v>
          </cell>
          <cell r="AF298">
            <v>0</v>
          </cell>
          <cell r="AG298">
            <v>0</v>
          </cell>
          <cell r="AH298">
            <v>0</v>
          </cell>
          <cell r="AI298">
            <v>0</v>
          </cell>
          <cell r="AK298">
            <v>0</v>
          </cell>
        </row>
        <row r="299">
          <cell r="F299">
            <v>42988.917619047621</v>
          </cell>
          <cell r="G299">
            <v>0</v>
          </cell>
          <cell r="H299">
            <v>0</v>
          </cell>
          <cell r="P299">
            <v>806.34999999999968</v>
          </cell>
          <cell r="Q299">
            <v>0</v>
          </cell>
          <cell r="R299">
            <v>0</v>
          </cell>
          <cell r="S299">
            <v>2965.7386363636351</v>
          </cell>
          <cell r="T299">
            <v>-670.49373030303025</v>
          </cell>
          <cell r="U299">
            <v>-683.33020909090919</v>
          </cell>
          <cell r="V299">
            <v>0</v>
          </cell>
          <cell r="W299">
            <v>0</v>
          </cell>
          <cell r="X299">
            <v>1745.707575757576</v>
          </cell>
          <cell r="Y299">
            <v>-494</v>
          </cell>
          <cell r="Z299">
            <v>-194.2409090909091</v>
          </cell>
          <cell r="AA299">
            <v>0</v>
          </cell>
          <cell r="AB299">
            <v>0</v>
          </cell>
          <cell r="AC299">
            <v>1403.1818181818192</v>
          </cell>
          <cell r="AF299">
            <v>1092.2333333333327</v>
          </cell>
          <cell r="AG299">
            <v>694.5399999999994</v>
          </cell>
          <cell r="AH299">
            <v>397.69333333333327</v>
          </cell>
          <cell r="AI299">
            <v>0</v>
          </cell>
          <cell r="AK299">
            <v>51324.128982683971</v>
          </cell>
        </row>
        <row r="300">
          <cell r="F300">
            <v>0</v>
          </cell>
          <cell r="P300">
            <v>856.33333333333303</v>
          </cell>
          <cell r="Q300">
            <v>0</v>
          </cell>
          <cell r="R300">
            <v>0</v>
          </cell>
          <cell r="S300">
            <v>3315.151515151515</v>
          </cell>
          <cell r="T300">
            <v>-636.47477575757569</v>
          </cell>
          <cell r="U300">
            <v>-648.29007272727267</v>
          </cell>
          <cell r="V300">
            <v>0</v>
          </cell>
          <cell r="W300">
            <v>0</v>
          </cell>
          <cell r="X300">
            <v>2879.3030303030291</v>
          </cell>
          <cell r="Y300">
            <v>-779</v>
          </cell>
          <cell r="Z300">
            <v>-411.83636363636361</v>
          </cell>
          <cell r="AA300">
            <v>0</v>
          </cell>
          <cell r="AB300">
            <v>-9</v>
          </cell>
          <cell r="AC300">
            <v>1632.1818181818189</v>
          </cell>
          <cell r="AD300">
            <v>-234</v>
          </cell>
          <cell r="AE300">
            <v>-160.69515151515154</v>
          </cell>
          <cell r="AF300">
            <v>1603.272727272727</v>
          </cell>
          <cell r="AG300">
            <v>1166.272727272727</v>
          </cell>
          <cell r="AH300">
            <v>438.33333333333326</v>
          </cell>
          <cell r="AI300">
            <v>-618</v>
          </cell>
          <cell r="AK300">
            <v>0</v>
          </cell>
        </row>
        <row r="301">
          <cell r="F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K301">
            <v>0</v>
          </cell>
        </row>
        <row r="302">
          <cell r="F302">
            <v>0</v>
          </cell>
          <cell r="P302">
            <v>0</v>
          </cell>
          <cell r="S302">
            <v>0</v>
          </cell>
          <cell r="V302">
            <v>0</v>
          </cell>
          <cell r="X302">
            <v>0</v>
          </cell>
          <cell r="AA302">
            <v>0</v>
          </cell>
          <cell r="AC302">
            <v>0</v>
          </cell>
          <cell r="AF302">
            <v>0</v>
          </cell>
          <cell r="AG302">
            <v>0</v>
          </cell>
          <cell r="AH302">
            <v>0</v>
          </cell>
          <cell r="AK302">
            <v>0</v>
          </cell>
        </row>
        <row r="303">
          <cell r="F303">
            <v>47206.733333333337</v>
          </cell>
          <cell r="G303">
            <v>0</v>
          </cell>
          <cell r="H303">
            <v>0</v>
          </cell>
          <cell r="P303">
            <v>856.33333333333303</v>
          </cell>
          <cell r="Q303">
            <v>0</v>
          </cell>
          <cell r="R303">
            <v>0</v>
          </cell>
          <cell r="S303">
            <v>3315.151515151515</v>
          </cell>
          <cell r="T303">
            <v>-636.47477575757569</v>
          </cell>
          <cell r="U303">
            <v>-648.29007272727267</v>
          </cell>
          <cell r="V303">
            <v>0</v>
          </cell>
          <cell r="W303">
            <v>0</v>
          </cell>
          <cell r="X303">
            <v>2879.3030303030291</v>
          </cell>
          <cell r="Y303">
            <v>-779</v>
          </cell>
          <cell r="Z303">
            <v>-411.83636363636361</v>
          </cell>
          <cell r="AA303">
            <v>0</v>
          </cell>
          <cell r="AB303">
            <v>-9</v>
          </cell>
          <cell r="AC303">
            <v>1632.1818181818189</v>
          </cell>
          <cell r="AF303">
            <v>1603.272727272727</v>
          </cell>
          <cell r="AG303">
            <v>973.93939393939377</v>
          </cell>
          <cell r="AH303">
            <v>629.33333333333326</v>
          </cell>
          <cell r="AK303">
            <v>0</v>
          </cell>
        </row>
        <row r="304">
          <cell r="F304">
            <v>42988.917619047621</v>
          </cell>
          <cell r="P304">
            <v>806.34999999999968</v>
          </cell>
          <cell r="Q304">
            <v>0</v>
          </cell>
          <cell r="R304">
            <v>0</v>
          </cell>
          <cell r="S304">
            <v>2965.7386363636351</v>
          </cell>
          <cell r="T304">
            <v>-670.49373030303025</v>
          </cell>
          <cell r="U304">
            <v>-683.33020909090919</v>
          </cell>
          <cell r="V304">
            <v>0</v>
          </cell>
          <cell r="W304">
            <v>0</v>
          </cell>
          <cell r="X304">
            <v>1745.707575757576</v>
          </cell>
          <cell r="Y304">
            <v>-494</v>
          </cell>
          <cell r="Z304">
            <v>-194.2409090909091</v>
          </cell>
          <cell r="AA304">
            <v>0</v>
          </cell>
          <cell r="AB304">
            <v>0</v>
          </cell>
          <cell r="AC304">
            <v>1403.1818181818192</v>
          </cell>
          <cell r="AD304">
            <v>-293</v>
          </cell>
          <cell r="AE304">
            <v>-120.37515151515153</v>
          </cell>
          <cell r="AF304">
            <v>1092.2333333333327</v>
          </cell>
          <cell r="AG304">
            <v>694.5399999999994</v>
          </cell>
          <cell r="AH304">
            <v>397.69333333333327</v>
          </cell>
          <cell r="AK304">
            <v>51324.128982683971</v>
          </cell>
        </row>
        <row r="305">
          <cell r="F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K305">
            <v>0</v>
          </cell>
        </row>
        <row r="306">
          <cell r="F306">
            <v>0</v>
          </cell>
          <cell r="P306">
            <v>0</v>
          </cell>
          <cell r="S306">
            <v>0</v>
          </cell>
          <cell r="X306">
            <v>0</v>
          </cell>
          <cell r="AC306">
            <v>0</v>
          </cell>
          <cell r="AF306">
            <v>0</v>
          </cell>
          <cell r="AG306">
            <v>0</v>
          </cell>
          <cell r="AH306">
            <v>0</v>
          </cell>
          <cell r="AI306">
            <v>0</v>
          </cell>
          <cell r="AK306">
            <v>0</v>
          </cell>
        </row>
        <row r="307">
          <cell r="S307">
            <v>0</v>
          </cell>
          <cell r="AK307">
            <v>0</v>
          </cell>
        </row>
        <row r="308">
          <cell r="F308">
            <v>2805</v>
          </cell>
          <cell r="P308">
            <v>856.33333333333303</v>
          </cell>
          <cell r="Q308">
            <v>0</v>
          </cell>
          <cell r="R308">
            <v>0</v>
          </cell>
          <cell r="S308">
            <v>3315.151515151515</v>
          </cell>
          <cell r="T308">
            <v>-636.47477575757569</v>
          </cell>
          <cell r="U308">
            <v>-648.29007272727267</v>
          </cell>
          <cell r="V308">
            <v>0</v>
          </cell>
          <cell r="W308">
            <v>0</v>
          </cell>
          <cell r="X308">
            <v>2879.3030303030291</v>
          </cell>
          <cell r="Y308">
            <v>-779</v>
          </cell>
          <cell r="Z308">
            <v>-411.83636363636361</v>
          </cell>
          <cell r="AA308">
            <v>0</v>
          </cell>
          <cell r="AB308">
            <v>-9</v>
          </cell>
          <cell r="AC308">
            <v>1632.1818181818189</v>
          </cell>
          <cell r="AD308">
            <v>-234</v>
          </cell>
          <cell r="AE308">
            <v>-160.69515151515154</v>
          </cell>
          <cell r="AF308">
            <v>1603.272727272727</v>
          </cell>
          <cell r="AG308">
            <v>973.93939393939377</v>
          </cell>
          <cell r="AH308">
            <v>629.33333333333326</v>
          </cell>
          <cell r="AI308">
            <v>-618</v>
          </cell>
          <cell r="AK308">
            <v>2805</v>
          </cell>
        </row>
        <row r="309">
          <cell r="S309">
            <v>0</v>
          </cell>
          <cell r="AK309">
            <v>0</v>
          </cell>
        </row>
        <row r="310">
          <cell r="F310">
            <v>0</v>
          </cell>
          <cell r="P310">
            <v>0</v>
          </cell>
          <cell r="AK310">
            <v>0</v>
          </cell>
        </row>
        <row r="311">
          <cell r="S311">
            <v>0</v>
          </cell>
          <cell r="AK311">
            <v>0</v>
          </cell>
        </row>
        <row r="312">
          <cell r="F312">
            <v>3500</v>
          </cell>
          <cell r="AK312">
            <v>3500</v>
          </cell>
        </row>
        <row r="313">
          <cell r="S313">
            <v>0</v>
          </cell>
          <cell r="AK313">
            <v>0</v>
          </cell>
        </row>
        <row r="314">
          <cell r="F314">
            <v>0</v>
          </cell>
          <cell r="S314">
            <v>0</v>
          </cell>
          <cell r="AK314">
            <v>0</v>
          </cell>
        </row>
        <row r="315">
          <cell r="F315">
            <v>42988.917619047621</v>
          </cell>
          <cell r="P315">
            <v>806.34999999999968</v>
          </cell>
          <cell r="Q315">
            <v>0</v>
          </cell>
          <cell r="R315">
            <v>0</v>
          </cell>
          <cell r="S315">
            <v>2965.7386363636351</v>
          </cell>
          <cell r="T315">
            <v>-670.49373030303025</v>
          </cell>
          <cell r="U315">
            <v>-683.33020909090919</v>
          </cell>
          <cell r="V315">
            <v>0</v>
          </cell>
          <cell r="W315">
            <v>0</v>
          </cell>
          <cell r="X315">
            <v>1745.707575757576</v>
          </cell>
          <cell r="Y315">
            <v>-494</v>
          </cell>
          <cell r="Z315">
            <v>-194.2409090909091</v>
          </cell>
          <cell r="AA315">
            <v>0</v>
          </cell>
          <cell r="AB315">
            <v>0</v>
          </cell>
          <cell r="AC315">
            <v>1403.1818181818192</v>
          </cell>
          <cell r="AD315">
            <v>-293</v>
          </cell>
          <cell r="AE315">
            <v>-120.37515151515153</v>
          </cell>
          <cell r="AF315">
            <v>1092.2333333333327</v>
          </cell>
          <cell r="AG315">
            <v>694.5399999999994</v>
          </cell>
          <cell r="AH315">
            <v>397.69333333333327</v>
          </cell>
          <cell r="AK315">
            <v>51324.128982683971</v>
          </cell>
        </row>
        <row r="317">
          <cell r="AK317">
            <v>0</v>
          </cell>
        </row>
        <row r="318">
          <cell r="S318">
            <v>0</v>
          </cell>
        </row>
        <row r="319">
          <cell r="F319">
            <v>47206.733333333337</v>
          </cell>
          <cell r="P319">
            <v>856.33333333333303</v>
          </cell>
          <cell r="Q319">
            <v>0</v>
          </cell>
          <cell r="R319">
            <v>0</v>
          </cell>
          <cell r="S319">
            <v>3315.151515151515</v>
          </cell>
          <cell r="T319">
            <v>-636.47477575757569</v>
          </cell>
          <cell r="U319">
            <v>-648.29007272727267</v>
          </cell>
          <cell r="V319">
            <v>0</v>
          </cell>
          <cell r="W319">
            <v>0</v>
          </cell>
          <cell r="X319">
            <v>2879.3030303030291</v>
          </cell>
          <cell r="Y319">
            <v>-779</v>
          </cell>
          <cell r="Z319">
            <v>-411.83636363636361</v>
          </cell>
          <cell r="AA319">
            <v>0</v>
          </cell>
          <cell r="AB319">
            <v>-9</v>
          </cell>
          <cell r="AC319">
            <v>1632.1818181818189</v>
          </cell>
          <cell r="AD319">
            <v>-234</v>
          </cell>
          <cell r="AE319">
            <v>-160.69515151515154</v>
          </cell>
          <cell r="AF319">
            <v>1603.272727272727</v>
          </cell>
          <cell r="AG319">
            <v>973.93939393939377</v>
          </cell>
          <cell r="AH319">
            <v>629.33333333333326</v>
          </cell>
          <cell r="AI319">
            <v>-618</v>
          </cell>
          <cell r="AK319">
            <v>57767.975757575761</v>
          </cell>
        </row>
        <row r="324">
          <cell r="AK324">
            <v>6814.3936363636367</v>
          </cell>
          <cell r="AM324">
            <v>5102.323636363637</v>
          </cell>
        </row>
        <row r="325">
          <cell r="F325">
            <v>151</v>
          </cell>
          <cell r="P325">
            <v>238</v>
          </cell>
          <cell r="S325">
            <v>523</v>
          </cell>
          <cell r="V325">
            <v>197</v>
          </cell>
          <cell r="X325">
            <v>203</v>
          </cell>
          <cell r="AA325">
            <v>163</v>
          </cell>
          <cell r="AC325">
            <v>166</v>
          </cell>
          <cell r="AF325">
            <v>467</v>
          </cell>
          <cell r="AG325">
            <v>426</v>
          </cell>
          <cell r="AH325">
            <v>41</v>
          </cell>
          <cell r="AK325">
            <v>1859</v>
          </cell>
          <cell r="AM325">
            <v>1392</v>
          </cell>
        </row>
        <row r="326">
          <cell r="AK326">
            <v>6438.9176190476192</v>
          </cell>
          <cell r="AM326">
            <v>6438.9176190476192</v>
          </cell>
        </row>
        <row r="327">
          <cell r="AK327">
            <v>290.33333333333331</v>
          </cell>
          <cell r="AM327">
            <v>290.33333333333331</v>
          </cell>
        </row>
        <row r="328">
          <cell r="AJ328">
            <v>2455</v>
          </cell>
          <cell r="AK328">
            <v>584</v>
          </cell>
          <cell r="AM328">
            <v>526</v>
          </cell>
        </row>
        <row r="329">
          <cell r="F329">
            <v>137</v>
          </cell>
          <cell r="P329">
            <v>237</v>
          </cell>
          <cell r="S329">
            <v>515</v>
          </cell>
          <cell r="X329">
            <v>201</v>
          </cell>
          <cell r="AC329">
            <v>161</v>
          </cell>
          <cell r="AF329">
            <v>444</v>
          </cell>
          <cell r="AG329">
            <v>400</v>
          </cell>
          <cell r="AH329">
            <v>44</v>
          </cell>
          <cell r="AI329">
            <v>103</v>
          </cell>
          <cell r="AK329">
            <v>2162.5842857142857</v>
          </cell>
          <cell r="AM329">
            <v>2162.5842857142857</v>
          </cell>
        </row>
        <row r="330">
          <cell r="AJ330">
            <v>36</v>
          </cell>
          <cell r="AK330">
            <v>3500</v>
          </cell>
          <cell r="AM330">
            <v>3500</v>
          </cell>
        </row>
        <row r="331">
          <cell r="AK331">
            <v>0</v>
          </cell>
          <cell r="AM331">
            <v>770.33333333333337</v>
          </cell>
        </row>
        <row r="332">
          <cell r="AJ332">
            <v>36</v>
          </cell>
          <cell r="AK332">
            <v>486</v>
          </cell>
          <cell r="AM332">
            <v>486</v>
          </cell>
        </row>
        <row r="333">
          <cell r="AK333">
            <v>3400</v>
          </cell>
          <cell r="AM333">
            <v>2381.4</v>
          </cell>
        </row>
        <row r="334">
          <cell r="AK334">
            <v>0</v>
          </cell>
          <cell r="AM334">
            <v>0</v>
          </cell>
        </row>
        <row r="335">
          <cell r="AK335">
            <v>2229</v>
          </cell>
          <cell r="AM335">
            <v>2176.6999999999998</v>
          </cell>
        </row>
        <row r="336">
          <cell r="AK336">
            <v>3669.8363636363633</v>
          </cell>
          <cell r="AM336">
            <v>3056.8363636363638</v>
          </cell>
        </row>
        <row r="337">
          <cell r="AK337">
            <v>0</v>
          </cell>
          <cell r="AM337">
            <v>0</v>
          </cell>
        </row>
        <row r="338">
          <cell r="AK338">
            <v>0</v>
          </cell>
          <cell r="AM338">
            <v>0</v>
          </cell>
        </row>
        <row r="339">
          <cell r="AK339">
            <v>0</v>
          </cell>
          <cell r="AM339">
            <v>0</v>
          </cell>
        </row>
        <row r="340">
          <cell r="AK340">
            <v>5083</v>
          </cell>
          <cell r="AM340">
            <v>4214</v>
          </cell>
        </row>
        <row r="341">
          <cell r="AK341">
            <v>1849</v>
          </cell>
          <cell r="AM341">
            <v>1233</v>
          </cell>
        </row>
        <row r="342">
          <cell r="AK342">
            <v>1155</v>
          </cell>
          <cell r="AM342">
            <v>1151</v>
          </cell>
        </row>
        <row r="343">
          <cell r="AK343">
            <v>1370</v>
          </cell>
          <cell r="AM343">
            <v>0</v>
          </cell>
        </row>
        <row r="344">
          <cell r="AK344">
            <v>709</v>
          </cell>
          <cell r="AM344">
            <v>4338</v>
          </cell>
        </row>
        <row r="345">
          <cell r="AK345">
            <v>0</v>
          </cell>
          <cell r="AM345">
            <v>0</v>
          </cell>
        </row>
        <row r="346">
          <cell r="AK346">
            <v>2.5499999999999998</v>
          </cell>
          <cell r="AM346">
            <v>2.5499999999999998</v>
          </cell>
        </row>
        <row r="347">
          <cell r="AK347">
            <v>927.23333333333312</v>
          </cell>
          <cell r="AM347">
            <v>89.416666666666657</v>
          </cell>
        </row>
        <row r="348">
          <cell r="P348">
            <v>225</v>
          </cell>
          <cell r="S348">
            <v>296</v>
          </cell>
          <cell r="V348">
            <v>56</v>
          </cell>
          <cell r="X348">
            <v>56</v>
          </cell>
          <cell r="AA348">
            <v>-78.090909090909093</v>
          </cell>
          <cell r="AC348">
            <v>561.88181818181829</v>
          </cell>
          <cell r="AF348">
            <v>470</v>
          </cell>
          <cell r="AG348">
            <v>470</v>
          </cell>
          <cell r="AH348">
            <v>0</v>
          </cell>
          <cell r="AK348">
            <v>1608.8818181818183</v>
          </cell>
        </row>
        <row r="349">
          <cell r="AK349">
            <v>0</v>
          </cell>
          <cell r="AM349">
            <v>0</v>
          </cell>
        </row>
        <row r="350">
          <cell r="F350">
            <v>33</v>
          </cell>
          <cell r="P350">
            <v>0</v>
          </cell>
          <cell r="S350">
            <v>0</v>
          </cell>
          <cell r="V350">
            <v>0</v>
          </cell>
          <cell r="X350">
            <v>0</v>
          </cell>
          <cell r="AA350">
            <v>0</v>
          </cell>
          <cell r="AC350">
            <v>0</v>
          </cell>
          <cell r="AF350">
            <v>0</v>
          </cell>
          <cell r="AG350">
            <v>0</v>
          </cell>
          <cell r="AH350">
            <v>0</v>
          </cell>
          <cell r="AK350">
            <v>342</v>
          </cell>
          <cell r="AM350">
            <v>342</v>
          </cell>
        </row>
        <row r="351">
          <cell r="AK351">
            <v>160</v>
          </cell>
          <cell r="AM351">
            <v>160</v>
          </cell>
        </row>
        <row r="352">
          <cell r="P352">
            <v>225</v>
          </cell>
          <cell r="S352">
            <v>296</v>
          </cell>
          <cell r="X352">
            <v>56</v>
          </cell>
          <cell r="AC352">
            <v>76.181818181818187</v>
          </cell>
          <cell r="AF352">
            <v>304.27272727272725</v>
          </cell>
          <cell r="AG352">
            <v>291.27272727272725</v>
          </cell>
          <cell r="AH352">
            <v>13</v>
          </cell>
          <cell r="AK352">
            <v>0</v>
          </cell>
          <cell r="AM352">
            <v>0</v>
          </cell>
        </row>
        <row r="353">
          <cell r="AK353">
            <v>0</v>
          </cell>
          <cell r="AM353">
            <v>0</v>
          </cell>
        </row>
        <row r="354">
          <cell r="F354">
            <v>0</v>
          </cell>
          <cell r="P354">
            <v>0</v>
          </cell>
          <cell r="S354">
            <v>0</v>
          </cell>
          <cell r="X354">
            <v>0</v>
          </cell>
          <cell r="AC354">
            <v>0</v>
          </cell>
          <cell r="AF354">
            <v>0</v>
          </cell>
          <cell r="AG354">
            <v>0</v>
          </cell>
          <cell r="AH354">
            <v>0</v>
          </cell>
          <cell r="AI354">
            <v>0</v>
          </cell>
          <cell r="AK354">
            <v>5453.0083333333332</v>
          </cell>
          <cell r="AM354" t="e">
            <v>#REF!</v>
          </cell>
        </row>
        <row r="355">
          <cell r="AK355">
            <v>746.35</v>
          </cell>
          <cell r="AM355">
            <v>83</v>
          </cell>
        </row>
        <row r="356">
          <cell r="AK356">
            <v>1036.3833333333334</v>
          </cell>
          <cell r="AM356">
            <v>0</v>
          </cell>
        </row>
        <row r="357">
          <cell r="AK357">
            <v>3670.2750000000001</v>
          </cell>
          <cell r="AM357">
            <v>0</v>
          </cell>
        </row>
        <row r="358">
          <cell r="F358">
            <v>0</v>
          </cell>
          <cell r="P358">
            <v>0</v>
          </cell>
          <cell r="S358">
            <v>0</v>
          </cell>
          <cell r="T358">
            <v>87.84</v>
          </cell>
          <cell r="U358">
            <v>461.15999999999997</v>
          </cell>
          <cell r="V358">
            <v>471</v>
          </cell>
          <cell r="W358">
            <v>447</v>
          </cell>
          <cell r="X358">
            <v>491.83333333333337</v>
          </cell>
          <cell r="Y358">
            <v>359</v>
          </cell>
          <cell r="Z358">
            <v>141.33333333333337</v>
          </cell>
          <cell r="AA358">
            <v>273</v>
          </cell>
          <cell r="AB358">
            <v>455</v>
          </cell>
          <cell r="AC358">
            <v>176.5</v>
          </cell>
          <cell r="AD358">
            <v>289</v>
          </cell>
          <cell r="AE358">
            <v>117</v>
          </cell>
          <cell r="AF358">
            <v>383</v>
          </cell>
          <cell r="AG358">
            <v>383</v>
          </cell>
          <cell r="AH358">
            <v>0</v>
          </cell>
          <cell r="AJ358">
            <v>-2491</v>
          </cell>
          <cell r="AK358">
            <v>1051.3333333333335</v>
          </cell>
          <cell r="AM358">
            <v>668.33333333333337</v>
          </cell>
        </row>
        <row r="359">
          <cell r="AK359">
            <v>422.33333333333331</v>
          </cell>
        </row>
        <row r="360">
          <cell r="AK360">
            <v>923.66666666666663</v>
          </cell>
        </row>
        <row r="361">
          <cell r="AK361">
            <v>2603.3333333333335</v>
          </cell>
        </row>
        <row r="362">
          <cell r="F362">
            <v>79</v>
          </cell>
          <cell r="P362">
            <v>-116</v>
          </cell>
          <cell r="S362">
            <v>-1222</v>
          </cell>
          <cell r="T362">
            <v>180.16</v>
          </cell>
          <cell r="U362">
            <v>945.84</v>
          </cell>
          <cell r="X362">
            <v>345</v>
          </cell>
          <cell r="Y362">
            <v>368</v>
          </cell>
          <cell r="Z362">
            <v>195</v>
          </cell>
          <cell r="AC362">
            <v>518</v>
          </cell>
          <cell r="AD362">
            <v>423</v>
          </cell>
          <cell r="AE362">
            <v>290</v>
          </cell>
          <cell r="AF362">
            <v>126</v>
          </cell>
          <cell r="AG362">
            <v>126</v>
          </cell>
          <cell r="AH362">
            <v>0</v>
          </cell>
          <cell r="AI362">
            <v>0</v>
          </cell>
          <cell r="AK362">
            <v>-270</v>
          </cell>
          <cell r="AM362">
            <v>-396</v>
          </cell>
        </row>
        <row r="367">
          <cell r="F367">
            <v>0</v>
          </cell>
        </row>
        <row r="371">
          <cell r="F371">
            <v>0</v>
          </cell>
        </row>
        <row r="381">
          <cell r="F381" t="str">
            <v>лютий</v>
          </cell>
          <cell r="P381" t="str">
            <v>лютий</v>
          </cell>
          <cell r="V381" t="str">
            <v>лютий</v>
          </cell>
          <cell r="X381" t="str">
            <v>лютий</v>
          </cell>
          <cell r="AA381" t="str">
            <v>лютий</v>
          </cell>
          <cell r="AC381" t="str">
            <v>лютий</v>
          </cell>
        </row>
        <row r="382">
          <cell r="F382" t="str">
            <v>АППАРАТ</v>
          </cell>
          <cell r="P382" t="str">
            <v>ККМ</v>
          </cell>
          <cell r="V382" t="str">
            <v>ТЕЦ5</v>
          </cell>
          <cell r="X382" t="str">
            <v>ТЕЦ5</v>
          </cell>
          <cell r="AA382" t="str">
            <v>ТЕЦ6</v>
          </cell>
          <cell r="AC382" t="str">
            <v>ТЕЦ6</v>
          </cell>
          <cell r="AK382" t="str">
            <v>АК "КЕ"</v>
          </cell>
          <cell r="AL382" t="str">
            <v>Е/Е</v>
          </cell>
        </row>
        <row r="383">
          <cell r="F383" t="str">
            <v>ПЛАН</v>
          </cell>
          <cell r="P383" t="str">
            <v>ПЛАН</v>
          </cell>
          <cell r="V383" t="str">
            <v>ПЛАН</v>
          </cell>
          <cell r="X383" t="str">
            <v>ПЛАН</v>
          </cell>
          <cell r="AA383" t="str">
            <v>ПЛАН</v>
          </cell>
          <cell r="AC383" t="str">
            <v>ПЛАН</v>
          </cell>
          <cell r="AK383" t="str">
            <v>ПЛАН</v>
          </cell>
          <cell r="AL383" t="str">
            <v>ПЛАН</v>
          </cell>
        </row>
        <row r="384">
          <cell r="F384">
            <v>164.3</v>
          </cell>
          <cell r="G384">
            <v>104</v>
          </cell>
          <cell r="H384">
            <v>102</v>
          </cell>
          <cell r="P384">
            <v>14.333333333333332</v>
          </cell>
          <cell r="S384">
            <v>14.333333333333332</v>
          </cell>
          <cell r="V384">
            <v>182</v>
          </cell>
          <cell r="W384">
            <v>148</v>
          </cell>
          <cell r="X384">
            <v>182</v>
          </cell>
          <cell r="Y384">
            <v>131</v>
          </cell>
          <cell r="Z384">
            <v>130</v>
          </cell>
          <cell r="AA384">
            <v>323.66666666666674</v>
          </cell>
          <cell r="AB384">
            <v>257</v>
          </cell>
          <cell r="AC384">
            <v>323.66666666666674</v>
          </cell>
          <cell r="AD384">
            <v>230</v>
          </cell>
          <cell r="AE384">
            <v>231</v>
          </cell>
          <cell r="AK384">
            <v>735.30000000000018</v>
          </cell>
          <cell r="AL384">
            <v>526.33333333333337</v>
          </cell>
          <cell r="AM384">
            <v>490.33333333333331</v>
          </cell>
        </row>
        <row r="385">
          <cell r="F385">
            <v>29</v>
          </cell>
          <cell r="G385">
            <v>18</v>
          </cell>
          <cell r="P385">
            <v>0</v>
          </cell>
          <cell r="V385">
            <v>0</v>
          </cell>
          <cell r="W385">
            <v>0</v>
          </cell>
          <cell r="X385">
            <v>0</v>
          </cell>
          <cell r="Y385">
            <v>0</v>
          </cell>
          <cell r="AA385">
            <v>3.6666666666666665</v>
          </cell>
          <cell r="AB385">
            <v>3</v>
          </cell>
          <cell r="AC385">
            <v>3.6666666666666665</v>
          </cell>
          <cell r="AD385">
            <v>3</v>
          </cell>
          <cell r="AK385">
            <v>46</v>
          </cell>
          <cell r="AL385">
            <v>24</v>
          </cell>
        </row>
        <row r="386">
          <cell r="F386">
            <v>0</v>
          </cell>
          <cell r="G386">
            <v>0</v>
          </cell>
          <cell r="H386">
            <v>91</v>
          </cell>
          <cell r="P386">
            <v>0.66666666666666663</v>
          </cell>
          <cell r="S386">
            <v>14.333333333333332</v>
          </cell>
          <cell r="V386">
            <v>146.66666666666666</v>
          </cell>
          <cell r="W386">
            <v>119</v>
          </cell>
          <cell r="X386">
            <v>146.66666666666666</v>
          </cell>
          <cell r="Y386">
            <v>105</v>
          </cell>
          <cell r="Z386">
            <v>120</v>
          </cell>
          <cell r="AA386">
            <v>280.66666666666669</v>
          </cell>
          <cell r="AB386">
            <v>223</v>
          </cell>
          <cell r="AC386">
            <v>280.66666666666669</v>
          </cell>
          <cell r="AD386">
            <v>200</v>
          </cell>
          <cell r="AE386">
            <v>191</v>
          </cell>
          <cell r="AK386">
            <v>428</v>
          </cell>
          <cell r="AL386">
            <v>305.66666666666669</v>
          </cell>
          <cell r="AM386">
            <v>429.33333333333331</v>
          </cell>
        </row>
        <row r="387">
          <cell r="F387">
            <v>0</v>
          </cell>
          <cell r="G387">
            <v>0</v>
          </cell>
          <cell r="P387">
            <v>2</v>
          </cell>
          <cell r="V387">
            <v>0</v>
          </cell>
          <cell r="W387">
            <v>0</v>
          </cell>
          <cell r="X387">
            <v>0</v>
          </cell>
          <cell r="Y387">
            <v>0</v>
          </cell>
          <cell r="AA387">
            <v>25</v>
          </cell>
          <cell r="AB387">
            <v>20</v>
          </cell>
          <cell r="AC387">
            <v>25</v>
          </cell>
          <cell r="AD387">
            <v>18</v>
          </cell>
          <cell r="AK387">
            <v>33.666666666666671</v>
          </cell>
          <cell r="AL387">
            <v>23</v>
          </cell>
        </row>
        <row r="388">
          <cell r="F388">
            <v>0</v>
          </cell>
          <cell r="G388">
            <v>0</v>
          </cell>
          <cell r="P388">
            <v>0</v>
          </cell>
          <cell r="V388">
            <v>25.333333333333332</v>
          </cell>
          <cell r="W388">
            <v>21</v>
          </cell>
          <cell r="X388">
            <v>25.333333333333332</v>
          </cell>
          <cell r="Y388">
            <v>18</v>
          </cell>
          <cell r="AA388">
            <v>0.66666666666666663</v>
          </cell>
          <cell r="AB388">
            <v>1</v>
          </cell>
          <cell r="AC388">
            <v>0.66666666666666663</v>
          </cell>
          <cell r="AD388">
            <v>0</v>
          </cell>
          <cell r="AK388">
            <v>26</v>
          </cell>
          <cell r="AL388">
            <v>18</v>
          </cell>
        </row>
        <row r="389">
          <cell r="F389">
            <v>120.63333333333333</v>
          </cell>
          <cell r="G389">
            <v>76</v>
          </cell>
          <cell r="P389">
            <v>0</v>
          </cell>
          <cell r="V389">
            <v>0</v>
          </cell>
          <cell r="W389">
            <v>0</v>
          </cell>
          <cell r="X389">
            <v>0</v>
          </cell>
          <cell r="Y389">
            <v>0</v>
          </cell>
          <cell r="AA389">
            <v>0</v>
          </cell>
          <cell r="AB389">
            <v>0</v>
          </cell>
          <cell r="AC389">
            <v>0</v>
          </cell>
          <cell r="AD389">
            <v>0</v>
          </cell>
          <cell r="AK389">
            <v>120.63333333333333</v>
          </cell>
          <cell r="AL389">
            <v>78</v>
          </cell>
        </row>
        <row r="390">
          <cell r="F390">
            <v>8.6666666666666661</v>
          </cell>
          <cell r="G390">
            <v>5</v>
          </cell>
          <cell r="P390">
            <v>0</v>
          </cell>
          <cell r="V390">
            <v>0</v>
          </cell>
          <cell r="W390">
            <v>0</v>
          </cell>
          <cell r="X390">
            <v>0</v>
          </cell>
          <cell r="Y390">
            <v>0</v>
          </cell>
          <cell r="AA390">
            <v>0</v>
          </cell>
          <cell r="AB390">
            <v>0</v>
          </cell>
          <cell r="AC390">
            <v>0</v>
          </cell>
          <cell r="AD390">
            <v>0</v>
          </cell>
          <cell r="AK390">
            <v>8.6666666666666661</v>
          </cell>
          <cell r="AL390">
            <v>0</v>
          </cell>
        </row>
        <row r="391">
          <cell r="F391">
            <v>0</v>
          </cell>
          <cell r="G391">
            <v>0</v>
          </cell>
          <cell r="P391">
            <v>5.333333333333333</v>
          </cell>
          <cell r="V391">
            <v>0</v>
          </cell>
          <cell r="W391">
            <v>0</v>
          </cell>
          <cell r="X391">
            <v>0</v>
          </cell>
          <cell r="Y391">
            <v>0</v>
          </cell>
          <cell r="AA391">
            <v>0</v>
          </cell>
          <cell r="AB391">
            <v>0</v>
          </cell>
          <cell r="AC391">
            <v>0</v>
          </cell>
          <cell r="AD391">
            <v>0</v>
          </cell>
          <cell r="AK391">
            <v>22</v>
          </cell>
          <cell r="AL391">
            <v>15.333333333333332</v>
          </cell>
        </row>
        <row r="392">
          <cell r="F392">
            <v>5.333333333333333</v>
          </cell>
          <cell r="G392">
            <v>3</v>
          </cell>
          <cell r="P392">
            <v>0</v>
          </cell>
          <cell r="V392">
            <v>0</v>
          </cell>
          <cell r="W392">
            <v>0</v>
          </cell>
          <cell r="X392">
            <v>0</v>
          </cell>
          <cell r="Y392">
            <v>0</v>
          </cell>
          <cell r="AA392">
            <v>0</v>
          </cell>
          <cell r="AB392">
            <v>0</v>
          </cell>
          <cell r="AC392">
            <v>0</v>
          </cell>
          <cell r="AD392">
            <v>0</v>
          </cell>
          <cell r="AK392">
            <v>5.333333333333333</v>
          </cell>
          <cell r="AL392">
            <v>3</v>
          </cell>
        </row>
        <row r="393">
          <cell r="F393">
            <v>0.33333333333333331</v>
          </cell>
          <cell r="G393">
            <v>0</v>
          </cell>
          <cell r="P393">
            <v>4.333333333333333</v>
          </cell>
          <cell r="V393">
            <v>0</v>
          </cell>
          <cell r="W393">
            <v>0</v>
          </cell>
          <cell r="X393">
            <v>0</v>
          </cell>
          <cell r="Y393">
            <v>0</v>
          </cell>
          <cell r="AA393">
            <v>0</v>
          </cell>
          <cell r="AB393">
            <v>0</v>
          </cell>
          <cell r="AC393">
            <v>0</v>
          </cell>
          <cell r="AD393">
            <v>0</v>
          </cell>
          <cell r="AK393">
            <v>4.6666666666666661</v>
          </cell>
          <cell r="AL393">
            <v>4.333333333333333</v>
          </cell>
        </row>
        <row r="394">
          <cell r="F394">
            <v>0.33333333333333331</v>
          </cell>
          <cell r="G394">
            <v>0</v>
          </cell>
          <cell r="P394">
            <v>2</v>
          </cell>
          <cell r="V394">
            <v>10</v>
          </cell>
          <cell r="W394">
            <v>8</v>
          </cell>
          <cell r="X394">
            <v>10</v>
          </cell>
          <cell r="Y394">
            <v>7</v>
          </cell>
          <cell r="AA394">
            <v>13.666666666666666</v>
          </cell>
          <cell r="AB394">
            <v>11</v>
          </cell>
          <cell r="AC394">
            <v>13.666666666666666</v>
          </cell>
          <cell r="AD394">
            <v>10</v>
          </cell>
          <cell r="AK394">
            <v>26</v>
          </cell>
          <cell r="AL394">
            <v>19</v>
          </cell>
        </row>
        <row r="395">
          <cell r="F395">
            <v>0</v>
          </cell>
          <cell r="G395">
            <v>0</v>
          </cell>
          <cell r="P395">
            <v>0</v>
          </cell>
          <cell r="V395">
            <v>0</v>
          </cell>
          <cell r="W395">
            <v>0</v>
          </cell>
          <cell r="X395">
            <v>0</v>
          </cell>
          <cell r="Y395">
            <v>0</v>
          </cell>
          <cell r="AA395">
            <v>0</v>
          </cell>
          <cell r="AB395">
            <v>0</v>
          </cell>
          <cell r="AC395">
            <v>0</v>
          </cell>
          <cell r="AD395">
            <v>0</v>
          </cell>
          <cell r="AK395">
            <v>0</v>
          </cell>
          <cell r="AL395">
            <v>4.333333333333333</v>
          </cell>
        </row>
        <row r="396">
          <cell r="F396">
            <v>1.1666666666666667</v>
          </cell>
          <cell r="G396">
            <v>1</v>
          </cell>
          <cell r="P396">
            <v>20.5</v>
          </cell>
          <cell r="V396">
            <v>522.33333333333337</v>
          </cell>
          <cell r="W396">
            <v>424</v>
          </cell>
          <cell r="X396">
            <v>522.33333333333337</v>
          </cell>
          <cell r="Y396">
            <v>375</v>
          </cell>
          <cell r="AA396">
            <v>43</v>
          </cell>
          <cell r="AB396">
            <v>34</v>
          </cell>
          <cell r="AC396">
            <v>43</v>
          </cell>
          <cell r="AD396">
            <v>31</v>
          </cell>
          <cell r="AK396">
            <v>587.33333333333337</v>
          </cell>
          <cell r="AL396">
            <v>427.5</v>
          </cell>
          <cell r="AM396">
            <v>427.83333333333337</v>
          </cell>
        </row>
        <row r="397">
          <cell r="F397">
            <v>0</v>
          </cell>
          <cell r="G397">
            <v>0</v>
          </cell>
          <cell r="P397">
            <v>0</v>
          </cell>
          <cell r="V397">
            <v>0</v>
          </cell>
          <cell r="W397">
            <v>0</v>
          </cell>
          <cell r="X397">
            <v>0</v>
          </cell>
          <cell r="Y397">
            <v>0</v>
          </cell>
          <cell r="AA397">
            <v>0</v>
          </cell>
          <cell r="AB397">
            <v>0</v>
          </cell>
          <cell r="AC397">
            <v>0</v>
          </cell>
          <cell r="AD397">
            <v>0</v>
          </cell>
          <cell r="AK397">
            <v>0</v>
          </cell>
          <cell r="AL397">
            <v>0</v>
          </cell>
        </row>
        <row r="398">
          <cell r="F398">
            <v>0</v>
          </cell>
          <cell r="G398">
            <v>0</v>
          </cell>
          <cell r="P398">
            <v>0</v>
          </cell>
          <cell r="V398">
            <v>480.66666666666669</v>
          </cell>
          <cell r="W398">
            <v>390</v>
          </cell>
          <cell r="X398">
            <v>480.66666666666669</v>
          </cell>
          <cell r="Y398">
            <v>345</v>
          </cell>
          <cell r="AA398">
            <v>11</v>
          </cell>
          <cell r="AB398">
            <v>9</v>
          </cell>
          <cell r="AC398">
            <v>11</v>
          </cell>
          <cell r="AD398">
            <v>8</v>
          </cell>
          <cell r="AK398">
            <v>491.66666666666669</v>
          </cell>
          <cell r="AL398">
            <v>353</v>
          </cell>
          <cell r="AM398">
            <v>388.83333333333337</v>
          </cell>
        </row>
        <row r="399">
          <cell r="F399">
            <v>0</v>
          </cell>
          <cell r="G399">
            <v>0</v>
          </cell>
          <cell r="P399">
            <v>0</v>
          </cell>
          <cell r="V399">
            <v>0</v>
          </cell>
          <cell r="W399">
            <v>0</v>
          </cell>
          <cell r="X399">
            <v>0</v>
          </cell>
          <cell r="Y399">
            <v>0</v>
          </cell>
          <cell r="AA399">
            <v>0</v>
          </cell>
          <cell r="AB399">
            <v>0</v>
          </cell>
          <cell r="AC399">
            <v>0</v>
          </cell>
          <cell r="AD399">
            <v>0</v>
          </cell>
          <cell r="AK399">
            <v>0</v>
          </cell>
          <cell r="AL399">
            <v>0</v>
          </cell>
        </row>
        <row r="400">
          <cell r="F400">
            <v>1.1666666666666667</v>
          </cell>
          <cell r="G400">
            <v>1</v>
          </cell>
          <cell r="P400">
            <v>15.833333333333334</v>
          </cell>
          <cell r="V400">
            <v>41.666666666666664</v>
          </cell>
          <cell r="W400">
            <v>34</v>
          </cell>
          <cell r="X400">
            <v>41.666666666666664</v>
          </cell>
          <cell r="Y400">
            <v>30</v>
          </cell>
          <cell r="AA400">
            <v>32</v>
          </cell>
          <cell r="AB400">
            <v>25</v>
          </cell>
          <cell r="AC400">
            <v>32</v>
          </cell>
          <cell r="AD400">
            <v>23</v>
          </cell>
          <cell r="AK400">
            <v>91</v>
          </cell>
          <cell r="AL400">
            <v>74.833333333333343</v>
          </cell>
        </row>
        <row r="401">
          <cell r="F401">
            <v>0</v>
          </cell>
          <cell r="G401">
            <v>0</v>
          </cell>
          <cell r="P401">
            <v>4.666666666666667</v>
          </cell>
          <cell r="V401">
            <v>0</v>
          </cell>
          <cell r="W401">
            <v>0</v>
          </cell>
          <cell r="X401">
            <v>0</v>
          </cell>
          <cell r="Y401">
            <v>0</v>
          </cell>
          <cell r="AA401">
            <v>0</v>
          </cell>
          <cell r="AB401">
            <v>0</v>
          </cell>
          <cell r="AC401">
            <v>0</v>
          </cell>
          <cell r="AD401">
            <v>0</v>
          </cell>
          <cell r="AK401">
            <v>4.666666666666667</v>
          </cell>
          <cell r="AL401">
            <v>0</v>
          </cell>
        </row>
        <row r="402">
          <cell r="F402">
            <v>0</v>
          </cell>
          <cell r="G402">
            <v>0</v>
          </cell>
          <cell r="P402">
            <v>0</v>
          </cell>
          <cell r="V402">
            <v>0</v>
          </cell>
          <cell r="W402">
            <v>0</v>
          </cell>
          <cell r="X402">
            <v>0</v>
          </cell>
          <cell r="Y402">
            <v>0</v>
          </cell>
          <cell r="AA402">
            <v>0</v>
          </cell>
          <cell r="AB402">
            <v>0</v>
          </cell>
          <cell r="AC402">
            <v>0</v>
          </cell>
          <cell r="AD402">
            <v>0</v>
          </cell>
          <cell r="AK402">
            <v>0</v>
          </cell>
          <cell r="AL402">
            <v>67.833333333333343</v>
          </cell>
        </row>
        <row r="403">
          <cell r="F403">
            <v>10</v>
          </cell>
          <cell r="G403">
            <v>6</v>
          </cell>
          <cell r="P403">
            <v>39</v>
          </cell>
          <cell r="V403">
            <v>0</v>
          </cell>
          <cell r="W403">
            <v>0</v>
          </cell>
          <cell r="X403">
            <v>0</v>
          </cell>
          <cell r="Y403">
            <v>0</v>
          </cell>
          <cell r="AA403">
            <v>0</v>
          </cell>
          <cell r="AB403">
            <v>0</v>
          </cell>
          <cell r="AC403">
            <v>0</v>
          </cell>
          <cell r="AD403">
            <v>0</v>
          </cell>
          <cell r="AK403">
            <v>49</v>
          </cell>
          <cell r="AL403">
            <v>45</v>
          </cell>
          <cell r="AM403">
            <v>46</v>
          </cell>
        </row>
        <row r="404">
          <cell r="F404">
            <v>2.6666666666666665</v>
          </cell>
          <cell r="G404">
            <v>2</v>
          </cell>
          <cell r="P404">
            <v>3.3333333333333335</v>
          </cell>
          <cell r="V404">
            <v>0</v>
          </cell>
          <cell r="W404">
            <v>0</v>
          </cell>
          <cell r="X404">
            <v>0</v>
          </cell>
          <cell r="Y404">
            <v>0</v>
          </cell>
          <cell r="AA404">
            <v>0</v>
          </cell>
          <cell r="AB404">
            <v>0</v>
          </cell>
          <cell r="AC404">
            <v>0</v>
          </cell>
          <cell r="AD404">
            <v>0</v>
          </cell>
          <cell r="AK404">
            <v>6</v>
          </cell>
          <cell r="AL404">
            <v>5.3333333333333339</v>
          </cell>
        </row>
        <row r="405">
          <cell r="F405">
            <v>7.333333333333333</v>
          </cell>
          <cell r="G405">
            <v>5</v>
          </cell>
          <cell r="P405">
            <v>35.666666666666664</v>
          </cell>
          <cell r="V405">
            <v>0</v>
          </cell>
          <cell r="W405">
            <v>0</v>
          </cell>
          <cell r="X405">
            <v>0</v>
          </cell>
          <cell r="Y405">
            <v>0</v>
          </cell>
          <cell r="AA405">
            <v>0</v>
          </cell>
          <cell r="AB405">
            <v>0</v>
          </cell>
          <cell r="AC405">
            <v>0</v>
          </cell>
          <cell r="AD405">
            <v>0</v>
          </cell>
          <cell r="AK405">
            <v>43</v>
          </cell>
          <cell r="AL405">
            <v>40.666666666666664</v>
          </cell>
          <cell r="AM405">
            <v>44</v>
          </cell>
        </row>
        <row r="406">
          <cell r="F406">
            <v>0</v>
          </cell>
          <cell r="G406">
            <v>0</v>
          </cell>
          <cell r="P406">
            <v>0</v>
          </cell>
          <cell r="V406">
            <v>0</v>
          </cell>
          <cell r="W406">
            <v>0</v>
          </cell>
          <cell r="X406">
            <v>0</v>
          </cell>
          <cell r="Y406">
            <v>0</v>
          </cell>
          <cell r="AA406">
            <v>0</v>
          </cell>
          <cell r="AB406">
            <v>0</v>
          </cell>
          <cell r="AC406">
            <v>0</v>
          </cell>
          <cell r="AD406">
            <v>0</v>
          </cell>
          <cell r="AK406">
            <v>0</v>
          </cell>
          <cell r="AL406">
            <v>4.3333333333333339</v>
          </cell>
        </row>
        <row r="407">
          <cell r="F407">
            <v>206.33333333333329</v>
          </cell>
          <cell r="G407">
            <v>131</v>
          </cell>
          <cell r="H407">
            <v>130</v>
          </cell>
          <cell r="P407">
            <v>50.166666666666671</v>
          </cell>
          <cell r="S407">
            <v>50.166666666666671</v>
          </cell>
          <cell r="V407">
            <v>37.833333333333343</v>
          </cell>
          <cell r="W407">
            <v>31</v>
          </cell>
          <cell r="X407">
            <v>37.833333333333343</v>
          </cell>
          <cell r="Y407">
            <v>27</v>
          </cell>
          <cell r="AA407">
            <v>26.000000000000004</v>
          </cell>
          <cell r="AB407">
            <v>21</v>
          </cell>
          <cell r="AC407">
            <v>26.000000000000004</v>
          </cell>
          <cell r="AD407">
            <v>18</v>
          </cell>
          <cell r="AK407">
            <v>1965.0000000000002</v>
          </cell>
          <cell r="AL407">
            <v>481.16666666666663</v>
          </cell>
          <cell r="AM407">
            <v>481.16666666666663</v>
          </cell>
        </row>
        <row r="408">
          <cell r="F408">
            <v>0</v>
          </cell>
          <cell r="G408">
            <v>0</v>
          </cell>
          <cell r="P408">
            <v>0</v>
          </cell>
          <cell r="V408">
            <v>0</v>
          </cell>
          <cell r="W408">
            <v>0</v>
          </cell>
          <cell r="X408">
            <v>0</v>
          </cell>
          <cell r="Y408">
            <v>0</v>
          </cell>
          <cell r="AA408">
            <v>0</v>
          </cell>
          <cell r="AB408">
            <v>0</v>
          </cell>
          <cell r="AC408">
            <v>0</v>
          </cell>
          <cell r="AD408">
            <v>0</v>
          </cell>
          <cell r="AK408">
            <v>1350</v>
          </cell>
          <cell r="AL408">
            <v>0</v>
          </cell>
        </row>
        <row r="409">
          <cell r="F409">
            <v>0</v>
          </cell>
          <cell r="G409">
            <v>0</v>
          </cell>
          <cell r="H409">
            <v>114</v>
          </cell>
          <cell r="P409">
            <v>0</v>
          </cell>
          <cell r="S409">
            <v>50.166666666666671</v>
          </cell>
          <cell r="V409">
            <v>0</v>
          </cell>
          <cell r="W409">
            <v>0</v>
          </cell>
          <cell r="X409">
            <v>0</v>
          </cell>
          <cell r="Y409">
            <v>0</v>
          </cell>
          <cell r="AA409">
            <v>0</v>
          </cell>
          <cell r="AB409">
            <v>0</v>
          </cell>
          <cell r="AC409">
            <v>0</v>
          </cell>
          <cell r="AD409">
            <v>0</v>
          </cell>
          <cell r="AK409">
            <v>95</v>
          </cell>
          <cell r="AL409">
            <v>95</v>
          </cell>
          <cell r="AM409">
            <v>464.16666666666663</v>
          </cell>
        </row>
        <row r="410">
          <cell r="F410">
            <v>0</v>
          </cell>
          <cell r="G410">
            <v>0</v>
          </cell>
          <cell r="P410">
            <v>0</v>
          </cell>
          <cell r="V410">
            <v>0</v>
          </cell>
          <cell r="W410">
            <v>0</v>
          </cell>
          <cell r="X410">
            <v>0</v>
          </cell>
          <cell r="Y410">
            <v>0</v>
          </cell>
          <cell r="AA410">
            <v>0</v>
          </cell>
          <cell r="AB410">
            <v>0</v>
          </cell>
          <cell r="AC410">
            <v>0</v>
          </cell>
          <cell r="AD410">
            <v>0</v>
          </cell>
          <cell r="AK410">
            <v>0</v>
          </cell>
          <cell r="AL410">
            <v>0</v>
          </cell>
        </row>
        <row r="411">
          <cell r="F411">
            <v>0</v>
          </cell>
          <cell r="G411">
            <v>0</v>
          </cell>
          <cell r="P411">
            <v>12.333333333333334</v>
          </cell>
          <cell r="V411">
            <v>0</v>
          </cell>
          <cell r="W411">
            <v>0</v>
          </cell>
          <cell r="X411">
            <v>0</v>
          </cell>
          <cell r="Y411">
            <v>0</v>
          </cell>
          <cell r="AA411">
            <v>0</v>
          </cell>
          <cell r="AB411">
            <v>0</v>
          </cell>
          <cell r="AC411">
            <v>0</v>
          </cell>
          <cell r="AD411">
            <v>0</v>
          </cell>
          <cell r="AK411">
            <v>12.333333333333334</v>
          </cell>
          <cell r="AL411">
            <v>12.333333333333334</v>
          </cell>
        </row>
        <row r="412">
          <cell r="F412">
            <v>0</v>
          </cell>
          <cell r="G412">
            <v>0</v>
          </cell>
          <cell r="P412">
            <v>0</v>
          </cell>
          <cell r="V412">
            <v>0</v>
          </cell>
          <cell r="W412">
            <v>0</v>
          </cell>
          <cell r="X412">
            <v>0</v>
          </cell>
          <cell r="Y412">
            <v>0</v>
          </cell>
          <cell r="AA412">
            <v>0</v>
          </cell>
          <cell r="AB412">
            <v>0</v>
          </cell>
          <cell r="AC412">
            <v>0</v>
          </cell>
          <cell r="AD412">
            <v>0</v>
          </cell>
          <cell r="AK412">
            <v>0</v>
          </cell>
          <cell r="AL412">
            <v>0</v>
          </cell>
        </row>
        <row r="413">
          <cell r="F413">
            <v>1.6666666666666667</v>
          </cell>
          <cell r="G413">
            <v>1</v>
          </cell>
          <cell r="P413">
            <v>5</v>
          </cell>
          <cell r="V413">
            <v>3</v>
          </cell>
          <cell r="W413">
            <v>2</v>
          </cell>
          <cell r="X413">
            <v>3</v>
          </cell>
          <cell r="Y413">
            <v>2</v>
          </cell>
          <cell r="AA413">
            <v>3</v>
          </cell>
          <cell r="AB413">
            <v>2</v>
          </cell>
          <cell r="AC413">
            <v>3</v>
          </cell>
          <cell r="AD413">
            <v>2</v>
          </cell>
          <cell r="AK413">
            <v>57.666666666666664</v>
          </cell>
          <cell r="AL413">
            <v>50</v>
          </cell>
        </row>
        <row r="414">
          <cell r="F414">
            <v>0</v>
          </cell>
          <cell r="G414">
            <v>0</v>
          </cell>
          <cell r="P414">
            <v>0</v>
          </cell>
          <cell r="V414">
            <v>0</v>
          </cell>
          <cell r="W414">
            <v>0</v>
          </cell>
          <cell r="X414">
            <v>0</v>
          </cell>
          <cell r="Y414">
            <v>0</v>
          </cell>
          <cell r="AA414">
            <v>0</v>
          </cell>
          <cell r="AB414">
            <v>0</v>
          </cell>
          <cell r="AC414">
            <v>0</v>
          </cell>
          <cell r="AD414">
            <v>0</v>
          </cell>
          <cell r="AK414">
            <v>4</v>
          </cell>
          <cell r="AL414">
            <v>0</v>
          </cell>
        </row>
        <row r="415">
          <cell r="F415">
            <v>0</v>
          </cell>
          <cell r="G415">
            <v>0</v>
          </cell>
          <cell r="P415">
            <v>0</v>
          </cell>
          <cell r="V415">
            <v>0</v>
          </cell>
          <cell r="W415">
            <v>0</v>
          </cell>
          <cell r="X415">
            <v>0</v>
          </cell>
          <cell r="Y415">
            <v>0</v>
          </cell>
          <cell r="AA415">
            <v>0</v>
          </cell>
          <cell r="AB415">
            <v>0</v>
          </cell>
          <cell r="AC415">
            <v>0</v>
          </cell>
          <cell r="AD415">
            <v>0</v>
          </cell>
          <cell r="AK415">
            <v>0</v>
          </cell>
          <cell r="AL415">
            <v>0</v>
          </cell>
        </row>
        <row r="416">
          <cell r="F416">
            <v>0</v>
          </cell>
          <cell r="G416">
            <v>0</v>
          </cell>
          <cell r="P416">
            <v>18.5</v>
          </cell>
          <cell r="V416">
            <v>4.5</v>
          </cell>
          <cell r="W416">
            <v>4</v>
          </cell>
          <cell r="X416">
            <v>4.5</v>
          </cell>
          <cell r="Y416">
            <v>3</v>
          </cell>
          <cell r="AA416">
            <v>1.3333333333333333</v>
          </cell>
          <cell r="AB416">
            <v>1</v>
          </cell>
          <cell r="AC416">
            <v>1.3333333333333333</v>
          </cell>
          <cell r="AD416">
            <v>1</v>
          </cell>
          <cell r="AK416">
            <v>28.5</v>
          </cell>
          <cell r="AL416">
            <v>26.5</v>
          </cell>
        </row>
        <row r="417">
          <cell r="F417">
            <v>0</v>
          </cell>
          <cell r="G417">
            <v>0</v>
          </cell>
          <cell r="P417">
            <v>1.3333333333333333</v>
          </cell>
          <cell r="V417">
            <v>0</v>
          </cell>
          <cell r="W417">
            <v>0</v>
          </cell>
          <cell r="X417">
            <v>0</v>
          </cell>
          <cell r="Y417">
            <v>0</v>
          </cell>
          <cell r="AA417">
            <v>1.6666666666666667</v>
          </cell>
          <cell r="AB417">
            <v>1</v>
          </cell>
          <cell r="AC417">
            <v>1.6666666666666667</v>
          </cell>
          <cell r="AD417">
            <v>1</v>
          </cell>
          <cell r="AK417">
            <v>69</v>
          </cell>
          <cell r="AL417">
            <v>52.333333333333336</v>
          </cell>
        </row>
        <row r="418">
          <cell r="F418">
            <v>177</v>
          </cell>
          <cell r="G418">
            <v>112</v>
          </cell>
          <cell r="P418">
            <v>0</v>
          </cell>
          <cell r="V418">
            <v>0</v>
          </cell>
          <cell r="W418">
            <v>0</v>
          </cell>
          <cell r="X418">
            <v>0</v>
          </cell>
          <cell r="Y418">
            <v>0</v>
          </cell>
          <cell r="AA418">
            <v>0</v>
          </cell>
          <cell r="AB418">
            <v>0</v>
          </cell>
          <cell r="AC418">
            <v>0</v>
          </cell>
          <cell r="AD418">
            <v>0</v>
          </cell>
          <cell r="AK418">
            <v>177</v>
          </cell>
          <cell r="AL418">
            <v>112</v>
          </cell>
        </row>
        <row r="419">
          <cell r="F419">
            <v>0</v>
          </cell>
          <cell r="G419">
            <v>0</v>
          </cell>
          <cell r="P419">
            <v>0</v>
          </cell>
          <cell r="V419">
            <v>10</v>
          </cell>
          <cell r="W419">
            <v>8</v>
          </cell>
          <cell r="X419">
            <v>10</v>
          </cell>
          <cell r="Y419">
            <v>7</v>
          </cell>
          <cell r="AA419">
            <v>7.666666666666667</v>
          </cell>
          <cell r="AB419">
            <v>6</v>
          </cell>
          <cell r="AC419">
            <v>7.666666666666667</v>
          </cell>
          <cell r="AD419">
            <v>5</v>
          </cell>
          <cell r="AK419">
            <v>17.666666666666668</v>
          </cell>
          <cell r="AL419">
            <v>12</v>
          </cell>
        </row>
        <row r="420">
          <cell r="F420">
            <v>0.66666666666666663</v>
          </cell>
          <cell r="G420">
            <v>0</v>
          </cell>
          <cell r="P420">
            <v>2</v>
          </cell>
          <cell r="V420">
            <v>1.3333333333333333</v>
          </cell>
          <cell r="W420">
            <v>1</v>
          </cell>
          <cell r="X420">
            <v>1.3333333333333333</v>
          </cell>
          <cell r="Y420">
            <v>1</v>
          </cell>
          <cell r="AA420">
            <v>1</v>
          </cell>
          <cell r="AB420">
            <v>1</v>
          </cell>
          <cell r="AC420">
            <v>1</v>
          </cell>
          <cell r="AD420">
            <v>1</v>
          </cell>
          <cell r="AK420">
            <v>6</v>
          </cell>
          <cell r="AL420">
            <v>4</v>
          </cell>
        </row>
        <row r="421">
          <cell r="F421">
            <v>2.6666666666666665</v>
          </cell>
          <cell r="G421">
            <v>2</v>
          </cell>
          <cell r="P421">
            <v>0.33333333333333331</v>
          </cell>
          <cell r="V421">
            <v>1</v>
          </cell>
          <cell r="W421">
            <v>1</v>
          </cell>
          <cell r="X421">
            <v>1</v>
          </cell>
          <cell r="Y421">
            <v>1</v>
          </cell>
          <cell r="AA421">
            <v>0.66666666666666663</v>
          </cell>
          <cell r="AB421">
            <v>1</v>
          </cell>
          <cell r="AC421">
            <v>0.66666666666666663</v>
          </cell>
          <cell r="AD421">
            <v>0</v>
          </cell>
          <cell r="AK421">
            <v>9.3333333333333339</v>
          </cell>
          <cell r="AL421">
            <v>5.333333333333333</v>
          </cell>
        </row>
        <row r="422">
          <cell r="F422">
            <v>0</v>
          </cell>
          <cell r="G422">
            <v>0</v>
          </cell>
          <cell r="P422">
            <v>2.3333333333333335</v>
          </cell>
          <cell r="V422">
            <v>6</v>
          </cell>
          <cell r="W422">
            <v>5</v>
          </cell>
          <cell r="X422">
            <v>6</v>
          </cell>
          <cell r="Y422">
            <v>4</v>
          </cell>
          <cell r="AA422">
            <v>5</v>
          </cell>
          <cell r="AB422">
            <v>4</v>
          </cell>
          <cell r="AC422">
            <v>5</v>
          </cell>
          <cell r="AD422">
            <v>4</v>
          </cell>
          <cell r="AK422">
            <v>13.333333333333334</v>
          </cell>
          <cell r="AL422">
            <v>10.333333333333334</v>
          </cell>
        </row>
        <row r="423">
          <cell r="F423">
            <v>0</v>
          </cell>
          <cell r="G423">
            <v>0</v>
          </cell>
          <cell r="P423">
            <v>0</v>
          </cell>
          <cell r="V423">
            <v>0</v>
          </cell>
          <cell r="W423">
            <v>0</v>
          </cell>
          <cell r="X423">
            <v>0</v>
          </cell>
          <cell r="Y423">
            <v>0</v>
          </cell>
          <cell r="AA423">
            <v>0</v>
          </cell>
          <cell r="AB423">
            <v>0</v>
          </cell>
          <cell r="AC423">
            <v>0</v>
          </cell>
          <cell r="AD423">
            <v>0</v>
          </cell>
          <cell r="AK423">
            <v>0</v>
          </cell>
          <cell r="AL423">
            <v>0</v>
          </cell>
        </row>
        <row r="424">
          <cell r="F424">
            <v>0</v>
          </cell>
          <cell r="G424">
            <v>0</v>
          </cell>
          <cell r="P424">
            <v>0</v>
          </cell>
          <cell r="V424">
            <v>0</v>
          </cell>
          <cell r="W424">
            <v>0</v>
          </cell>
          <cell r="X424">
            <v>0</v>
          </cell>
          <cell r="Y424">
            <v>0</v>
          </cell>
          <cell r="AA424">
            <v>0</v>
          </cell>
          <cell r="AB424">
            <v>0</v>
          </cell>
          <cell r="AC424">
            <v>0</v>
          </cell>
          <cell r="AD424">
            <v>0</v>
          </cell>
          <cell r="AK424">
            <v>0</v>
          </cell>
          <cell r="AL424">
            <v>0</v>
          </cell>
        </row>
        <row r="425">
          <cell r="F425">
            <v>9.6666666666666661</v>
          </cell>
          <cell r="G425">
            <v>6</v>
          </cell>
          <cell r="P425">
            <v>1</v>
          </cell>
          <cell r="V425">
            <v>0</v>
          </cell>
          <cell r="W425">
            <v>0</v>
          </cell>
          <cell r="X425">
            <v>0</v>
          </cell>
          <cell r="Y425">
            <v>0</v>
          </cell>
          <cell r="AA425">
            <v>0</v>
          </cell>
          <cell r="AB425">
            <v>0</v>
          </cell>
          <cell r="AC425">
            <v>0</v>
          </cell>
          <cell r="AD425">
            <v>0</v>
          </cell>
          <cell r="AK425">
            <v>12</v>
          </cell>
          <cell r="AL425">
            <v>8</v>
          </cell>
        </row>
        <row r="426">
          <cell r="F426">
            <v>0</v>
          </cell>
          <cell r="G426">
            <v>0</v>
          </cell>
          <cell r="P426">
            <v>0</v>
          </cell>
          <cell r="V426">
            <v>0</v>
          </cell>
          <cell r="W426">
            <v>0</v>
          </cell>
          <cell r="X426">
            <v>0</v>
          </cell>
          <cell r="Y426">
            <v>0</v>
          </cell>
          <cell r="AA426">
            <v>0</v>
          </cell>
          <cell r="AB426">
            <v>0</v>
          </cell>
          <cell r="AC426">
            <v>0</v>
          </cell>
          <cell r="AD426">
            <v>0</v>
          </cell>
          <cell r="AK426">
            <v>0</v>
          </cell>
          <cell r="AL426">
            <v>0</v>
          </cell>
        </row>
        <row r="427">
          <cell r="F427">
            <v>2.3333333333333335</v>
          </cell>
          <cell r="G427">
            <v>1</v>
          </cell>
          <cell r="P427">
            <v>0.66666666666666663</v>
          </cell>
          <cell r="V427">
            <v>0.66666666666666663</v>
          </cell>
          <cell r="W427">
            <v>1</v>
          </cell>
          <cell r="X427">
            <v>0.66666666666666663</v>
          </cell>
          <cell r="Y427">
            <v>0</v>
          </cell>
          <cell r="AA427">
            <v>0.66666666666666663</v>
          </cell>
          <cell r="AB427">
            <v>1</v>
          </cell>
          <cell r="AC427">
            <v>0.66666666666666663</v>
          </cell>
          <cell r="AD427">
            <v>0</v>
          </cell>
          <cell r="AK427">
            <v>4.333333333333333</v>
          </cell>
          <cell r="AL427">
            <v>1.6666666666666665</v>
          </cell>
        </row>
        <row r="428">
          <cell r="F428">
            <v>1.6666666666666667</v>
          </cell>
          <cell r="G428">
            <v>1</v>
          </cell>
          <cell r="P428">
            <v>0.66666666666666663</v>
          </cell>
          <cell r="V428">
            <v>0.66666666666666663</v>
          </cell>
          <cell r="W428">
            <v>1</v>
          </cell>
          <cell r="X428">
            <v>0.66666666666666663</v>
          </cell>
          <cell r="Y428">
            <v>0</v>
          </cell>
          <cell r="AA428">
            <v>0.66666666666666663</v>
          </cell>
          <cell r="AB428">
            <v>1</v>
          </cell>
          <cell r="AC428">
            <v>0.66666666666666663</v>
          </cell>
          <cell r="AD428">
            <v>0</v>
          </cell>
          <cell r="AK428">
            <v>3.6666666666666665</v>
          </cell>
          <cell r="AL428">
            <v>1.6666666666666665</v>
          </cell>
        </row>
        <row r="429">
          <cell r="F429">
            <v>6.666666666666667</v>
          </cell>
          <cell r="G429">
            <v>4</v>
          </cell>
          <cell r="P429">
            <v>4.666666666666667</v>
          </cell>
          <cell r="V429">
            <v>3</v>
          </cell>
          <cell r="W429">
            <v>2</v>
          </cell>
          <cell r="X429">
            <v>3</v>
          </cell>
          <cell r="Y429">
            <v>2</v>
          </cell>
          <cell r="AA429">
            <v>2</v>
          </cell>
          <cell r="AB429">
            <v>2</v>
          </cell>
          <cell r="AC429">
            <v>2</v>
          </cell>
          <cell r="AD429">
            <v>1</v>
          </cell>
          <cell r="AK429">
            <v>33</v>
          </cell>
          <cell r="AL429">
            <v>21.666666666666668</v>
          </cell>
        </row>
        <row r="430">
          <cell r="F430">
            <v>0</v>
          </cell>
          <cell r="G430">
            <v>0</v>
          </cell>
          <cell r="P430">
            <v>0</v>
          </cell>
          <cell r="V430">
            <v>0</v>
          </cell>
          <cell r="W430">
            <v>0</v>
          </cell>
          <cell r="X430">
            <v>0</v>
          </cell>
          <cell r="Y430">
            <v>0</v>
          </cell>
          <cell r="AA430">
            <v>0</v>
          </cell>
          <cell r="AB430">
            <v>0</v>
          </cell>
          <cell r="AC430">
            <v>0</v>
          </cell>
          <cell r="AD430">
            <v>0</v>
          </cell>
          <cell r="AK430">
            <v>0</v>
          </cell>
          <cell r="AL430">
            <v>0</v>
          </cell>
        </row>
        <row r="431">
          <cell r="F431">
            <v>0</v>
          </cell>
          <cell r="G431">
            <v>0</v>
          </cell>
          <cell r="P431">
            <v>0</v>
          </cell>
          <cell r="V431">
            <v>0</v>
          </cell>
          <cell r="W431">
            <v>0</v>
          </cell>
          <cell r="X431">
            <v>0</v>
          </cell>
          <cell r="Y431">
            <v>0</v>
          </cell>
          <cell r="AA431">
            <v>0</v>
          </cell>
          <cell r="AB431">
            <v>0</v>
          </cell>
          <cell r="AC431">
            <v>0</v>
          </cell>
          <cell r="AD431">
            <v>0</v>
          </cell>
          <cell r="AK431">
            <v>0</v>
          </cell>
          <cell r="AL431">
            <v>53</v>
          </cell>
        </row>
        <row r="432">
          <cell r="F432">
            <v>1</v>
          </cell>
          <cell r="G432">
            <v>1</v>
          </cell>
          <cell r="P432">
            <v>0</v>
          </cell>
          <cell r="V432">
            <v>0</v>
          </cell>
          <cell r="W432">
            <v>0</v>
          </cell>
          <cell r="X432">
            <v>0</v>
          </cell>
          <cell r="Y432">
            <v>0</v>
          </cell>
          <cell r="AA432">
            <v>0</v>
          </cell>
          <cell r="AB432">
            <v>0</v>
          </cell>
          <cell r="AC432">
            <v>0</v>
          </cell>
          <cell r="AD432">
            <v>0</v>
          </cell>
          <cell r="AK432">
            <v>1</v>
          </cell>
          <cell r="AL432">
            <v>1</v>
          </cell>
        </row>
        <row r="433">
          <cell r="F433">
            <v>0</v>
          </cell>
          <cell r="G433">
            <v>0</v>
          </cell>
          <cell r="P433">
            <v>0</v>
          </cell>
          <cell r="V433">
            <v>0</v>
          </cell>
          <cell r="W433">
            <v>0</v>
          </cell>
          <cell r="X433">
            <v>0</v>
          </cell>
          <cell r="Y433">
            <v>0</v>
          </cell>
          <cell r="AA433">
            <v>0</v>
          </cell>
          <cell r="AB433">
            <v>0</v>
          </cell>
          <cell r="AC433">
            <v>0</v>
          </cell>
          <cell r="AD433">
            <v>0</v>
          </cell>
          <cell r="AK433">
            <v>0</v>
          </cell>
          <cell r="AL433">
            <v>0</v>
          </cell>
        </row>
        <row r="434">
          <cell r="F434">
            <v>0</v>
          </cell>
          <cell r="G434">
            <v>0</v>
          </cell>
          <cell r="P434">
            <v>0</v>
          </cell>
          <cell r="V434">
            <v>0</v>
          </cell>
          <cell r="W434">
            <v>0</v>
          </cell>
          <cell r="X434">
            <v>0</v>
          </cell>
          <cell r="Y434">
            <v>0</v>
          </cell>
          <cell r="AA434">
            <v>0</v>
          </cell>
          <cell r="AB434">
            <v>0</v>
          </cell>
          <cell r="AC434">
            <v>0</v>
          </cell>
          <cell r="AD434">
            <v>0</v>
          </cell>
          <cell r="AK434">
            <v>0</v>
          </cell>
          <cell r="AL434">
            <v>0</v>
          </cell>
        </row>
        <row r="435">
          <cell r="F435">
            <v>2.6666666666666665</v>
          </cell>
          <cell r="G435">
            <v>2</v>
          </cell>
          <cell r="P435">
            <v>1</v>
          </cell>
          <cell r="V435">
            <v>4</v>
          </cell>
          <cell r="W435">
            <v>3</v>
          </cell>
          <cell r="X435">
            <v>4</v>
          </cell>
          <cell r="Y435">
            <v>3</v>
          </cell>
          <cell r="AA435">
            <v>2</v>
          </cell>
          <cell r="AB435">
            <v>2</v>
          </cell>
          <cell r="AC435">
            <v>2</v>
          </cell>
          <cell r="AD435">
            <v>1</v>
          </cell>
          <cell r="AK435">
            <v>15.666666666666666</v>
          </cell>
          <cell r="AL435">
            <v>10</v>
          </cell>
        </row>
        <row r="436">
          <cell r="F436">
            <v>0</v>
          </cell>
          <cell r="G436">
            <v>0</v>
          </cell>
          <cell r="P436">
            <v>0</v>
          </cell>
          <cell r="V436">
            <v>0</v>
          </cell>
          <cell r="W436">
            <v>0</v>
          </cell>
          <cell r="X436">
            <v>0</v>
          </cell>
          <cell r="Y436">
            <v>0</v>
          </cell>
          <cell r="AA436">
            <v>0</v>
          </cell>
          <cell r="AB436">
            <v>0</v>
          </cell>
          <cell r="AC436">
            <v>0</v>
          </cell>
          <cell r="AD436">
            <v>0</v>
          </cell>
          <cell r="AK436">
            <v>0</v>
          </cell>
          <cell r="AL436">
            <v>0</v>
          </cell>
        </row>
        <row r="437">
          <cell r="F437">
            <v>0</v>
          </cell>
          <cell r="G437">
            <v>0</v>
          </cell>
          <cell r="P437">
            <v>0</v>
          </cell>
          <cell r="V437">
            <v>3.3333333333333335</v>
          </cell>
          <cell r="W437">
            <v>3</v>
          </cell>
          <cell r="X437">
            <v>3.3333333333333335</v>
          </cell>
          <cell r="Y437">
            <v>2</v>
          </cell>
          <cell r="AA437">
            <v>0</v>
          </cell>
          <cell r="AB437">
            <v>0</v>
          </cell>
          <cell r="AC437">
            <v>0</v>
          </cell>
          <cell r="AD437">
            <v>0</v>
          </cell>
          <cell r="AK437">
            <v>3.3333333333333335</v>
          </cell>
          <cell r="AL437">
            <v>2</v>
          </cell>
        </row>
        <row r="438">
          <cell r="F438">
            <v>0.33333333333333331</v>
          </cell>
          <cell r="G438">
            <v>0</v>
          </cell>
          <cell r="P438">
            <v>0.33333333333333331</v>
          </cell>
          <cell r="V438">
            <v>0.33333333333333331</v>
          </cell>
          <cell r="W438">
            <v>0</v>
          </cell>
          <cell r="X438">
            <v>0.33333333333333331</v>
          </cell>
          <cell r="Y438">
            <v>0</v>
          </cell>
          <cell r="AA438">
            <v>0.33333333333333331</v>
          </cell>
          <cell r="AB438">
            <v>0</v>
          </cell>
          <cell r="AC438">
            <v>0.33333333333333331</v>
          </cell>
          <cell r="AD438">
            <v>0</v>
          </cell>
          <cell r="AK438">
            <v>1.9999999999999998</v>
          </cell>
          <cell r="AL438">
            <v>0.33333333333333331</v>
          </cell>
        </row>
        <row r="439">
          <cell r="F439">
            <v>0</v>
          </cell>
          <cell r="G439">
            <v>0</v>
          </cell>
          <cell r="P439">
            <v>0</v>
          </cell>
          <cell r="V439">
            <v>0</v>
          </cell>
          <cell r="W439">
            <v>0</v>
          </cell>
          <cell r="X439">
            <v>0</v>
          </cell>
          <cell r="Y439">
            <v>0</v>
          </cell>
          <cell r="AA439">
            <v>0</v>
          </cell>
          <cell r="AB439">
            <v>0</v>
          </cell>
          <cell r="AC439">
            <v>0</v>
          </cell>
          <cell r="AD439">
            <v>0</v>
          </cell>
          <cell r="AK439">
            <v>0</v>
          </cell>
          <cell r="AL439">
            <v>0</v>
          </cell>
        </row>
        <row r="440">
          <cell r="F440">
            <v>0</v>
          </cell>
          <cell r="G440">
            <v>0</v>
          </cell>
          <cell r="P440">
            <v>0</v>
          </cell>
          <cell r="V440">
            <v>0</v>
          </cell>
          <cell r="W440">
            <v>0</v>
          </cell>
          <cell r="X440">
            <v>0</v>
          </cell>
          <cell r="Y440">
            <v>0</v>
          </cell>
          <cell r="AA440">
            <v>0</v>
          </cell>
          <cell r="AB440">
            <v>0</v>
          </cell>
          <cell r="AC440">
            <v>0</v>
          </cell>
          <cell r="AD440">
            <v>0</v>
          </cell>
          <cell r="AK440">
            <v>0</v>
          </cell>
          <cell r="AL440">
            <v>0</v>
          </cell>
        </row>
        <row r="441">
          <cell r="F441">
            <v>0</v>
          </cell>
          <cell r="G441">
            <v>0</v>
          </cell>
          <cell r="P441">
            <v>0</v>
          </cell>
          <cell r="V441">
            <v>0</v>
          </cell>
          <cell r="W441">
            <v>0</v>
          </cell>
          <cell r="X441">
            <v>0</v>
          </cell>
          <cell r="Y441">
            <v>0</v>
          </cell>
          <cell r="AA441">
            <v>0</v>
          </cell>
          <cell r="AB441">
            <v>0</v>
          </cell>
          <cell r="AC441">
            <v>0</v>
          </cell>
          <cell r="AD441">
            <v>0</v>
          </cell>
          <cell r="AK441">
            <v>0</v>
          </cell>
          <cell r="AL441">
            <v>0</v>
          </cell>
        </row>
        <row r="442">
          <cell r="F442">
            <v>0</v>
          </cell>
          <cell r="G442">
            <v>0</v>
          </cell>
          <cell r="P442">
            <v>0</v>
          </cell>
          <cell r="V442">
            <v>0</v>
          </cell>
          <cell r="W442">
            <v>0</v>
          </cell>
          <cell r="X442">
            <v>0</v>
          </cell>
          <cell r="Y442">
            <v>0</v>
          </cell>
          <cell r="AA442">
            <v>0</v>
          </cell>
          <cell r="AB442">
            <v>0</v>
          </cell>
          <cell r="AC442">
            <v>0</v>
          </cell>
          <cell r="AD442">
            <v>0</v>
          </cell>
          <cell r="AK442">
            <v>0</v>
          </cell>
          <cell r="AL442">
            <v>0</v>
          </cell>
        </row>
        <row r="443">
          <cell r="F443">
            <v>0</v>
          </cell>
          <cell r="G443">
            <v>0</v>
          </cell>
          <cell r="P443">
            <v>0</v>
          </cell>
          <cell r="V443">
            <v>0</v>
          </cell>
          <cell r="W443">
            <v>0</v>
          </cell>
          <cell r="X443">
            <v>0</v>
          </cell>
          <cell r="Y443">
            <v>0</v>
          </cell>
          <cell r="AA443">
            <v>0</v>
          </cell>
          <cell r="AB443">
            <v>0</v>
          </cell>
          <cell r="AC443">
            <v>0</v>
          </cell>
          <cell r="AD443">
            <v>0</v>
          </cell>
          <cell r="AK443">
            <v>0</v>
          </cell>
          <cell r="AL443">
            <v>0</v>
          </cell>
        </row>
        <row r="444">
          <cell r="F444">
            <v>0</v>
          </cell>
          <cell r="G444">
            <v>0</v>
          </cell>
          <cell r="P444">
            <v>0</v>
          </cell>
          <cell r="V444">
            <v>0</v>
          </cell>
          <cell r="W444">
            <v>0</v>
          </cell>
          <cell r="X444">
            <v>0</v>
          </cell>
          <cell r="Y444">
            <v>0</v>
          </cell>
          <cell r="AA444">
            <v>0</v>
          </cell>
          <cell r="AB444">
            <v>0</v>
          </cell>
          <cell r="AC444">
            <v>0</v>
          </cell>
          <cell r="AD444">
            <v>0</v>
          </cell>
          <cell r="AK444">
            <v>0</v>
          </cell>
          <cell r="AL444">
            <v>0</v>
          </cell>
        </row>
        <row r="445">
          <cell r="F445">
            <v>0</v>
          </cell>
          <cell r="G445">
            <v>0</v>
          </cell>
          <cell r="P445">
            <v>0</v>
          </cell>
          <cell r="V445">
            <v>0</v>
          </cell>
          <cell r="W445">
            <v>0</v>
          </cell>
          <cell r="X445">
            <v>0</v>
          </cell>
          <cell r="Y445">
            <v>0</v>
          </cell>
          <cell r="AA445">
            <v>0</v>
          </cell>
          <cell r="AB445">
            <v>0</v>
          </cell>
          <cell r="AC445">
            <v>0</v>
          </cell>
          <cell r="AD445">
            <v>0</v>
          </cell>
          <cell r="AK445">
            <v>0</v>
          </cell>
          <cell r="AL445">
            <v>2</v>
          </cell>
        </row>
        <row r="446">
          <cell r="F446">
            <v>0</v>
          </cell>
          <cell r="G446">
            <v>0</v>
          </cell>
          <cell r="P446">
            <v>0</v>
          </cell>
          <cell r="V446">
            <v>0</v>
          </cell>
          <cell r="W446">
            <v>0</v>
          </cell>
          <cell r="X446">
            <v>0</v>
          </cell>
          <cell r="Y446">
            <v>0</v>
          </cell>
          <cell r="AA446">
            <v>0</v>
          </cell>
          <cell r="AB446">
            <v>0</v>
          </cell>
          <cell r="AC446">
            <v>0</v>
          </cell>
          <cell r="AD446">
            <v>0</v>
          </cell>
          <cell r="AK446">
            <v>0</v>
          </cell>
          <cell r="AL446">
            <v>0</v>
          </cell>
        </row>
        <row r="447">
          <cell r="G447">
            <v>0</v>
          </cell>
          <cell r="P447">
            <v>0</v>
          </cell>
          <cell r="X447">
            <v>0</v>
          </cell>
          <cell r="Y447">
            <v>0</v>
          </cell>
          <cell r="AC447">
            <v>0</v>
          </cell>
          <cell r="AD447">
            <v>0</v>
          </cell>
          <cell r="AK447">
            <v>0</v>
          </cell>
          <cell r="AL447">
            <v>2</v>
          </cell>
        </row>
        <row r="448">
          <cell r="P448">
            <v>0</v>
          </cell>
          <cell r="X448">
            <v>0</v>
          </cell>
          <cell r="Y448">
            <v>0</v>
          </cell>
          <cell r="AC448">
            <v>0</v>
          </cell>
          <cell r="AD448">
            <v>0</v>
          </cell>
          <cell r="AK448">
            <v>0</v>
          </cell>
          <cell r="AL448">
            <v>0</v>
          </cell>
        </row>
      </sheetData>
      <sheetData sheetId="13" refreshError="1">
        <row r="21">
          <cell r="AI21" t="str">
            <v xml:space="preserve">         Затверджую</v>
          </cell>
        </row>
        <row r="22">
          <cell r="AI22" t="str">
            <v xml:space="preserve"> Голова правління -</v>
          </cell>
        </row>
        <row r="23">
          <cell r="AI23" t="str">
            <v xml:space="preserve"> генеральний директор</v>
          </cell>
        </row>
        <row r="25">
          <cell r="F25">
            <v>2476</v>
          </cell>
          <cell r="G25">
            <v>968</v>
          </cell>
          <cell r="H25">
            <v>1508</v>
          </cell>
          <cell r="P25">
            <v>636.99999999999989</v>
          </cell>
          <cell r="Q25">
            <v>0</v>
          </cell>
          <cell r="R25">
            <v>0</v>
          </cell>
          <cell r="S25">
            <v>2544.666666666667</v>
          </cell>
          <cell r="T25">
            <v>1696.2666666666664</v>
          </cell>
          <cell r="U25">
            <v>848.40000000000009</v>
          </cell>
          <cell r="V25">
            <v>0</v>
          </cell>
          <cell r="W25">
            <v>0</v>
          </cell>
          <cell r="X25">
            <v>1280.3333333333333</v>
          </cell>
          <cell r="Y25">
            <v>837</v>
          </cell>
          <cell r="Z25">
            <v>443.33333333333331</v>
          </cell>
          <cell r="AA25">
            <v>0</v>
          </cell>
          <cell r="AB25">
            <v>0</v>
          </cell>
          <cell r="AC25">
            <v>549</v>
          </cell>
          <cell r="AD25">
            <v>326</v>
          </cell>
          <cell r="AE25">
            <v>222.99999999999997</v>
          </cell>
          <cell r="AF25">
            <v>1455</v>
          </cell>
          <cell r="AG25">
            <v>733</v>
          </cell>
          <cell r="AH25">
            <v>722</v>
          </cell>
          <cell r="AI25">
            <v>406.2</v>
          </cell>
          <cell r="AJ25">
            <v>0</v>
          </cell>
          <cell r="AK25">
            <v>8784</v>
          </cell>
          <cell r="AL25">
            <v>3007</v>
          </cell>
          <cell r="AM25">
            <v>5777</v>
          </cell>
          <cell r="AN25">
            <v>5777</v>
          </cell>
          <cell r="AO25">
            <v>1163</v>
          </cell>
          <cell r="AP25">
            <v>1531</v>
          </cell>
          <cell r="AQ25">
            <v>1843.9999999999998</v>
          </cell>
          <cell r="AR25">
            <v>4246</v>
          </cell>
        </row>
        <row r="26">
          <cell r="AI26" t="str">
            <v xml:space="preserve">   "_____" ________2000 р.</v>
          </cell>
        </row>
        <row r="30">
          <cell r="P30" t="str">
            <v>4мес</v>
          </cell>
          <cell r="S30" t="str">
            <v>4 мес</v>
          </cell>
          <cell r="X30" t="str">
            <v>4 мес</v>
          </cell>
          <cell r="AC30" t="str">
            <v>4 мес</v>
          </cell>
        </row>
        <row r="31">
          <cell r="P31">
            <v>9611</v>
          </cell>
          <cell r="S31">
            <v>29500</v>
          </cell>
          <cell r="X31">
            <v>9129</v>
          </cell>
          <cell r="AC31">
            <v>5177</v>
          </cell>
          <cell r="AF31">
            <v>15250</v>
          </cell>
        </row>
        <row r="32">
          <cell r="Q32" t="str">
            <v>КТМ</v>
          </cell>
          <cell r="V32" t="str">
            <v xml:space="preserve">ТЕЦ-5 </v>
          </cell>
          <cell r="AA32" t="str">
            <v xml:space="preserve">ТЕЦ-6 </v>
          </cell>
        </row>
        <row r="33">
          <cell r="P33">
            <v>12306</v>
          </cell>
          <cell r="S33">
            <v>52204</v>
          </cell>
          <cell r="X33">
            <v>13845</v>
          </cell>
          <cell r="AC33">
            <v>7693</v>
          </cell>
          <cell r="AF33">
            <v>19609</v>
          </cell>
        </row>
        <row r="34">
          <cell r="F34" t="str">
            <v>ВИКОН.ДИР.</v>
          </cell>
          <cell r="G34" t="str">
            <v>Е/Е</v>
          </cell>
          <cell r="H34" t="str">
            <v xml:space="preserve"> Т/Е</v>
          </cell>
          <cell r="P34" t="str">
            <v xml:space="preserve">КМ </v>
          </cell>
          <cell r="Q34" t="str">
            <v>КТМ</v>
          </cell>
          <cell r="S34" t="str">
            <v xml:space="preserve">ТМ </v>
          </cell>
          <cell r="T34" t="str">
            <v>ВИРОБН</v>
          </cell>
          <cell r="U34" t="str">
            <v>ПЕРЕД</v>
          </cell>
          <cell r="V34" t="str">
            <v xml:space="preserve">ТЕЦ-5 </v>
          </cell>
          <cell r="X34" t="str">
            <v>ТЕЦ-5 ВСЬОГО</v>
          </cell>
          <cell r="Y34" t="str">
            <v xml:space="preserve">ТЕЦ-6 </v>
          </cell>
          <cell r="Z34" t="str">
            <v xml:space="preserve"> Т/Е</v>
          </cell>
          <cell r="AA34" t="str">
            <v xml:space="preserve">ТЕЦ-6 </v>
          </cell>
          <cell r="AC34" t="str">
            <v>ТЕЦ-6 ВСЬОГО</v>
          </cell>
          <cell r="AD34" t="str">
            <v>Е/Е</v>
          </cell>
          <cell r="AE34" t="str">
            <v xml:space="preserve"> Т/Е</v>
          </cell>
          <cell r="AF34" t="str">
            <v>ТРМ ВСЬОГО</v>
          </cell>
          <cell r="AG34" t="str">
            <v>ТРМ  АК КЕ</v>
          </cell>
          <cell r="AH34" t="str">
            <v>ТРМ СТОР</v>
          </cell>
          <cell r="AI34" t="str">
            <v xml:space="preserve">ДОП.ВИР. </v>
          </cell>
          <cell r="AJ34" t="str">
            <v>ДОП.ВИР. СТ.ОРГ.</v>
          </cell>
          <cell r="AK34" t="str">
            <v>АК КЕ ВСЬОГО</v>
          </cell>
          <cell r="AL34" t="str">
            <v xml:space="preserve"> Е/Е</v>
          </cell>
          <cell r="AM34" t="str">
            <v xml:space="preserve"> Т/Е</v>
          </cell>
          <cell r="AO34" t="str">
            <v>СТАНЦІї ЕЛЕКТРО</v>
          </cell>
          <cell r="AP34" t="str">
            <v>СТАНЦІІ ТЕПЛОВІ</v>
          </cell>
          <cell r="AQ34" t="str">
            <v>МЕРЕЖІ ЕЛЕКТРО</v>
          </cell>
          <cell r="AR34" t="str">
            <v>МЕРЕЖІ ТЕПЛОВІ</v>
          </cell>
        </row>
        <row r="35">
          <cell r="AL35">
            <v>395</v>
          </cell>
        </row>
        <row r="36">
          <cell r="F36" t="str">
            <v>ВИКОН.ДИР.</v>
          </cell>
          <cell r="G36" t="str">
            <v>Е/Е</v>
          </cell>
          <cell r="H36" t="str">
            <v xml:space="preserve"> Т/Е</v>
          </cell>
          <cell r="P36" t="str">
            <v xml:space="preserve">КМ </v>
          </cell>
          <cell r="S36" t="str">
            <v xml:space="preserve">ТМ </v>
          </cell>
          <cell r="T36" t="str">
            <v>ВИРОБН</v>
          </cell>
          <cell r="U36" t="str">
            <v>ПЕРЕД</v>
          </cell>
          <cell r="V36" t="str">
            <v>ТЕЦ-5 ВСЬОГО</v>
          </cell>
          <cell r="W36" t="str">
            <v>Е/Е</v>
          </cell>
          <cell r="X36" t="str">
            <v xml:space="preserve"> Т/Е</v>
          </cell>
          <cell r="Y36" t="str">
            <v>Е/Е</v>
          </cell>
          <cell r="Z36" t="str">
            <v xml:space="preserve"> Т/Е</v>
          </cell>
          <cell r="AA36" t="str">
            <v>ТЕЦ-6 ВСЬОГО</v>
          </cell>
          <cell r="AB36" t="str">
            <v>Е/Е</v>
          </cell>
          <cell r="AC36" t="str">
            <v xml:space="preserve"> Т/Е</v>
          </cell>
          <cell r="AD36" t="str">
            <v>Е/Е</v>
          </cell>
          <cell r="AE36" t="str">
            <v xml:space="preserve"> Т/Е</v>
          </cell>
          <cell r="AF36" t="str">
            <v>ТРМ ВСЬОГО</v>
          </cell>
          <cell r="AG36" t="str">
            <v>ТРМ  АК КЕ</v>
          </cell>
          <cell r="AH36" t="str">
            <v>ТРМ СТОР</v>
          </cell>
          <cell r="AK36" t="str">
            <v>АК КЕ ВСЬОГО</v>
          </cell>
          <cell r="AL36" t="str">
            <v xml:space="preserve"> Е/Е</v>
          </cell>
          <cell r="AM36" t="str">
            <v xml:space="preserve"> Т/Е</v>
          </cell>
          <cell r="AO36" t="str">
            <v>СТАНЦІї ЕЛЕКТРО</v>
          </cell>
          <cell r="AP36" t="str">
            <v>СТАНЦІІ ТЕПЛОВІ</v>
          </cell>
          <cell r="AQ36" t="str">
            <v>МЕРЕЖІ ЕЛЕКТРО</v>
          </cell>
          <cell r="AR36" t="str">
            <v>МЕРЕЖІ ТЕПЛОВІ</v>
          </cell>
        </row>
        <row r="37">
          <cell r="AL37">
            <v>395</v>
          </cell>
        </row>
        <row r="38">
          <cell r="AL38">
            <v>336</v>
          </cell>
        </row>
        <row r="39">
          <cell r="AL39">
            <v>0</v>
          </cell>
        </row>
        <row r="40">
          <cell r="AL40">
            <v>0</v>
          </cell>
        </row>
        <row r="41">
          <cell r="AL41">
            <v>0</v>
          </cell>
        </row>
        <row r="42">
          <cell r="P42">
            <v>0</v>
          </cell>
          <cell r="AL42">
            <v>0</v>
          </cell>
        </row>
        <row r="43">
          <cell r="AL43">
            <v>395.6</v>
          </cell>
          <cell r="AM43">
            <v>1580</v>
          </cell>
        </row>
        <row r="44">
          <cell r="P44">
            <v>0</v>
          </cell>
          <cell r="AL44">
            <v>395.6</v>
          </cell>
          <cell r="AM44">
            <v>0</v>
          </cell>
        </row>
        <row r="45">
          <cell r="AM45">
            <v>1580</v>
          </cell>
        </row>
        <row r="46">
          <cell r="F46">
            <v>9995.1</v>
          </cell>
          <cell r="P46">
            <v>2694.62</v>
          </cell>
          <cell r="S46">
            <v>7710.7648484848487</v>
          </cell>
          <cell r="T46">
            <v>2690.8247757575755</v>
          </cell>
          <cell r="U46">
            <v>2611.9400727272728</v>
          </cell>
          <cell r="X46">
            <v>4714.5030303030289</v>
          </cell>
          <cell r="AC46">
            <v>2516.6951515151522</v>
          </cell>
          <cell r="AF46">
            <v>4357.5593939393939</v>
          </cell>
          <cell r="AG46">
            <v>3406</v>
          </cell>
          <cell r="AH46">
            <v>952.89272727272737</v>
          </cell>
          <cell r="AM46">
            <v>0</v>
          </cell>
        </row>
        <row r="47">
          <cell r="F47">
            <v>0.8</v>
          </cell>
          <cell r="AM47">
            <v>1580</v>
          </cell>
        </row>
        <row r="48">
          <cell r="F48">
            <v>14901</v>
          </cell>
          <cell r="P48">
            <v>3080.62</v>
          </cell>
          <cell r="S48">
            <v>8423.52</v>
          </cell>
          <cell r="T48">
            <v>2620.8347999999996</v>
          </cell>
          <cell r="U48">
            <v>2617.6851999999999</v>
          </cell>
          <cell r="V48">
            <v>2576.1318181818187</v>
          </cell>
          <cell r="X48">
            <v>1941.8530303030293</v>
          </cell>
          <cell r="AA48">
            <v>2709.5690909090908</v>
          </cell>
          <cell r="AC48">
            <v>1753.5509090909086</v>
          </cell>
          <cell r="AF48">
            <v>4466.8781818181815</v>
          </cell>
          <cell r="AG48">
            <v>3618.3</v>
          </cell>
          <cell r="AH48">
            <v>848.57818181818175</v>
          </cell>
        </row>
        <row r="49">
          <cell r="F49">
            <v>0.85</v>
          </cell>
          <cell r="G49">
            <v>297</v>
          </cell>
          <cell r="H49">
            <v>462</v>
          </cell>
          <cell r="P49">
            <v>0.85</v>
          </cell>
          <cell r="S49">
            <v>0.85</v>
          </cell>
          <cell r="T49">
            <v>442.5</v>
          </cell>
          <cell r="U49">
            <v>442.5</v>
          </cell>
          <cell r="X49">
            <v>0.85</v>
          </cell>
          <cell r="Y49">
            <v>133</v>
          </cell>
          <cell r="Z49">
            <v>71</v>
          </cell>
          <cell r="AC49">
            <v>0.85</v>
          </cell>
          <cell r="AD49">
            <v>225</v>
          </cell>
          <cell r="AE49">
            <v>154.33333333333331</v>
          </cell>
          <cell r="AF49">
            <v>0.85</v>
          </cell>
          <cell r="AG49">
            <v>0.85</v>
          </cell>
          <cell r="AH49">
            <v>0.85</v>
          </cell>
          <cell r="AI49">
            <v>70</v>
          </cell>
          <cell r="AK49">
            <v>3035.3333333333335</v>
          </cell>
          <cell r="AL49">
            <v>1155</v>
          </cell>
          <cell r="AM49">
            <v>1880.3333333333335</v>
          </cell>
          <cell r="AN49">
            <v>1880.3333333333333</v>
          </cell>
          <cell r="AO49">
            <v>358</v>
          </cell>
          <cell r="AP49">
            <v>526</v>
          </cell>
          <cell r="AQ49">
            <v>797</v>
          </cell>
          <cell r="AR49">
            <v>1354.3333333333335</v>
          </cell>
        </row>
        <row r="50">
          <cell r="F50">
            <v>294</v>
          </cell>
          <cell r="G50">
            <v>115</v>
          </cell>
          <cell r="H50">
            <v>179</v>
          </cell>
          <cell r="P50">
            <v>450</v>
          </cell>
          <cell r="S50">
            <v>750</v>
          </cell>
          <cell r="X50">
            <v>102</v>
          </cell>
          <cell r="Y50">
            <v>67</v>
          </cell>
          <cell r="Z50">
            <v>35</v>
          </cell>
          <cell r="AC50">
            <v>97</v>
          </cell>
          <cell r="AD50">
            <v>58</v>
          </cell>
          <cell r="AE50">
            <v>39</v>
          </cell>
          <cell r="AF50">
            <v>447</v>
          </cell>
          <cell r="AG50">
            <v>415</v>
          </cell>
          <cell r="AH50">
            <v>32</v>
          </cell>
          <cell r="AK50">
            <v>2142</v>
          </cell>
          <cell r="AL50">
            <v>721</v>
          </cell>
          <cell r="AM50">
            <v>1421</v>
          </cell>
          <cell r="AN50">
            <v>1421</v>
          </cell>
        </row>
        <row r="51">
          <cell r="F51">
            <v>702</v>
          </cell>
          <cell r="G51">
            <v>336</v>
          </cell>
          <cell r="H51">
            <v>366</v>
          </cell>
          <cell r="P51">
            <v>320</v>
          </cell>
          <cell r="S51">
            <v>913</v>
          </cell>
          <cell r="T51">
            <v>456.5</v>
          </cell>
          <cell r="U51">
            <v>456.5</v>
          </cell>
          <cell r="V51">
            <v>187</v>
          </cell>
          <cell r="W51">
            <v>152</v>
          </cell>
          <cell r="X51">
            <v>35</v>
          </cell>
          <cell r="Y51">
            <v>136</v>
          </cell>
          <cell r="Z51">
            <v>48</v>
          </cell>
          <cell r="AA51">
            <v>48</v>
          </cell>
          <cell r="AB51">
            <v>38</v>
          </cell>
          <cell r="AC51">
            <v>10</v>
          </cell>
          <cell r="AD51">
            <v>-123</v>
          </cell>
          <cell r="AE51">
            <v>-77</v>
          </cell>
          <cell r="AF51">
            <v>483</v>
          </cell>
          <cell r="AG51">
            <v>400</v>
          </cell>
          <cell r="AH51">
            <v>83</v>
          </cell>
          <cell r="AK51">
            <v>2749</v>
          </cell>
          <cell r="AL51">
            <v>887</v>
          </cell>
          <cell r="AM51">
            <v>1862</v>
          </cell>
          <cell r="AN51">
            <v>1862</v>
          </cell>
          <cell r="AO51">
            <v>190</v>
          </cell>
          <cell r="AP51">
            <v>355</v>
          </cell>
          <cell r="AQ51">
            <v>697</v>
          </cell>
          <cell r="AR51">
            <v>1507</v>
          </cell>
        </row>
        <row r="52">
          <cell r="F52">
            <v>138</v>
          </cell>
          <cell r="G52">
            <v>66</v>
          </cell>
          <cell r="H52">
            <v>72</v>
          </cell>
          <cell r="P52">
            <v>300</v>
          </cell>
          <cell r="S52">
            <v>636</v>
          </cell>
          <cell r="V52">
            <v>132</v>
          </cell>
          <cell r="W52">
            <v>107</v>
          </cell>
          <cell r="X52">
            <v>25</v>
          </cell>
          <cell r="Y52">
            <v>85</v>
          </cell>
          <cell r="Z52">
            <v>30</v>
          </cell>
          <cell r="AA52">
            <v>100</v>
          </cell>
          <cell r="AB52">
            <v>79</v>
          </cell>
          <cell r="AC52">
            <v>21</v>
          </cell>
          <cell r="AD52">
            <v>68</v>
          </cell>
          <cell r="AE52">
            <v>42</v>
          </cell>
          <cell r="AF52">
            <v>343</v>
          </cell>
          <cell r="AG52">
            <v>300</v>
          </cell>
          <cell r="AH52">
            <v>43</v>
          </cell>
          <cell r="AK52">
            <v>1660</v>
          </cell>
          <cell r="AL52">
            <v>576</v>
          </cell>
          <cell r="AM52">
            <v>1084</v>
          </cell>
          <cell r="AN52">
            <v>1084</v>
          </cell>
        </row>
        <row r="53">
          <cell r="F53">
            <v>20</v>
          </cell>
          <cell r="G53">
            <v>0</v>
          </cell>
          <cell r="H53">
            <v>12</v>
          </cell>
          <cell r="P53">
            <v>0</v>
          </cell>
          <cell r="S53">
            <v>368.66666666666669</v>
          </cell>
          <cell r="T53">
            <v>287.56</v>
          </cell>
          <cell r="U53">
            <v>81.106666666666683</v>
          </cell>
          <cell r="V53">
            <v>0</v>
          </cell>
          <cell r="W53">
            <v>0</v>
          </cell>
          <cell r="X53">
            <v>0</v>
          </cell>
          <cell r="Y53">
            <v>0</v>
          </cell>
          <cell r="Z53">
            <v>0</v>
          </cell>
          <cell r="AA53">
            <v>-300</v>
          </cell>
          <cell r="AB53">
            <v>-238</v>
          </cell>
          <cell r="AC53">
            <v>-62</v>
          </cell>
          <cell r="AD53">
            <v>0</v>
          </cell>
          <cell r="AE53">
            <v>0</v>
          </cell>
          <cell r="AF53">
            <v>189.33333333333334</v>
          </cell>
          <cell r="AG53">
            <v>110</v>
          </cell>
          <cell r="AH53">
            <v>0</v>
          </cell>
          <cell r="AI53">
            <v>36</v>
          </cell>
          <cell r="AK53">
            <v>-300</v>
          </cell>
          <cell r="AL53">
            <v>-238</v>
          </cell>
          <cell r="AM53">
            <v>-62</v>
          </cell>
          <cell r="AN53">
            <v>-62</v>
          </cell>
          <cell r="AO53">
            <v>690</v>
          </cell>
          <cell r="AP53">
            <v>498</v>
          </cell>
          <cell r="AQ53">
            <v>61.666666666666629</v>
          </cell>
          <cell r="AR53">
            <v>365.66666666666663</v>
          </cell>
        </row>
        <row r="54">
          <cell r="F54">
            <v>562</v>
          </cell>
          <cell r="G54">
            <v>269</v>
          </cell>
          <cell r="H54">
            <v>293</v>
          </cell>
          <cell r="P54">
            <v>7</v>
          </cell>
          <cell r="S54">
            <v>65</v>
          </cell>
          <cell r="T54">
            <v>13.666666666666666</v>
          </cell>
          <cell r="U54">
            <v>0</v>
          </cell>
          <cell r="V54">
            <v>44</v>
          </cell>
          <cell r="W54">
            <v>36</v>
          </cell>
          <cell r="X54">
            <v>8</v>
          </cell>
          <cell r="Y54">
            <v>42</v>
          </cell>
          <cell r="Z54">
            <v>15</v>
          </cell>
          <cell r="AA54">
            <v>47</v>
          </cell>
          <cell r="AB54">
            <v>37</v>
          </cell>
          <cell r="AC54">
            <v>10</v>
          </cell>
          <cell r="AD54">
            <v>38</v>
          </cell>
          <cell r="AE54">
            <v>24</v>
          </cell>
          <cell r="AF54">
            <v>25</v>
          </cell>
          <cell r="AG54">
            <v>30</v>
          </cell>
          <cell r="AH54">
            <v>2</v>
          </cell>
          <cell r="AK54">
            <v>864</v>
          </cell>
          <cell r="AL54">
            <v>374</v>
          </cell>
          <cell r="AM54">
            <v>490</v>
          </cell>
          <cell r="AN54">
            <v>490</v>
          </cell>
          <cell r="AO54">
            <v>503</v>
          </cell>
          <cell r="AP54">
            <v>272</v>
          </cell>
          <cell r="AQ54">
            <v>0</v>
          </cell>
          <cell r="AR54">
            <v>9</v>
          </cell>
        </row>
        <row r="55">
          <cell r="F55">
            <v>2</v>
          </cell>
          <cell r="G55">
            <v>1</v>
          </cell>
          <cell r="H55">
            <v>1</v>
          </cell>
          <cell r="P55">
            <v>42</v>
          </cell>
          <cell r="S55">
            <v>329</v>
          </cell>
          <cell r="T55">
            <v>256.62</v>
          </cell>
          <cell r="U55">
            <v>72.38</v>
          </cell>
          <cell r="V55">
            <v>995</v>
          </cell>
          <cell r="W55">
            <v>807</v>
          </cell>
          <cell r="X55">
            <v>188</v>
          </cell>
          <cell r="Y55">
            <v>311</v>
          </cell>
          <cell r="Z55">
            <v>110</v>
          </cell>
          <cell r="AA55">
            <v>84</v>
          </cell>
          <cell r="AB55">
            <v>67</v>
          </cell>
          <cell r="AC55">
            <v>17</v>
          </cell>
          <cell r="AD55">
            <v>52</v>
          </cell>
          <cell r="AE55">
            <v>32</v>
          </cell>
          <cell r="AF55">
            <v>196</v>
          </cell>
          <cell r="AG55">
            <v>135</v>
          </cell>
          <cell r="AH55">
            <v>61</v>
          </cell>
          <cell r="AK55">
            <v>1587</v>
          </cell>
          <cell r="AL55">
            <v>917</v>
          </cell>
          <cell r="AM55">
            <v>670</v>
          </cell>
          <cell r="AN55">
            <v>670</v>
          </cell>
          <cell r="AO55">
            <v>874</v>
          </cell>
          <cell r="AP55">
            <v>317</v>
          </cell>
          <cell r="AQ55">
            <v>43</v>
          </cell>
          <cell r="AR55">
            <v>353</v>
          </cell>
        </row>
        <row r="56">
          <cell r="F56">
            <v>0</v>
          </cell>
          <cell r="G56">
            <v>0</v>
          </cell>
          <cell r="H56">
            <v>0</v>
          </cell>
          <cell r="P56">
            <v>0</v>
          </cell>
          <cell r="S56">
            <v>10</v>
          </cell>
          <cell r="T56">
            <v>10</v>
          </cell>
          <cell r="U56">
            <v>0</v>
          </cell>
          <cell r="V56">
            <v>910</v>
          </cell>
          <cell r="W56">
            <v>738</v>
          </cell>
          <cell r="X56">
            <v>172</v>
          </cell>
          <cell r="Y56">
            <v>248</v>
          </cell>
          <cell r="Z56">
            <v>88</v>
          </cell>
          <cell r="AA56">
            <v>13.333333333333334</v>
          </cell>
          <cell r="AB56">
            <v>11</v>
          </cell>
          <cell r="AC56">
            <v>2.3333333333333339</v>
          </cell>
          <cell r="AD56">
            <v>8</v>
          </cell>
          <cell r="AE56">
            <v>5.3333333333333339</v>
          </cell>
          <cell r="AF56">
            <v>2</v>
          </cell>
          <cell r="AG56">
            <v>2</v>
          </cell>
          <cell r="AH56">
            <v>0</v>
          </cell>
          <cell r="AI56">
            <v>0</v>
          </cell>
          <cell r="AK56">
            <v>935.33333333333337</v>
          </cell>
          <cell r="AL56">
            <v>749</v>
          </cell>
          <cell r="AM56">
            <v>186.33333333333337</v>
          </cell>
          <cell r="AN56">
            <v>186.33333333333334</v>
          </cell>
          <cell r="AO56">
            <v>749</v>
          </cell>
          <cell r="AP56">
            <v>178</v>
          </cell>
          <cell r="AQ56">
            <v>0</v>
          </cell>
          <cell r="AR56">
            <v>8.3333333333333712</v>
          </cell>
        </row>
        <row r="57">
          <cell r="F57">
            <v>0</v>
          </cell>
          <cell r="G57">
            <v>0</v>
          </cell>
          <cell r="H57">
            <v>0</v>
          </cell>
          <cell r="S57">
            <v>2175</v>
          </cell>
          <cell r="T57">
            <v>2175</v>
          </cell>
          <cell r="U57">
            <v>0</v>
          </cell>
          <cell r="V57">
            <v>11300</v>
          </cell>
          <cell r="W57">
            <v>9168</v>
          </cell>
          <cell r="X57">
            <v>2132</v>
          </cell>
          <cell r="Y57">
            <v>9289</v>
          </cell>
          <cell r="Z57">
            <v>3281</v>
          </cell>
          <cell r="AA57">
            <v>10588</v>
          </cell>
          <cell r="AB57">
            <v>8403</v>
          </cell>
          <cell r="AC57">
            <v>2185</v>
          </cell>
          <cell r="AD57">
            <v>6867</v>
          </cell>
          <cell r="AE57">
            <v>4298</v>
          </cell>
          <cell r="AF57">
            <v>0</v>
          </cell>
          <cell r="AH57">
            <v>0</v>
          </cell>
          <cell r="AK57">
            <v>24063</v>
          </cell>
          <cell r="AL57">
            <v>17571</v>
          </cell>
          <cell r="AM57">
            <v>6492</v>
          </cell>
          <cell r="AN57">
            <v>6492</v>
          </cell>
          <cell r="AO57">
            <v>17571</v>
          </cell>
          <cell r="AP57">
            <v>6492</v>
          </cell>
          <cell r="AQ57">
            <v>0</v>
          </cell>
          <cell r="AR57">
            <v>0</v>
          </cell>
        </row>
        <row r="58">
          <cell r="F58">
            <v>0</v>
          </cell>
          <cell r="G58">
            <v>0</v>
          </cell>
          <cell r="H58">
            <v>0</v>
          </cell>
          <cell r="P58">
            <v>0</v>
          </cell>
          <cell r="S58">
            <v>2175</v>
          </cell>
          <cell r="T58">
            <v>2175</v>
          </cell>
          <cell r="U58">
            <v>0</v>
          </cell>
          <cell r="V58">
            <v>11300</v>
          </cell>
          <cell r="W58">
            <v>9168</v>
          </cell>
          <cell r="X58">
            <v>2132</v>
          </cell>
          <cell r="Y58">
            <v>9289</v>
          </cell>
          <cell r="Z58">
            <v>3281</v>
          </cell>
          <cell r="AA58">
            <v>10588</v>
          </cell>
          <cell r="AB58">
            <v>8403</v>
          </cell>
          <cell r="AC58">
            <v>2185</v>
          </cell>
          <cell r="AD58">
            <v>6867</v>
          </cell>
          <cell r="AE58">
            <v>4298</v>
          </cell>
          <cell r="AF58">
            <v>0</v>
          </cell>
          <cell r="AG58">
            <v>0</v>
          </cell>
          <cell r="AH58">
            <v>0</v>
          </cell>
          <cell r="AI58">
            <v>241</v>
          </cell>
          <cell r="AK58">
            <v>24063</v>
          </cell>
          <cell r="AL58">
            <v>17571</v>
          </cell>
          <cell r="AM58">
            <v>6492</v>
          </cell>
          <cell r="AN58">
            <v>6492</v>
          </cell>
          <cell r="AO58">
            <v>17571</v>
          </cell>
          <cell r="AP58">
            <v>6492</v>
          </cell>
          <cell r="AQ58">
            <v>0</v>
          </cell>
          <cell r="AR58">
            <v>0</v>
          </cell>
        </row>
        <row r="59">
          <cell r="F59">
            <v>0</v>
          </cell>
          <cell r="G59">
            <v>0</v>
          </cell>
          <cell r="H59">
            <v>0</v>
          </cell>
          <cell r="P59">
            <v>539.62000000000012</v>
          </cell>
          <cell r="S59">
            <v>924.09818181818162</v>
          </cell>
          <cell r="T59">
            <v>0</v>
          </cell>
          <cell r="U59">
            <v>0</v>
          </cell>
          <cell r="X59">
            <v>315.83636363636361</v>
          </cell>
          <cell r="Y59">
            <v>207</v>
          </cell>
          <cell r="Z59">
            <v>108.83636363636361</v>
          </cell>
          <cell r="AC59">
            <v>277.36181818181819</v>
          </cell>
          <cell r="AD59">
            <v>0</v>
          </cell>
          <cell r="AE59">
            <v>0</v>
          </cell>
          <cell r="AF59">
            <v>0</v>
          </cell>
          <cell r="AG59">
            <v>844</v>
          </cell>
          <cell r="AH59">
            <v>0</v>
          </cell>
          <cell r="AI59">
            <v>274</v>
          </cell>
          <cell r="AK59">
            <v>0</v>
          </cell>
          <cell r="AL59">
            <v>0</v>
          </cell>
          <cell r="AM59">
            <v>0</v>
          </cell>
          <cell r="AN59">
            <v>0</v>
          </cell>
          <cell r="AO59">
            <v>371</v>
          </cell>
          <cell r="AP59">
            <v>0</v>
          </cell>
          <cell r="AQ59">
            <v>850.62000000000012</v>
          </cell>
          <cell r="AR59">
            <v>1759.3963636363642</v>
          </cell>
        </row>
        <row r="60">
          <cell r="F60">
            <v>6</v>
          </cell>
          <cell r="G60">
            <v>3</v>
          </cell>
          <cell r="H60">
            <v>3</v>
          </cell>
          <cell r="P60">
            <v>15</v>
          </cell>
          <cell r="S60">
            <v>506</v>
          </cell>
          <cell r="T60">
            <v>506</v>
          </cell>
          <cell r="U60">
            <v>0</v>
          </cell>
          <cell r="V60">
            <v>0</v>
          </cell>
          <cell r="W60">
            <v>0</v>
          </cell>
          <cell r="X60">
            <v>0</v>
          </cell>
          <cell r="Y60">
            <v>0</v>
          </cell>
          <cell r="Z60">
            <v>0</v>
          </cell>
          <cell r="AA60">
            <v>0</v>
          </cell>
          <cell r="AB60">
            <v>0</v>
          </cell>
          <cell r="AC60">
            <v>0</v>
          </cell>
          <cell r="AD60">
            <v>0</v>
          </cell>
          <cell r="AE60">
            <v>0</v>
          </cell>
          <cell r="AF60">
            <v>670</v>
          </cell>
          <cell r="AG60">
            <v>253</v>
          </cell>
          <cell r="AH60">
            <v>417</v>
          </cell>
          <cell r="AI60">
            <v>15</v>
          </cell>
          <cell r="AK60">
            <v>780</v>
          </cell>
          <cell r="AL60">
            <v>18</v>
          </cell>
          <cell r="AM60">
            <v>762</v>
          </cell>
          <cell r="AN60">
            <v>762</v>
          </cell>
          <cell r="AO60">
            <v>0</v>
          </cell>
          <cell r="AP60">
            <v>172</v>
          </cell>
          <cell r="AQ60">
            <v>18</v>
          </cell>
          <cell r="AR60">
            <v>590</v>
          </cell>
        </row>
        <row r="61">
          <cell r="F61">
            <v>310</v>
          </cell>
          <cell r="G61">
            <v>148</v>
          </cell>
          <cell r="H61">
            <v>162</v>
          </cell>
          <cell r="P61">
            <v>604.62</v>
          </cell>
          <cell r="S61">
            <v>1050.52</v>
          </cell>
          <cell r="T61">
            <v>514.75479999999993</v>
          </cell>
          <cell r="U61">
            <v>535.76520000000005</v>
          </cell>
          <cell r="V61">
            <v>191.13181818181818</v>
          </cell>
          <cell r="W61">
            <v>155</v>
          </cell>
          <cell r="X61">
            <v>36.131818181818176</v>
          </cell>
          <cell r="Y61">
            <v>199</v>
          </cell>
          <cell r="Z61">
            <v>70.386363636363626</v>
          </cell>
          <cell r="AA61">
            <v>277.5690909090909</v>
          </cell>
          <cell r="AB61">
            <v>220</v>
          </cell>
          <cell r="AC61">
            <v>57.569090909090903</v>
          </cell>
          <cell r="AD61">
            <v>159</v>
          </cell>
          <cell r="AE61">
            <v>98.850909090909113</v>
          </cell>
          <cell r="AF61">
            <v>1135.8781818181817</v>
          </cell>
          <cell r="AG61">
            <v>969.3</v>
          </cell>
          <cell r="AH61">
            <v>166.57818181818175</v>
          </cell>
          <cell r="AI61">
            <v>88</v>
          </cell>
          <cell r="AK61">
            <v>3759.1409090909092</v>
          </cell>
          <cell r="AL61">
            <v>1360.62</v>
          </cell>
          <cell r="AM61">
            <v>2398.5209090909093</v>
          </cell>
          <cell r="AN61">
            <v>2398.5209090909093</v>
          </cell>
          <cell r="AO61">
            <v>375</v>
          </cell>
          <cell r="AP61">
            <v>451</v>
          </cell>
          <cell r="AQ61">
            <v>985.61999999999989</v>
          </cell>
          <cell r="AR61">
            <v>1947.5209090909093</v>
          </cell>
        </row>
        <row r="62">
          <cell r="F62">
            <v>17</v>
          </cell>
          <cell r="G62">
            <v>8</v>
          </cell>
          <cell r="H62">
            <v>9</v>
          </cell>
          <cell r="P62">
            <v>33</v>
          </cell>
          <cell r="S62">
            <v>58</v>
          </cell>
          <cell r="T62">
            <v>28</v>
          </cell>
          <cell r="U62">
            <v>29</v>
          </cell>
          <cell r="V62">
            <v>11</v>
          </cell>
          <cell r="W62">
            <v>9</v>
          </cell>
          <cell r="X62">
            <v>2</v>
          </cell>
          <cell r="Y62">
            <v>11</v>
          </cell>
          <cell r="Z62">
            <v>4</v>
          </cell>
          <cell r="AA62">
            <v>15</v>
          </cell>
          <cell r="AB62">
            <v>12</v>
          </cell>
          <cell r="AC62">
            <v>3</v>
          </cell>
          <cell r="AD62">
            <v>9</v>
          </cell>
          <cell r="AE62">
            <v>5</v>
          </cell>
          <cell r="AF62">
            <v>62</v>
          </cell>
          <cell r="AG62">
            <v>53</v>
          </cell>
          <cell r="AH62">
            <v>9</v>
          </cell>
          <cell r="AK62">
            <v>207</v>
          </cell>
          <cell r="AL62">
            <v>75</v>
          </cell>
          <cell r="AM62">
            <v>132</v>
          </cell>
          <cell r="AN62">
            <v>132</v>
          </cell>
          <cell r="AO62">
            <v>21</v>
          </cell>
          <cell r="AP62">
            <v>16</v>
          </cell>
          <cell r="AQ62">
            <v>54</v>
          </cell>
          <cell r="AR62">
            <v>116</v>
          </cell>
        </row>
        <row r="63">
          <cell r="F63">
            <v>99</v>
          </cell>
          <cell r="G63">
            <v>47</v>
          </cell>
          <cell r="H63">
            <v>52</v>
          </cell>
          <cell r="P63">
            <v>193</v>
          </cell>
          <cell r="S63">
            <v>337</v>
          </cell>
          <cell r="T63">
            <v>165</v>
          </cell>
          <cell r="U63">
            <v>171</v>
          </cell>
          <cell r="V63">
            <v>61</v>
          </cell>
          <cell r="W63">
            <v>49</v>
          </cell>
          <cell r="X63">
            <v>12</v>
          </cell>
          <cell r="Y63">
            <v>64</v>
          </cell>
          <cell r="Z63">
            <v>22</v>
          </cell>
          <cell r="AA63">
            <v>89</v>
          </cell>
          <cell r="AB63">
            <v>71</v>
          </cell>
          <cell r="AC63">
            <v>18</v>
          </cell>
          <cell r="AD63">
            <v>51</v>
          </cell>
          <cell r="AE63">
            <v>32</v>
          </cell>
          <cell r="AF63">
            <v>363</v>
          </cell>
          <cell r="AG63">
            <v>310</v>
          </cell>
          <cell r="AH63">
            <v>53</v>
          </cell>
          <cell r="AK63">
            <v>1203</v>
          </cell>
          <cell r="AL63">
            <v>435</v>
          </cell>
          <cell r="AM63">
            <v>768</v>
          </cell>
          <cell r="AN63">
            <v>768</v>
          </cell>
          <cell r="AO63">
            <v>0</v>
          </cell>
          <cell r="AP63">
            <v>0</v>
          </cell>
          <cell r="AQ63">
            <v>0</v>
          </cell>
          <cell r="AR63">
            <v>0</v>
          </cell>
        </row>
        <row r="64">
          <cell r="F64">
            <v>0</v>
          </cell>
          <cell r="G64">
            <v>0</v>
          </cell>
          <cell r="P64">
            <v>0</v>
          </cell>
          <cell r="T64">
            <v>18</v>
          </cell>
          <cell r="U64">
            <v>95</v>
          </cell>
          <cell r="V64">
            <v>0</v>
          </cell>
          <cell r="X64">
            <v>0</v>
          </cell>
          <cell r="AD64">
            <v>0</v>
          </cell>
          <cell r="AE64">
            <v>0</v>
          </cell>
          <cell r="AH64">
            <v>0</v>
          </cell>
          <cell r="AI64">
            <v>0</v>
          </cell>
          <cell r="AJ64">
            <v>0</v>
          </cell>
          <cell r="AK64">
            <v>0</v>
          </cell>
          <cell r="AN64">
            <v>0</v>
          </cell>
          <cell r="AO64">
            <v>79</v>
          </cell>
          <cell r="AP64">
            <v>87</v>
          </cell>
          <cell r="AQ64">
            <v>61</v>
          </cell>
          <cell r="AR64">
            <v>132</v>
          </cell>
        </row>
        <row r="65">
          <cell r="F65">
            <v>79</v>
          </cell>
          <cell r="G65">
            <v>38</v>
          </cell>
          <cell r="H65">
            <v>41</v>
          </cell>
          <cell r="P65">
            <v>464</v>
          </cell>
          <cell r="S65">
            <v>1018</v>
          </cell>
          <cell r="T65">
            <v>162.88</v>
          </cell>
          <cell r="U65">
            <v>855.12</v>
          </cell>
          <cell r="V65">
            <v>551</v>
          </cell>
          <cell r="W65">
            <v>447</v>
          </cell>
          <cell r="X65">
            <v>104</v>
          </cell>
          <cell r="Y65">
            <v>407</v>
          </cell>
          <cell r="Z65">
            <v>144</v>
          </cell>
          <cell r="AA65">
            <v>573</v>
          </cell>
          <cell r="AB65">
            <v>455</v>
          </cell>
          <cell r="AC65">
            <v>118</v>
          </cell>
          <cell r="AD65">
            <v>359</v>
          </cell>
          <cell r="AE65">
            <v>224.66666666666663</v>
          </cell>
          <cell r="AF65">
            <v>526</v>
          </cell>
          <cell r="AG65">
            <v>526</v>
          </cell>
          <cell r="AH65">
            <v>0</v>
          </cell>
          <cell r="AK65">
            <v>3211</v>
          </cell>
          <cell r="AL65">
            <v>1404</v>
          </cell>
          <cell r="AM65">
            <v>1807</v>
          </cell>
          <cell r="AN65">
            <v>1807</v>
          </cell>
          <cell r="AO65">
            <v>902</v>
          </cell>
          <cell r="AP65">
            <v>568</v>
          </cell>
          <cell r="AQ65">
            <v>502</v>
          </cell>
          <cell r="AR65">
            <v>1239</v>
          </cell>
        </row>
        <row r="66">
          <cell r="F66">
            <v>0</v>
          </cell>
          <cell r="G66">
            <v>0</v>
          </cell>
          <cell r="P66">
            <v>0</v>
          </cell>
          <cell r="S66">
            <v>0</v>
          </cell>
          <cell r="T66">
            <v>16</v>
          </cell>
          <cell r="U66">
            <v>86</v>
          </cell>
          <cell r="X66">
            <v>0</v>
          </cell>
          <cell r="AC66">
            <v>0</v>
          </cell>
          <cell r="AD66">
            <v>0</v>
          </cell>
          <cell r="AE66">
            <v>0</v>
          </cell>
          <cell r="AH66">
            <v>0</v>
          </cell>
          <cell r="AK66">
            <v>0</v>
          </cell>
          <cell r="AL66">
            <v>0</v>
          </cell>
          <cell r="AM66">
            <v>0</v>
          </cell>
          <cell r="AN66">
            <v>0</v>
          </cell>
          <cell r="AO66">
            <v>90</v>
          </cell>
          <cell r="AP66">
            <v>57</v>
          </cell>
          <cell r="AQ66">
            <v>50</v>
          </cell>
          <cell r="AR66">
            <v>124</v>
          </cell>
        </row>
        <row r="67">
          <cell r="F67">
            <v>84</v>
          </cell>
          <cell r="G67">
            <v>40</v>
          </cell>
          <cell r="H67">
            <v>44</v>
          </cell>
          <cell r="P67">
            <v>464</v>
          </cell>
          <cell r="S67">
            <v>1018</v>
          </cell>
          <cell r="T67">
            <v>162.16</v>
          </cell>
          <cell r="U67">
            <v>850.84</v>
          </cell>
          <cell r="V67">
            <v>80</v>
          </cell>
          <cell r="X67">
            <v>85</v>
          </cell>
          <cell r="Y67">
            <v>368</v>
          </cell>
          <cell r="Z67">
            <v>195</v>
          </cell>
          <cell r="AA67">
            <v>300</v>
          </cell>
          <cell r="AC67">
            <v>60</v>
          </cell>
          <cell r="AD67">
            <v>37</v>
          </cell>
          <cell r="AE67">
            <v>23</v>
          </cell>
          <cell r="AF67">
            <v>554</v>
          </cell>
          <cell r="AG67">
            <v>554</v>
          </cell>
          <cell r="AH67">
            <v>0</v>
          </cell>
          <cell r="AI67">
            <v>0</v>
          </cell>
          <cell r="AJ67">
            <v>0</v>
          </cell>
          <cell r="AK67">
            <v>2500</v>
          </cell>
          <cell r="AL67">
            <v>504</v>
          </cell>
          <cell r="AM67">
            <v>1996</v>
          </cell>
          <cell r="AN67">
            <v>1616</v>
          </cell>
          <cell r="AO67">
            <v>712</v>
          </cell>
          <cell r="AP67">
            <v>280</v>
          </cell>
          <cell r="AQ67">
            <v>550</v>
          </cell>
          <cell r="AR67">
            <v>1188</v>
          </cell>
        </row>
        <row r="68">
          <cell r="F68">
            <v>0</v>
          </cell>
          <cell r="G68">
            <v>0</v>
          </cell>
          <cell r="H68">
            <v>207</v>
          </cell>
          <cell r="P68">
            <v>0</v>
          </cell>
          <cell r="S68">
            <v>0</v>
          </cell>
          <cell r="T68">
            <v>371.75</v>
          </cell>
          <cell r="U68">
            <v>1115.25</v>
          </cell>
          <cell r="V68">
            <v>0</v>
          </cell>
          <cell r="X68">
            <v>0</v>
          </cell>
          <cell r="Y68">
            <v>1801</v>
          </cell>
          <cell r="Z68">
            <v>953</v>
          </cell>
          <cell r="AA68">
            <v>0</v>
          </cell>
          <cell r="AB68">
            <v>0</v>
          </cell>
          <cell r="AC68">
            <v>0</v>
          </cell>
          <cell r="AD68">
            <v>0</v>
          </cell>
          <cell r="AE68">
            <v>0</v>
          </cell>
          <cell r="AF68">
            <v>1173</v>
          </cell>
          <cell r="AG68">
            <v>1100</v>
          </cell>
          <cell r="AH68">
            <v>0</v>
          </cell>
          <cell r="AK68">
            <v>0</v>
          </cell>
          <cell r="AL68">
            <v>0</v>
          </cell>
          <cell r="AM68">
            <v>0</v>
          </cell>
          <cell r="AN68">
            <v>0</v>
          </cell>
          <cell r="AO68">
            <v>2610</v>
          </cell>
          <cell r="AP68">
            <v>0</v>
          </cell>
          <cell r="AQ68">
            <v>700</v>
          </cell>
          <cell r="AR68">
            <v>2290</v>
          </cell>
        </row>
        <row r="69">
          <cell r="F69">
            <v>0</v>
          </cell>
          <cell r="G69">
            <v>0</v>
          </cell>
          <cell r="H69">
            <v>0</v>
          </cell>
          <cell r="P69">
            <v>0</v>
          </cell>
          <cell r="S69">
            <v>0</v>
          </cell>
          <cell r="T69">
            <v>146.88</v>
          </cell>
          <cell r="U69">
            <v>769.12</v>
          </cell>
          <cell r="V69">
            <v>471</v>
          </cell>
          <cell r="W69">
            <v>447</v>
          </cell>
          <cell r="X69">
            <v>104</v>
          </cell>
          <cell r="Y69">
            <v>407</v>
          </cell>
          <cell r="Z69">
            <v>144</v>
          </cell>
          <cell r="AA69">
            <v>273</v>
          </cell>
          <cell r="AB69">
            <v>455</v>
          </cell>
          <cell r="AC69">
            <v>118</v>
          </cell>
          <cell r="AD69">
            <v>322</v>
          </cell>
          <cell r="AE69">
            <v>201.66666666666663</v>
          </cell>
          <cell r="AF69">
            <v>-28</v>
          </cell>
          <cell r="AG69">
            <v>-28</v>
          </cell>
          <cell r="AH69">
            <v>0</v>
          </cell>
          <cell r="AK69">
            <v>716</v>
          </cell>
          <cell r="AL69">
            <v>323</v>
          </cell>
          <cell r="AM69">
            <v>812.09090909090924</v>
          </cell>
          <cell r="AN69">
            <v>194</v>
          </cell>
          <cell r="AO69">
            <v>812</v>
          </cell>
          <cell r="AP69">
            <v>231</v>
          </cell>
          <cell r="AQ69">
            <v>452</v>
          </cell>
          <cell r="AR69">
            <v>1115</v>
          </cell>
        </row>
        <row r="70">
          <cell r="F70">
            <v>0</v>
          </cell>
          <cell r="G70">
            <v>0</v>
          </cell>
          <cell r="H70">
            <v>0</v>
          </cell>
          <cell r="P70">
            <v>890</v>
          </cell>
          <cell r="S70">
            <v>1440</v>
          </cell>
          <cell r="T70">
            <v>360</v>
          </cell>
          <cell r="U70">
            <v>1080</v>
          </cell>
          <cell r="V70">
            <v>1070</v>
          </cell>
          <cell r="W70">
            <v>868</v>
          </cell>
          <cell r="X70">
            <v>202</v>
          </cell>
          <cell r="Y70">
            <v>658</v>
          </cell>
          <cell r="Z70">
            <v>232.79999999999995</v>
          </cell>
          <cell r="AA70">
            <v>1777</v>
          </cell>
          <cell r="AB70">
            <v>1410</v>
          </cell>
          <cell r="AC70">
            <v>367</v>
          </cell>
          <cell r="AD70">
            <v>833</v>
          </cell>
          <cell r="AE70">
            <v>521.70000000000005</v>
          </cell>
          <cell r="AF70">
            <v>780</v>
          </cell>
          <cell r="AG70">
            <v>780</v>
          </cell>
          <cell r="AH70">
            <v>0</v>
          </cell>
          <cell r="AK70">
            <v>5957</v>
          </cell>
          <cell r="AL70">
            <v>3168</v>
          </cell>
          <cell r="AM70">
            <v>2789</v>
          </cell>
          <cell r="AN70">
            <v>2789</v>
          </cell>
          <cell r="AO70">
            <v>2278</v>
          </cell>
          <cell r="AP70">
            <v>1059</v>
          </cell>
          <cell r="AQ70">
            <v>890</v>
          </cell>
          <cell r="AR70">
            <v>1730</v>
          </cell>
        </row>
        <row r="71">
          <cell r="F71">
            <v>0</v>
          </cell>
          <cell r="G71">
            <v>0</v>
          </cell>
          <cell r="H71">
            <v>0</v>
          </cell>
          <cell r="P71">
            <v>65</v>
          </cell>
          <cell r="S71">
            <v>465</v>
          </cell>
          <cell r="V71">
            <v>333.81818181818181</v>
          </cell>
          <cell r="W71">
            <v>271</v>
          </cell>
          <cell r="X71">
            <v>62.818181818181813</v>
          </cell>
          <cell r="Y71">
            <v>145</v>
          </cell>
          <cell r="Z71">
            <v>51.363636363636374</v>
          </cell>
          <cell r="AA71">
            <v>157.09090909090909</v>
          </cell>
          <cell r="AB71">
            <v>125</v>
          </cell>
          <cell r="AC71">
            <v>32.090909090909093</v>
          </cell>
          <cell r="AD71">
            <v>81</v>
          </cell>
          <cell r="AE71">
            <v>49.909090909090907</v>
          </cell>
          <cell r="AF71">
            <v>218.18181818181819</v>
          </cell>
          <cell r="AG71">
            <v>218</v>
          </cell>
          <cell r="AH71">
            <v>0.18181818181818699</v>
          </cell>
          <cell r="AK71">
            <v>1238.909090909091</v>
          </cell>
          <cell r="AL71">
            <v>461</v>
          </cell>
          <cell r="AM71">
            <v>777.90909090909099</v>
          </cell>
          <cell r="AN71">
            <v>777.90909090909088</v>
          </cell>
        </row>
        <row r="72">
          <cell r="F72">
            <v>0</v>
          </cell>
          <cell r="G72">
            <v>0</v>
          </cell>
          <cell r="H72">
            <v>0</v>
          </cell>
          <cell r="P72">
            <v>4</v>
          </cell>
          <cell r="S72">
            <v>26</v>
          </cell>
          <cell r="V72">
            <v>18</v>
          </cell>
          <cell r="W72">
            <v>15</v>
          </cell>
          <cell r="X72">
            <v>3</v>
          </cell>
          <cell r="Y72">
            <v>8</v>
          </cell>
          <cell r="Z72">
            <v>3</v>
          </cell>
          <cell r="AA72">
            <v>9</v>
          </cell>
          <cell r="AB72">
            <v>7</v>
          </cell>
          <cell r="AC72">
            <v>2</v>
          </cell>
          <cell r="AD72">
            <v>4</v>
          </cell>
          <cell r="AE72">
            <v>3</v>
          </cell>
          <cell r="AF72">
            <v>12</v>
          </cell>
          <cell r="AG72">
            <v>12</v>
          </cell>
          <cell r="AH72">
            <v>0</v>
          </cell>
          <cell r="AK72">
            <v>69</v>
          </cell>
          <cell r="AL72">
            <v>26</v>
          </cell>
          <cell r="AM72">
            <v>43</v>
          </cell>
          <cell r="AN72">
            <v>43</v>
          </cell>
        </row>
        <row r="73">
          <cell r="F73">
            <v>0</v>
          </cell>
          <cell r="G73">
            <v>0</v>
          </cell>
          <cell r="H73">
            <v>0</v>
          </cell>
          <cell r="P73">
            <v>21</v>
          </cell>
          <cell r="S73">
            <v>149</v>
          </cell>
          <cell r="V73">
            <v>107</v>
          </cell>
          <cell r="W73">
            <v>87</v>
          </cell>
          <cell r="X73">
            <v>20</v>
          </cell>
          <cell r="Y73">
            <v>47</v>
          </cell>
          <cell r="Z73">
            <v>16</v>
          </cell>
          <cell r="AA73">
            <v>50</v>
          </cell>
          <cell r="AB73">
            <v>40</v>
          </cell>
          <cell r="AC73">
            <v>10</v>
          </cell>
          <cell r="AD73">
            <v>26</v>
          </cell>
          <cell r="AE73">
            <v>16</v>
          </cell>
          <cell r="AF73">
            <v>70</v>
          </cell>
          <cell r="AG73">
            <v>70</v>
          </cell>
          <cell r="AH73">
            <v>0</v>
          </cell>
          <cell r="AK73">
            <v>397</v>
          </cell>
          <cell r="AL73">
            <v>148</v>
          </cell>
          <cell r="AM73">
            <v>249</v>
          </cell>
          <cell r="AN73">
            <v>249</v>
          </cell>
        </row>
        <row r="74">
          <cell r="F74">
            <v>0</v>
          </cell>
          <cell r="G74">
            <v>0</v>
          </cell>
          <cell r="P74">
            <v>78</v>
          </cell>
          <cell r="S74">
            <v>0</v>
          </cell>
          <cell r="V74">
            <v>0</v>
          </cell>
          <cell r="X74">
            <v>0</v>
          </cell>
          <cell r="Z74">
            <v>0</v>
          </cell>
          <cell r="AA74">
            <v>0</v>
          </cell>
          <cell r="AC74">
            <v>0</v>
          </cell>
          <cell r="AD74">
            <v>0</v>
          </cell>
          <cell r="AE74">
            <v>0</v>
          </cell>
          <cell r="AF74">
            <v>0</v>
          </cell>
          <cell r="AG74">
            <v>0</v>
          </cell>
          <cell r="AH74">
            <v>0</v>
          </cell>
          <cell r="AK74">
            <v>78</v>
          </cell>
          <cell r="AL74">
            <v>78</v>
          </cell>
          <cell r="AM74">
            <v>0</v>
          </cell>
          <cell r="AN74">
            <v>0</v>
          </cell>
        </row>
        <row r="75">
          <cell r="F75">
            <v>1689</v>
          </cell>
          <cell r="G75">
            <v>0</v>
          </cell>
          <cell r="H75">
            <v>1029</v>
          </cell>
          <cell r="P75">
            <v>890</v>
          </cell>
          <cell r="S75">
            <v>0</v>
          </cell>
          <cell r="T75">
            <v>100.54</v>
          </cell>
          <cell r="U75">
            <v>324.79333333333335</v>
          </cell>
          <cell r="V75">
            <v>0</v>
          </cell>
          <cell r="W75">
            <v>0</v>
          </cell>
          <cell r="X75">
            <v>0</v>
          </cell>
          <cell r="Y75">
            <v>0</v>
          </cell>
          <cell r="Z75">
            <v>0</v>
          </cell>
          <cell r="AA75">
            <v>0</v>
          </cell>
          <cell r="AB75">
            <v>0</v>
          </cell>
          <cell r="AC75">
            <v>0</v>
          </cell>
          <cell r="AD75">
            <v>0</v>
          </cell>
          <cell r="AE75">
            <v>0</v>
          </cell>
          <cell r="AF75">
            <v>0</v>
          </cell>
          <cell r="AG75">
            <v>0</v>
          </cell>
          <cell r="AH75">
            <v>0</v>
          </cell>
          <cell r="AI75">
            <v>59.2</v>
          </cell>
          <cell r="AK75">
            <v>890</v>
          </cell>
          <cell r="AL75">
            <v>890</v>
          </cell>
          <cell r="AM75">
            <v>0</v>
          </cell>
          <cell r="AN75">
            <v>0</v>
          </cell>
          <cell r="AO75">
            <v>115</v>
          </cell>
          <cell r="AP75">
            <v>213</v>
          </cell>
          <cell r="AQ75">
            <v>960.66666666666652</v>
          </cell>
          <cell r="AR75">
            <v>1708.3333333333335</v>
          </cell>
        </row>
        <row r="76">
          <cell r="F76">
            <v>83</v>
          </cell>
          <cell r="G76">
            <v>0</v>
          </cell>
          <cell r="H76">
            <v>51</v>
          </cell>
          <cell r="P76">
            <v>570</v>
          </cell>
          <cell r="S76">
            <v>2910</v>
          </cell>
          <cell r="T76">
            <v>0</v>
          </cell>
          <cell r="U76">
            <v>0</v>
          </cell>
          <cell r="V76">
            <v>0</v>
          </cell>
          <cell r="X76">
            <v>0</v>
          </cell>
          <cell r="Y76">
            <v>0</v>
          </cell>
          <cell r="Z76">
            <v>0</v>
          </cell>
          <cell r="AA76">
            <v>0</v>
          </cell>
          <cell r="AB76">
            <v>0</v>
          </cell>
          <cell r="AC76">
            <v>0</v>
          </cell>
          <cell r="AD76">
            <v>185</v>
          </cell>
          <cell r="AE76">
            <v>115</v>
          </cell>
          <cell r="AH76">
            <v>0</v>
          </cell>
          <cell r="AK76">
            <v>3480</v>
          </cell>
          <cell r="AL76">
            <v>570</v>
          </cell>
          <cell r="AM76">
            <v>2910</v>
          </cell>
          <cell r="AN76">
            <v>2910</v>
          </cell>
          <cell r="AO76">
            <v>0</v>
          </cell>
          <cell r="AP76">
            <v>0</v>
          </cell>
          <cell r="AQ76">
            <v>32</v>
          </cell>
          <cell r="AR76">
            <v>51</v>
          </cell>
        </row>
        <row r="77">
          <cell r="F77">
            <v>2789</v>
          </cell>
          <cell r="G77">
            <v>1335</v>
          </cell>
          <cell r="H77">
            <v>1454</v>
          </cell>
          <cell r="P77">
            <v>151</v>
          </cell>
          <cell r="S77">
            <v>607</v>
          </cell>
          <cell r="T77">
            <v>333.96000000000004</v>
          </cell>
          <cell r="U77">
            <v>273.03999999999996</v>
          </cell>
          <cell r="V77">
            <v>110</v>
          </cell>
          <cell r="W77">
            <v>89</v>
          </cell>
          <cell r="X77">
            <v>21</v>
          </cell>
          <cell r="Y77">
            <v>89</v>
          </cell>
          <cell r="Z77">
            <v>31</v>
          </cell>
          <cell r="AA77">
            <v>119</v>
          </cell>
          <cell r="AB77">
            <v>80</v>
          </cell>
          <cell r="AC77">
            <v>39</v>
          </cell>
          <cell r="AD77">
            <v>62</v>
          </cell>
          <cell r="AE77">
            <v>38</v>
          </cell>
          <cell r="AF77">
            <v>210</v>
          </cell>
          <cell r="AG77">
            <v>151</v>
          </cell>
          <cell r="AH77">
            <v>59</v>
          </cell>
          <cell r="AI77">
            <v>59</v>
          </cell>
          <cell r="AK77">
            <v>4640</v>
          </cell>
          <cell r="AL77">
            <v>2547</v>
          </cell>
          <cell r="AM77">
            <v>2093</v>
          </cell>
          <cell r="AN77">
            <v>2515</v>
          </cell>
          <cell r="AO77">
            <v>169</v>
          </cell>
          <cell r="AP77">
            <v>266</v>
          </cell>
          <cell r="AQ77">
            <v>1956</v>
          </cell>
          <cell r="AR77">
            <v>1827</v>
          </cell>
        </row>
        <row r="78">
          <cell r="F78">
            <v>377</v>
          </cell>
          <cell r="G78">
            <v>180</v>
          </cell>
          <cell r="H78">
            <v>197</v>
          </cell>
          <cell r="P78">
            <v>66</v>
          </cell>
          <cell r="S78">
            <v>152.33333333333334</v>
          </cell>
          <cell r="T78">
            <v>0</v>
          </cell>
          <cell r="U78">
            <v>0</v>
          </cell>
          <cell r="W78">
            <v>0</v>
          </cell>
          <cell r="X78">
            <v>0</v>
          </cell>
          <cell r="Y78">
            <v>0</v>
          </cell>
          <cell r="Z78">
            <v>0</v>
          </cell>
          <cell r="AA78">
            <v>18</v>
          </cell>
          <cell r="AC78">
            <v>18</v>
          </cell>
          <cell r="AD78">
            <v>0</v>
          </cell>
          <cell r="AE78">
            <v>0</v>
          </cell>
          <cell r="AF78">
            <v>141</v>
          </cell>
          <cell r="AG78">
            <v>119</v>
          </cell>
          <cell r="AH78">
            <v>0</v>
          </cell>
          <cell r="AK78">
            <v>395</v>
          </cell>
          <cell r="AL78">
            <v>180</v>
          </cell>
          <cell r="AM78">
            <v>215</v>
          </cell>
          <cell r="AN78">
            <v>215</v>
          </cell>
          <cell r="AO78">
            <v>0</v>
          </cell>
          <cell r="AP78">
            <v>18</v>
          </cell>
          <cell r="AQ78">
            <v>180</v>
          </cell>
          <cell r="AR78">
            <v>197</v>
          </cell>
        </row>
        <row r="79">
          <cell r="F79">
            <v>2412</v>
          </cell>
          <cell r="G79">
            <v>1155</v>
          </cell>
          <cell r="H79">
            <v>1257</v>
          </cell>
          <cell r="P79">
            <v>151</v>
          </cell>
          <cell r="S79">
            <v>607</v>
          </cell>
          <cell r="T79">
            <v>333.96000000000004</v>
          </cell>
          <cell r="U79">
            <v>273.03999999999996</v>
          </cell>
          <cell r="V79">
            <v>110</v>
          </cell>
          <cell r="W79">
            <v>89</v>
          </cell>
          <cell r="X79">
            <v>21</v>
          </cell>
          <cell r="Y79">
            <v>89</v>
          </cell>
          <cell r="Z79">
            <v>31</v>
          </cell>
          <cell r="AA79">
            <v>101</v>
          </cell>
          <cell r="AB79">
            <v>80</v>
          </cell>
          <cell r="AC79">
            <v>21</v>
          </cell>
          <cell r="AD79">
            <v>62</v>
          </cell>
          <cell r="AE79">
            <v>38</v>
          </cell>
          <cell r="AF79">
            <v>210</v>
          </cell>
          <cell r="AG79">
            <v>151</v>
          </cell>
          <cell r="AH79">
            <v>59</v>
          </cell>
          <cell r="AK79">
            <v>4245</v>
          </cell>
          <cell r="AL79">
            <v>1945</v>
          </cell>
          <cell r="AM79">
            <v>2300</v>
          </cell>
          <cell r="AN79">
            <v>2300</v>
          </cell>
          <cell r="AO79">
            <v>169</v>
          </cell>
          <cell r="AP79">
            <v>248</v>
          </cell>
          <cell r="AQ79">
            <v>1776</v>
          </cell>
          <cell r="AR79">
            <v>2052</v>
          </cell>
        </row>
        <row r="80">
          <cell r="F80">
            <v>2412</v>
          </cell>
          <cell r="G80">
            <v>1155</v>
          </cell>
          <cell r="H80">
            <v>1257</v>
          </cell>
          <cell r="P80">
            <v>126</v>
          </cell>
          <cell r="S80">
            <v>506</v>
          </cell>
          <cell r="T80">
            <v>333.96000000000004</v>
          </cell>
          <cell r="U80">
            <v>172.03999999999996</v>
          </cell>
          <cell r="V80">
            <v>74</v>
          </cell>
          <cell r="W80">
            <v>60</v>
          </cell>
          <cell r="X80">
            <v>14</v>
          </cell>
          <cell r="Y80">
            <v>55</v>
          </cell>
          <cell r="Z80">
            <v>19</v>
          </cell>
          <cell r="AA80">
            <v>36</v>
          </cell>
          <cell r="AB80">
            <v>29</v>
          </cell>
          <cell r="AC80">
            <v>7</v>
          </cell>
          <cell r="AD80">
            <v>22</v>
          </cell>
          <cell r="AE80">
            <v>14</v>
          </cell>
          <cell r="AF80">
            <v>137</v>
          </cell>
          <cell r="AG80">
            <v>96</v>
          </cell>
          <cell r="AH80">
            <v>41</v>
          </cell>
          <cell r="AI80">
            <v>18.600000000000001</v>
          </cell>
          <cell r="AK80">
            <v>3548</v>
          </cell>
          <cell r="AL80">
            <v>1668</v>
          </cell>
          <cell r="AM80">
            <v>1880</v>
          </cell>
          <cell r="AN80">
            <v>1880</v>
          </cell>
          <cell r="AR80">
            <v>1880</v>
          </cell>
        </row>
        <row r="81">
          <cell r="F81">
            <v>33</v>
          </cell>
          <cell r="G81">
            <v>16</v>
          </cell>
          <cell r="H81">
            <v>17</v>
          </cell>
          <cell r="P81">
            <v>0</v>
          </cell>
          <cell r="S81">
            <v>0</v>
          </cell>
          <cell r="X81">
            <v>25</v>
          </cell>
          <cell r="AC81">
            <v>32</v>
          </cell>
          <cell r="AD81">
            <v>0</v>
          </cell>
          <cell r="AE81">
            <v>0</v>
          </cell>
          <cell r="AF81">
            <v>39.666666666666664</v>
          </cell>
          <cell r="AG81">
            <v>26</v>
          </cell>
          <cell r="AH81">
            <v>13.666666666666664</v>
          </cell>
          <cell r="AI81">
            <v>15.3</v>
          </cell>
          <cell r="AK81">
            <v>396</v>
          </cell>
          <cell r="AL81">
            <v>172</v>
          </cell>
          <cell r="AM81">
            <v>224</v>
          </cell>
          <cell r="AN81">
            <v>224</v>
          </cell>
          <cell r="AR81">
            <v>224</v>
          </cell>
        </row>
        <row r="82">
          <cell r="F82">
            <v>288</v>
          </cell>
          <cell r="G82">
            <v>138</v>
          </cell>
          <cell r="H82">
            <v>150</v>
          </cell>
          <cell r="P82">
            <v>4</v>
          </cell>
          <cell r="S82">
            <v>50</v>
          </cell>
          <cell r="T82">
            <v>33</v>
          </cell>
          <cell r="U82">
            <v>17</v>
          </cell>
          <cell r="V82">
            <v>11</v>
          </cell>
          <cell r="W82">
            <v>9</v>
          </cell>
          <cell r="X82">
            <v>2</v>
          </cell>
          <cell r="Y82">
            <v>16</v>
          </cell>
          <cell r="Z82">
            <v>5</v>
          </cell>
          <cell r="AA82">
            <v>26</v>
          </cell>
          <cell r="AB82">
            <v>21</v>
          </cell>
          <cell r="AC82">
            <v>5</v>
          </cell>
          <cell r="AD82">
            <v>15</v>
          </cell>
          <cell r="AE82">
            <v>10</v>
          </cell>
          <cell r="AF82">
            <v>33</v>
          </cell>
          <cell r="AG82">
            <v>25</v>
          </cell>
          <cell r="AH82">
            <v>8</v>
          </cell>
          <cell r="AK82">
            <v>408</v>
          </cell>
          <cell r="AL82">
            <v>174</v>
          </cell>
          <cell r="AM82">
            <v>234</v>
          </cell>
          <cell r="AN82">
            <v>234</v>
          </cell>
        </row>
        <row r="83">
          <cell r="F83">
            <v>483</v>
          </cell>
          <cell r="G83">
            <v>231</v>
          </cell>
          <cell r="H83">
            <v>252</v>
          </cell>
          <cell r="P83">
            <v>21</v>
          </cell>
          <cell r="S83">
            <v>51</v>
          </cell>
          <cell r="T83">
            <v>33.660000000000004</v>
          </cell>
          <cell r="U83">
            <v>17.339999999999996</v>
          </cell>
          <cell r="V83">
            <v>25</v>
          </cell>
          <cell r="W83">
            <v>20</v>
          </cell>
          <cell r="X83">
            <v>5</v>
          </cell>
          <cell r="Y83">
            <v>18</v>
          </cell>
          <cell r="Z83">
            <v>7</v>
          </cell>
          <cell r="AA83">
            <v>39</v>
          </cell>
          <cell r="AB83">
            <v>31</v>
          </cell>
          <cell r="AC83">
            <v>8</v>
          </cell>
          <cell r="AD83">
            <v>24</v>
          </cell>
          <cell r="AE83">
            <v>15</v>
          </cell>
          <cell r="AF83">
            <v>40</v>
          </cell>
          <cell r="AG83">
            <v>30</v>
          </cell>
          <cell r="AH83">
            <v>10</v>
          </cell>
          <cell r="AK83">
            <v>658</v>
          </cell>
          <cell r="AL83">
            <v>307</v>
          </cell>
          <cell r="AM83">
            <v>351</v>
          </cell>
          <cell r="AN83">
            <v>351</v>
          </cell>
        </row>
        <row r="84">
          <cell r="F84">
            <v>881</v>
          </cell>
          <cell r="G84">
            <v>422</v>
          </cell>
          <cell r="H84">
            <v>459</v>
          </cell>
          <cell r="P84">
            <v>2512.62</v>
          </cell>
          <cell r="Q84">
            <v>0</v>
          </cell>
          <cell r="R84">
            <v>0</v>
          </cell>
          <cell r="S84">
            <v>9258.7648484848487</v>
          </cell>
          <cell r="T84">
            <v>5700.9847757575753</v>
          </cell>
          <cell r="U84">
            <v>3557.7800727272729</v>
          </cell>
          <cell r="X84">
            <v>17486.169696969697</v>
          </cell>
          <cell r="Y84">
            <v>11436</v>
          </cell>
          <cell r="Z84">
            <v>6050.1696969696977</v>
          </cell>
          <cell r="AA84">
            <v>0</v>
          </cell>
          <cell r="AB84">
            <v>0</v>
          </cell>
          <cell r="AC84">
            <v>13595.361818181818</v>
          </cell>
          <cell r="AD84">
            <v>8063</v>
          </cell>
          <cell r="AE84">
            <v>5532.3618181818183</v>
          </cell>
          <cell r="AF84">
            <v>4470.8927272727269</v>
          </cell>
          <cell r="AG84">
            <v>3519</v>
          </cell>
          <cell r="AH84">
            <v>952.89272727272737</v>
          </cell>
          <cell r="AI84">
            <v>783.2</v>
          </cell>
          <cell r="AK84">
            <v>881</v>
          </cell>
          <cell r="AL84">
            <v>422</v>
          </cell>
          <cell r="AM84">
            <v>459</v>
          </cell>
          <cell r="AN84">
            <v>459</v>
          </cell>
          <cell r="AO84">
            <v>19380</v>
          </cell>
          <cell r="AP84">
            <v>16419</v>
          </cell>
          <cell r="AQ84">
            <v>4052.62</v>
          </cell>
          <cell r="AR84">
            <v>9718.3963636363642</v>
          </cell>
        </row>
        <row r="85">
          <cell r="F85">
            <v>13</v>
          </cell>
          <cell r="G85">
            <v>6</v>
          </cell>
          <cell r="H85">
            <v>7</v>
          </cell>
          <cell r="P85">
            <v>6</v>
          </cell>
          <cell r="Q85">
            <v>0</v>
          </cell>
          <cell r="R85">
            <v>0</v>
          </cell>
          <cell r="S85">
            <v>1</v>
          </cell>
          <cell r="T85">
            <v>452.808109090909</v>
          </cell>
          <cell r="U85">
            <v>471.29007272727262</v>
          </cell>
          <cell r="V85">
            <v>0</v>
          </cell>
          <cell r="W85">
            <v>0</v>
          </cell>
          <cell r="X85">
            <v>5</v>
          </cell>
          <cell r="Y85">
            <v>351</v>
          </cell>
          <cell r="Z85">
            <v>185.2</v>
          </cell>
          <cell r="AA85">
            <v>4</v>
          </cell>
          <cell r="AB85">
            <v>0</v>
          </cell>
          <cell r="AC85">
            <v>10</v>
          </cell>
          <cell r="AD85">
            <v>253</v>
          </cell>
          <cell r="AE85">
            <v>174.18</v>
          </cell>
          <cell r="AF85">
            <v>51</v>
          </cell>
          <cell r="AG85">
            <v>51</v>
          </cell>
          <cell r="AH85">
            <v>0</v>
          </cell>
          <cell r="AI85">
            <v>274</v>
          </cell>
          <cell r="AK85">
            <v>75</v>
          </cell>
          <cell r="AL85">
            <v>12</v>
          </cell>
          <cell r="AM85">
            <v>63</v>
          </cell>
          <cell r="AN85">
            <v>59</v>
          </cell>
        </row>
        <row r="86">
          <cell r="F86">
            <v>4004</v>
          </cell>
          <cell r="G86">
            <v>1916</v>
          </cell>
          <cell r="H86">
            <v>2088</v>
          </cell>
          <cell r="P86">
            <v>2712.62</v>
          </cell>
          <cell r="Q86">
            <v>0</v>
          </cell>
          <cell r="R86">
            <v>0</v>
          </cell>
          <cell r="S86">
            <v>8433.52</v>
          </cell>
          <cell r="T86">
            <v>4958.7147999999997</v>
          </cell>
          <cell r="U86">
            <v>3472.8051999999998</v>
          </cell>
          <cell r="V86">
            <v>14476.131818181819</v>
          </cell>
          <cell r="W86">
            <v>11744</v>
          </cell>
          <cell r="X86">
            <v>2732.1318181818183</v>
          </cell>
          <cell r="Y86">
            <v>0</v>
          </cell>
          <cell r="Z86">
            <v>0</v>
          </cell>
          <cell r="AA86">
            <v>13570.569090909092</v>
          </cell>
          <cell r="AB86">
            <v>10756</v>
          </cell>
          <cell r="AC86">
            <v>2814.5690909090908</v>
          </cell>
          <cell r="AD86">
            <v>8269</v>
          </cell>
          <cell r="AE86">
            <v>5173.217575757576</v>
          </cell>
          <cell r="AF86">
            <v>4425.8781818181815</v>
          </cell>
          <cell r="AG86">
            <v>3577.3</v>
          </cell>
          <cell r="AH86">
            <v>848.57818181818175</v>
          </cell>
          <cell r="AK86">
            <v>48156.140909090907</v>
          </cell>
          <cell r="AL86">
            <v>28382.62</v>
          </cell>
          <cell r="AM86">
            <v>19773.520909090908</v>
          </cell>
          <cell r="AN86">
            <v>20195.520909090908</v>
          </cell>
          <cell r="AO86">
            <v>22380</v>
          </cell>
          <cell r="AP86">
            <v>9696</v>
          </cell>
          <cell r="AQ86">
            <v>5145.62</v>
          </cell>
          <cell r="AR86">
            <v>9309.5209090909084</v>
          </cell>
        </row>
        <row r="87">
          <cell r="F87">
            <v>426</v>
          </cell>
          <cell r="G87">
            <v>203</v>
          </cell>
          <cell r="H87">
            <v>223</v>
          </cell>
          <cell r="P87">
            <v>669.62</v>
          </cell>
          <cell r="Q87">
            <v>0</v>
          </cell>
          <cell r="R87">
            <v>0</v>
          </cell>
          <cell r="T87">
            <v>514.75479999999993</v>
          </cell>
          <cell r="U87">
            <v>535.76520000000005</v>
          </cell>
          <cell r="V87">
            <v>0</v>
          </cell>
          <cell r="W87">
            <v>426</v>
          </cell>
          <cell r="X87">
            <v>98.949999999999989</v>
          </cell>
          <cell r="Y87">
            <v>0</v>
          </cell>
          <cell r="Z87">
            <v>0</v>
          </cell>
          <cell r="AA87">
            <v>0</v>
          </cell>
          <cell r="AB87">
            <v>345</v>
          </cell>
          <cell r="AC87">
            <v>89.66</v>
          </cell>
          <cell r="AD87">
            <v>314</v>
          </cell>
          <cell r="AE87">
            <v>126.86000000000001</v>
          </cell>
          <cell r="AH87">
            <v>166.75999999999993</v>
          </cell>
          <cell r="AK87">
            <v>4998.05</v>
          </cell>
          <cell r="AL87">
            <v>1821.62</v>
          </cell>
          <cell r="AM87">
            <v>3176.4300000000003</v>
          </cell>
          <cell r="AN87">
            <v>534.61</v>
          </cell>
          <cell r="AO87">
            <v>0</v>
          </cell>
          <cell r="AP87">
            <v>0</v>
          </cell>
          <cell r="AQ87">
            <v>0</v>
          </cell>
          <cell r="AR87">
            <v>0</v>
          </cell>
        </row>
        <row r="88">
          <cell r="F88">
            <v>10937.1</v>
          </cell>
          <cell r="G88">
            <v>0</v>
          </cell>
          <cell r="H88">
            <v>2070.1</v>
          </cell>
          <cell r="P88">
            <v>2512.62</v>
          </cell>
          <cell r="Q88">
            <v>0</v>
          </cell>
          <cell r="R88">
            <v>0</v>
          </cell>
          <cell r="S88">
            <v>9258.7648484848487</v>
          </cell>
          <cell r="T88">
            <v>5700.9847757575753</v>
          </cell>
          <cell r="U88">
            <v>3557.7800727272729</v>
          </cell>
          <cell r="V88">
            <v>0</v>
          </cell>
          <cell r="W88">
            <v>0</v>
          </cell>
          <cell r="X88">
            <v>17486.169696969697</v>
          </cell>
          <cell r="Y88">
            <v>11436</v>
          </cell>
          <cell r="Z88">
            <v>6050.1696969696977</v>
          </cell>
          <cell r="AA88">
            <v>0</v>
          </cell>
          <cell r="AB88">
            <v>0</v>
          </cell>
          <cell r="AC88">
            <v>13595.361818181818</v>
          </cell>
          <cell r="AD88">
            <v>8063</v>
          </cell>
          <cell r="AE88">
            <v>5532.3618181818183</v>
          </cell>
          <cell r="AF88">
            <v>4470.8927272727269</v>
          </cell>
          <cell r="AG88">
            <v>3519</v>
          </cell>
          <cell r="AH88">
            <v>952.89272727272737</v>
          </cell>
          <cell r="AI88">
            <v>783.2</v>
          </cell>
          <cell r="AK88">
            <v>58234.016363636365</v>
          </cell>
          <cell r="AL88">
            <v>27960.62</v>
          </cell>
          <cell r="AM88">
            <v>26872.396363636362</v>
          </cell>
          <cell r="AN88">
            <v>0</v>
          </cell>
          <cell r="AO88">
            <v>19380</v>
          </cell>
          <cell r="AP88">
            <v>16419</v>
          </cell>
          <cell r="AQ88">
            <v>4052.62</v>
          </cell>
          <cell r="AR88">
            <v>9718.3963636363642</v>
          </cell>
        </row>
        <row r="89">
          <cell r="F89">
            <v>6512</v>
          </cell>
          <cell r="G89">
            <v>6512</v>
          </cell>
          <cell r="H89">
            <v>0</v>
          </cell>
          <cell r="AA89" t="str">
            <v>`</v>
          </cell>
          <cell r="AH89">
            <v>0</v>
          </cell>
          <cell r="AK89">
            <v>6512</v>
          </cell>
          <cell r="AL89">
            <v>6512</v>
          </cell>
          <cell r="AM89">
            <v>0</v>
          </cell>
          <cell r="AN89">
            <v>0</v>
          </cell>
          <cell r="AO89">
            <v>0</v>
          </cell>
          <cell r="AP89">
            <v>0</v>
          </cell>
          <cell r="AQ89">
            <v>0</v>
          </cell>
          <cell r="AR89">
            <v>0</v>
          </cell>
        </row>
        <row r="90">
          <cell r="F90">
            <v>10516</v>
          </cell>
          <cell r="G90">
            <v>8428</v>
          </cell>
          <cell r="H90">
            <v>2088</v>
          </cell>
          <cell r="P90">
            <v>2712.62</v>
          </cell>
          <cell r="Q90">
            <v>0</v>
          </cell>
          <cell r="R90">
            <v>0</v>
          </cell>
          <cell r="S90">
            <v>8433.52</v>
          </cell>
          <cell r="T90">
            <v>4958.7147999999997</v>
          </cell>
          <cell r="U90">
            <v>3472.8051999999998</v>
          </cell>
          <cell r="V90">
            <v>14476.131818181819</v>
          </cell>
          <cell r="W90">
            <v>11744</v>
          </cell>
          <cell r="X90">
            <v>2732.1318181818183</v>
          </cell>
          <cell r="Y90">
            <v>0</v>
          </cell>
          <cell r="Z90">
            <v>0</v>
          </cell>
          <cell r="AA90">
            <v>13570.569090909092</v>
          </cell>
          <cell r="AB90">
            <v>10756</v>
          </cell>
          <cell r="AC90">
            <v>2814.5690909090908</v>
          </cell>
          <cell r="AD90">
            <v>8269</v>
          </cell>
          <cell r="AE90">
            <v>5173.217575757576</v>
          </cell>
          <cell r="AF90">
            <v>4425.8781818181815</v>
          </cell>
          <cell r="AG90">
            <v>3577.3</v>
          </cell>
          <cell r="AH90">
            <v>848.57818181818175</v>
          </cell>
          <cell r="AK90">
            <v>54668.140909090907</v>
          </cell>
          <cell r="AL90">
            <v>34894.619999999995</v>
          </cell>
          <cell r="AM90">
            <v>19773.520909090908</v>
          </cell>
          <cell r="AN90">
            <v>20195.520909090908</v>
          </cell>
          <cell r="AO90">
            <v>22380</v>
          </cell>
          <cell r="AP90">
            <v>9696</v>
          </cell>
          <cell r="AQ90">
            <v>5145.62</v>
          </cell>
          <cell r="AR90">
            <v>9309.5209090909084</v>
          </cell>
        </row>
        <row r="91">
          <cell r="F91">
            <v>0</v>
          </cell>
          <cell r="G91">
            <v>0</v>
          </cell>
          <cell r="H91">
            <v>0</v>
          </cell>
          <cell r="S91">
            <v>0</v>
          </cell>
          <cell r="T91">
            <v>0</v>
          </cell>
          <cell r="U91">
            <v>0</v>
          </cell>
          <cell r="X91">
            <v>0</v>
          </cell>
          <cell r="Y91">
            <v>0</v>
          </cell>
          <cell r="Z91">
            <v>0</v>
          </cell>
          <cell r="AA91">
            <v>0</v>
          </cell>
          <cell r="AB91">
            <v>0</v>
          </cell>
          <cell r="AC91">
            <v>0</v>
          </cell>
          <cell r="AD91">
            <v>0</v>
          </cell>
          <cell r="AE91">
            <v>0</v>
          </cell>
          <cell r="AH91">
            <v>0</v>
          </cell>
          <cell r="AK91">
            <v>127</v>
          </cell>
          <cell r="AL91">
            <v>70.766579973992179</v>
          </cell>
          <cell r="AM91">
            <v>0</v>
          </cell>
          <cell r="AN91">
            <v>0</v>
          </cell>
          <cell r="AO91">
            <v>0</v>
          </cell>
          <cell r="AP91">
            <v>0</v>
          </cell>
          <cell r="AQ91">
            <v>0</v>
          </cell>
          <cell r="AR91">
            <v>-1</v>
          </cell>
        </row>
        <row r="92">
          <cell r="F92">
            <v>401</v>
          </cell>
          <cell r="G92">
            <v>352</v>
          </cell>
          <cell r="H92">
            <v>49</v>
          </cell>
          <cell r="P92">
            <v>66</v>
          </cell>
          <cell r="S92">
            <v>0</v>
          </cell>
          <cell r="X92">
            <v>28.333333333333332</v>
          </cell>
          <cell r="Y92">
            <v>19</v>
          </cell>
          <cell r="Z92">
            <v>9.3333333333333321</v>
          </cell>
          <cell r="AC92">
            <v>27.333333333333332</v>
          </cell>
          <cell r="AD92">
            <v>16</v>
          </cell>
          <cell r="AE92">
            <v>11.333333333333332</v>
          </cell>
          <cell r="AF92">
            <v>12.666666666666666</v>
          </cell>
          <cell r="AG92">
            <v>13</v>
          </cell>
          <cell r="AH92">
            <v>0</v>
          </cell>
          <cell r="AK92">
            <v>401</v>
          </cell>
          <cell r="AL92">
            <v>352</v>
          </cell>
          <cell r="AM92">
            <v>49</v>
          </cell>
          <cell r="AN92">
            <v>49</v>
          </cell>
          <cell r="AO92">
            <v>0</v>
          </cell>
          <cell r="AP92">
            <v>0</v>
          </cell>
          <cell r="AQ92">
            <v>13.689745430207379</v>
          </cell>
          <cell r="AR92">
            <v>10.175080113302904</v>
          </cell>
        </row>
        <row r="93">
          <cell r="F93">
            <v>43</v>
          </cell>
          <cell r="G93">
            <v>31.409217877094964</v>
          </cell>
          <cell r="H93">
            <v>11.590782122905036</v>
          </cell>
          <cell r="S93">
            <v>0</v>
          </cell>
          <cell r="T93">
            <v>0</v>
          </cell>
          <cell r="U93">
            <v>0</v>
          </cell>
          <cell r="V93">
            <v>0</v>
          </cell>
          <cell r="W93">
            <v>0</v>
          </cell>
          <cell r="X93">
            <v>0</v>
          </cell>
          <cell r="Y93">
            <v>0</v>
          </cell>
          <cell r="Z93">
            <v>0</v>
          </cell>
          <cell r="AA93">
            <v>0</v>
          </cell>
          <cell r="AB93">
            <v>0</v>
          </cell>
          <cell r="AC93">
            <v>0</v>
          </cell>
          <cell r="AD93">
            <v>0</v>
          </cell>
          <cell r="AE93">
            <v>0</v>
          </cell>
          <cell r="AH93">
            <v>0</v>
          </cell>
          <cell r="AK93">
            <v>43</v>
          </cell>
          <cell r="AL93">
            <v>31.409217877094964</v>
          </cell>
          <cell r="AM93">
            <v>11.590782122905036</v>
          </cell>
          <cell r="AN93">
            <v>11.590782122905036</v>
          </cell>
          <cell r="AO93">
            <v>0</v>
          </cell>
          <cell r="AP93">
            <v>0</v>
          </cell>
          <cell r="AQ93">
            <v>0</v>
          </cell>
          <cell r="AR93">
            <v>0</v>
          </cell>
        </row>
        <row r="94">
          <cell r="F94">
            <v>25</v>
          </cell>
          <cell r="G94">
            <v>18.261173184357538</v>
          </cell>
          <cell r="H94">
            <v>6.7388268156424616</v>
          </cell>
          <cell r="P94">
            <v>2</v>
          </cell>
          <cell r="S94">
            <v>7</v>
          </cell>
          <cell r="V94">
            <v>-129</v>
          </cell>
          <cell r="W94">
            <v>-105</v>
          </cell>
          <cell r="X94">
            <v>-24</v>
          </cell>
          <cell r="Y94">
            <v>-96</v>
          </cell>
          <cell r="Z94">
            <v>-33.333333333333343</v>
          </cell>
          <cell r="AA94">
            <v>0</v>
          </cell>
          <cell r="AB94">
            <v>0</v>
          </cell>
          <cell r="AC94">
            <v>0</v>
          </cell>
          <cell r="AD94">
            <v>0</v>
          </cell>
          <cell r="AE94">
            <v>0</v>
          </cell>
          <cell r="AF94">
            <v>13</v>
          </cell>
          <cell r="AG94">
            <v>13</v>
          </cell>
          <cell r="AH94">
            <v>0</v>
          </cell>
          <cell r="AK94">
            <v>-82</v>
          </cell>
          <cell r="AL94">
            <v>-84.738826815642454</v>
          </cell>
          <cell r="AM94">
            <v>2.7388268156424544</v>
          </cell>
          <cell r="AN94">
            <v>2.7388268156424616</v>
          </cell>
          <cell r="AO94">
            <v>-105</v>
          </cell>
          <cell r="AP94">
            <v>-22</v>
          </cell>
          <cell r="AQ94">
            <v>20.261173184357546</v>
          </cell>
          <cell r="AR94">
            <v>24.738826815642454</v>
          </cell>
        </row>
        <row r="95">
          <cell r="F95">
            <v>11562.1</v>
          </cell>
          <cell r="G95">
            <v>9326.3537061118332</v>
          </cell>
          <cell r="H95">
            <v>2235.7462938881663</v>
          </cell>
          <cell r="P95">
            <v>2578.62</v>
          </cell>
          <cell r="Q95">
            <v>0</v>
          </cell>
          <cell r="R95">
            <v>0</v>
          </cell>
          <cell r="S95">
            <v>9258.7648484848487</v>
          </cell>
          <cell r="T95">
            <v>5700.9847757575753</v>
          </cell>
          <cell r="U95">
            <v>3557.7800727272729</v>
          </cell>
          <cell r="V95">
            <v>0</v>
          </cell>
          <cell r="W95">
            <v>0</v>
          </cell>
          <cell r="X95">
            <v>17514.503030303029</v>
          </cell>
          <cell r="Y95">
            <v>11455</v>
          </cell>
          <cell r="Z95">
            <v>6059.5030303030308</v>
          </cell>
          <cell r="AA95">
            <v>0</v>
          </cell>
          <cell r="AB95">
            <v>0</v>
          </cell>
          <cell r="AC95">
            <v>13622.695151515152</v>
          </cell>
          <cell r="AD95">
            <v>8079</v>
          </cell>
          <cell r="AE95">
            <v>5543.6951515151513</v>
          </cell>
          <cell r="AF95">
            <v>4483.5593939393939</v>
          </cell>
          <cell r="AG95">
            <v>3532</v>
          </cell>
          <cell r="AH95">
            <v>952.89272727272737</v>
          </cell>
          <cell r="AI95">
            <v>783.2</v>
          </cell>
          <cell r="AJ95">
            <v>0</v>
          </cell>
          <cell r="AK95">
            <v>58993.683030303029</v>
          </cell>
          <cell r="AL95">
            <v>31921.973706111832</v>
          </cell>
          <cell r="AM95">
            <v>27071.709324191197</v>
          </cell>
          <cell r="AN95">
            <v>0</v>
          </cell>
          <cell r="AO95">
            <v>19415</v>
          </cell>
          <cell r="AP95">
            <v>16440</v>
          </cell>
          <cell r="AQ95">
            <v>4153.252222919521</v>
          </cell>
          <cell r="AR95">
            <v>9754.6660308805876</v>
          </cell>
        </row>
        <row r="96">
          <cell r="F96">
            <v>4024.1000000000004</v>
          </cell>
          <cell r="G96">
            <v>1788.3537061118332</v>
          </cell>
          <cell r="H96">
            <v>2235.7462938881663</v>
          </cell>
          <cell r="P96">
            <v>2578.62</v>
          </cell>
          <cell r="Q96">
            <v>0</v>
          </cell>
          <cell r="R96">
            <v>0</v>
          </cell>
          <cell r="S96">
            <v>6428.7648484848487</v>
          </cell>
          <cell r="T96">
            <v>2870.9847757575753</v>
          </cell>
          <cell r="U96">
            <v>3557.7800727272729</v>
          </cell>
          <cell r="V96">
            <v>0</v>
          </cell>
          <cell r="W96">
            <v>0</v>
          </cell>
          <cell r="X96">
            <v>5059.5030303030289</v>
          </cell>
          <cell r="Y96">
            <v>3309</v>
          </cell>
          <cell r="Z96">
            <v>1750.5030303030308</v>
          </cell>
          <cell r="AA96">
            <v>0</v>
          </cell>
          <cell r="AB96">
            <v>0</v>
          </cell>
          <cell r="AC96">
            <v>3034.6951515151522</v>
          </cell>
          <cell r="AD96">
            <v>1800</v>
          </cell>
          <cell r="AE96">
            <v>1234.6951515151513</v>
          </cell>
          <cell r="AF96">
            <v>4483.5593939393939</v>
          </cell>
          <cell r="AG96">
            <v>3532</v>
          </cell>
          <cell r="AH96">
            <v>952.89272727272737</v>
          </cell>
          <cell r="AI96">
            <v>783.2</v>
          </cell>
          <cell r="AJ96">
            <v>0</v>
          </cell>
          <cell r="AK96">
            <v>25582.683030303029</v>
          </cell>
          <cell r="AL96">
            <v>9958.9737061118321</v>
          </cell>
          <cell r="AM96">
            <v>15623.709324191197</v>
          </cell>
          <cell r="AN96">
            <v>0</v>
          </cell>
          <cell r="AO96">
            <v>4990</v>
          </cell>
          <cell r="AP96">
            <v>4992</v>
          </cell>
          <cell r="AQ96">
            <v>4153.252222919521</v>
          </cell>
          <cell r="AR96">
            <v>9754.6660308805876</v>
          </cell>
        </row>
        <row r="97">
          <cell r="F97">
            <v>10985</v>
          </cell>
          <cell r="G97">
            <v>8829.6703910614524</v>
          </cell>
          <cell r="H97">
            <v>2155.3296089385476</v>
          </cell>
          <cell r="P97">
            <v>2714.62</v>
          </cell>
          <cell r="Q97">
            <v>0</v>
          </cell>
          <cell r="R97">
            <v>0</v>
          </cell>
          <cell r="S97">
            <v>8440.52</v>
          </cell>
          <cell r="T97">
            <v>4958.7147999999997</v>
          </cell>
          <cell r="U97">
            <v>3472.8051999999998</v>
          </cell>
          <cell r="V97">
            <v>14347.131818181819</v>
          </cell>
          <cell r="W97">
            <v>11639</v>
          </cell>
          <cell r="X97">
            <v>2708.1318181818183</v>
          </cell>
          <cell r="Y97">
            <v>0</v>
          </cell>
          <cell r="Z97">
            <v>0</v>
          </cell>
          <cell r="AA97">
            <v>13570.569090909092</v>
          </cell>
          <cell r="AB97">
            <v>10756</v>
          </cell>
          <cell r="AC97">
            <v>2814.5690909090908</v>
          </cell>
          <cell r="AD97">
            <v>8269</v>
          </cell>
          <cell r="AE97">
            <v>5173.217575757576</v>
          </cell>
          <cell r="AF97">
            <v>4438.8781818181815</v>
          </cell>
          <cell r="AG97">
            <v>3590.3</v>
          </cell>
          <cell r="AH97">
            <v>848.57818181818175</v>
          </cell>
          <cell r="AI97">
            <v>54.400000000000006</v>
          </cell>
          <cell r="AJ97">
            <v>0</v>
          </cell>
          <cell r="AK97">
            <v>55030.140909090907</v>
          </cell>
          <cell r="AL97">
            <v>35193.290391061448</v>
          </cell>
          <cell r="AM97">
            <v>19836.850518029456</v>
          </cell>
          <cell r="AN97">
            <v>20258.850518029456</v>
          </cell>
          <cell r="AO97">
            <v>22275</v>
          </cell>
          <cell r="AP97">
            <v>9674</v>
          </cell>
          <cell r="AQ97">
            <v>5179.5709186145641</v>
          </cell>
          <cell r="AR97">
            <v>9343.4348160198533</v>
          </cell>
        </row>
        <row r="98">
          <cell r="F98">
            <v>4473</v>
          </cell>
          <cell r="G98">
            <v>2317.6703910614524</v>
          </cell>
          <cell r="H98">
            <v>2155.3296089385476</v>
          </cell>
          <cell r="P98">
            <v>2714.62</v>
          </cell>
          <cell r="Q98">
            <v>0</v>
          </cell>
          <cell r="R98">
            <v>0</v>
          </cell>
          <cell r="S98">
            <v>6265.52</v>
          </cell>
          <cell r="T98">
            <v>2783.7147999999997</v>
          </cell>
          <cell r="U98">
            <v>3472.8051999999998</v>
          </cell>
          <cell r="V98">
            <v>3047.1318181818187</v>
          </cell>
          <cell r="W98">
            <v>2471</v>
          </cell>
          <cell r="X98">
            <v>576.13181818181829</v>
          </cell>
          <cell r="Y98">
            <v>0</v>
          </cell>
          <cell r="Z98">
            <v>0</v>
          </cell>
          <cell r="AA98">
            <v>2982.5690909090908</v>
          </cell>
          <cell r="AB98">
            <v>2353</v>
          </cell>
          <cell r="AC98">
            <v>629.56909090909085</v>
          </cell>
          <cell r="AD98">
            <v>1785</v>
          </cell>
          <cell r="AE98">
            <v>724.87515151515208</v>
          </cell>
          <cell r="AF98">
            <v>4438.8781818181815</v>
          </cell>
          <cell r="AG98">
            <v>3590.3</v>
          </cell>
          <cell r="AH98">
            <v>848.57818181818175</v>
          </cell>
          <cell r="AI98">
            <v>54.400000000000006</v>
          </cell>
          <cell r="AK98">
            <v>24455.140909090907</v>
          </cell>
          <cell r="AL98">
            <v>11110.290391061448</v>
          </cell>
          <cell r="AM98">
            <v>13344.850518029456</v>
          </cell>
          <cell r="AN98">
            <v>13766.850518029456</v>
          </cell>
          <cell r="AO98">
            <v>4704</v>
          </cell>
          <cell r="AP98">
            <v>3182</v>
          </cell>
          <cell r="AQ98">
            <v>5179.5709186145641</v>
          </cell>
          <cell r="AR98">
            <v>9343.4348160198533</v>
          </cell>
        </row>
        <row r="99">
          <cell r="F99">
            <v>0</v>
          </cell>
          <cell r="G99">
            <v>2573.3582491582492</v>
          </cell>
          <cell r="H99">
            <v>2944.8417508417506</v>
          </cell>
          <cell r="P99">
            <v>830</v>
          </cell>
          <cell r="Q99">
            <v>0</v>
          </cell>
          <cell r="R99">
            <v>0</v>
          </cell>
          <cell r="S99">
            <v>3176</v>
          </cell>
          <cell r="T99">
            <v>2384.0618606060607</v>
          </cell>
          <cell r="U99">
            <v>3467.8793515151519</v>
          </cell>
          <cell r="V99">
            <v>80</v>
          </cell>
          <cell r="W99">
            <v>14347.131818181819</v>
          </cell>
          <cell r="X99">
            <v>2407.8530303030293</v>
          </cell>
          <cell r="Y99">
            <v>1779</v>
          </cell>
          <cell r="Z99">
            <v>628.85303030302975</v>
          </cell>
          <cell r="AA99">
            <v>300</v>
          </cell>
          <cell r="AB99">
            <v>0</v>
          </cell>
          <cell r="AC99">
            <v>2277.2175757575751</v>
          </cell>
          <cell r="AD99">
            <v>1402</v>
          </cell>
          <cell r="AE99">
            <v>875.21757575757601</v>
          </cell>
          <cell r="AF99">
            <v>554</v>
          </cell>
          <cell r="AG99">
            <v>554</v>
          </cell>
          <cell r="AH99">
            <v>0</v>
          </cell>
          <cell r="AK99">
            <v>4982</v>
          </cell>
          <cell r="AL99">
            <v>55030.140909090915</v>
          </cell>
          <cell r="AM99">
            <v>14321.203569023572</v>
          </cell>
          <cell r="AN99">
            <v>14701.20356902357</v>
          </cell>
          <cell r="AO99">
            <v>3066</v>
          </cell>
          <cell r="AP99">
            <v>3316</v>
          </cell>
          <cell r="AQ99">
            <v>5168.7494313394982</v>
          </cell>
          <cell r="AR99">
            <v>10162.313669924872</v>
          </cell>
        </row>
        <row r="100">
          <cell r="F100">
            <v>0</v>
          </cell>
          <cell r="P100">
            <v>464</v>
          </cell>
          <cell r="S100">
            <v>1018</v>
          </cell>
          <cell r="V100">
            <v>80</v>
          </cell>
          <cell r="X100">
            <v>85</v>
          </cell>
          <cell r="AA100">
            <v>300</v>
          </cell>
          <cell r="AC100">
            <v>60</v>
          </cell>
          <cell r="AF100">
            <v>554</v>
          </cell>
          <cell r="AG100">
            <v>554</v>
          </cell>
          <cell r="AH100">
            <v>0</v>
          </cell>
          <cell r="AI100">
            <v>0</v>
          </cell>
          <cell r="AK100">
            <v>2416</v>
          </cell>
          <cell r="AL100">
            <v>55030.1409090909</v>
          </cell>
          <cell r="AM100">
            <v>34771.290391061455</v>
          </cell>
        </row>
        <row r="101">
          <cell r="F101">
            <v>0</v>
          </cell>
          <cell r="P101">
            <v>600</v>
          </cell>
          <cell r="S101">
            <v>730</v>
          </cell>
          <cell r="V101">
            <v>80</v>
          </cell>
          <cell r="X101">
            <v>100</v>
          </cell>
          <cell r="AA101">
            <v>300</v>
          </cell>
          <cell r="AC101">
            <v>60</v>
          </cell>
          <cell r="AF101">
            <v>0</v>
          </cell>
          <cell r="AG101">
            <v>0</v>
          </cell>
          <cell r="AH101">
            <v>0</v>
          </cell>
          <cell r="AK101">
            <v>1710</v>
          </cell>
          <cell r="AL101">
            <v>53285.681818181823</v>
          </cell>
          <cell r="AM101">
            <v>29773.478249158248</v>
          </cell>
        </row>
        <row r="102">
          <cell r="F102">
            <v>0</v>
          </cell>
          <cell r="P102">
            <v>366</v>
          </cell>
          <cell r="S102">
            <v>2158</v>
          </cell>
          <cell r="V102">
            <v>0</v>
          </cell>
          <cell r="X102">
            <v>100</v>
          </cell>
          <cell r="AA102">
            <v>0</v>
          </cell>
          <cell r="AC102">
            <v>60</v>
          </cell>
          <cell r="AF102">
            <v>0</v>
          </cell>
          <cell r="AG102">
            <v>0</v>
          </cell>
          <cell r="AH102">
            <v>0</v>
          </cell>
          <cell r="AK102">
            <v>2566</v>
          </cell>
        </row>
        <row r="103">
          <cell r="F103">
            <v>-1308</v>
          </cell>
          <cell r="P103">
            <v>1223</v>
          </cell>
          <cell r="S103">
            <v>0</v>
          </cell>
          <cell r="X103">
            <v>0</v>
          </cell>
          <cell r="AC103">
            <v>0</v>
          </cell>
          <cell r="AF103">
            <v>-904.4</v>
          </cell>
          <cell r="AG103">
            <v>0</v>
          </cell>
          <cell r="AH103">
            <v>-904.4</v>
          </cell>
          <cell r="AK103">
            <v>-78.200000000000045</v>
          </cell>
        </row>
        <row r="104">
          <cell r="P104">
            <v>570</v>
          </cell>
          <cell r="S104">
            <v>2910</v>
          </cell>
          <cell r="AK104">
            <v>0</v>
          </cell>
        </row>
        <row r="105">
          <cell r="P105">
            <v>1075</v>
          </cell>
          <cell r="S105">
            <v>0</v>
          </cell>
          <cell r="V105">
            <v>0</v>
          </cell>
          <cell r="X105">
            <v>0</v>
          </cell>
          <cell r="AC105">
            <v>300</v>
          </cell>
          <cell r="AK105">
            <v>1375</v>
          </cell>
        </row>
        <row r="106">
          <cell r="F106">
            <v>850</v>
          </cell>
          <cell r="P106">
            <v>550</v>
          </cell>
          <cell r="S106">
            <v>530</v>
          </cell>
          <cell r="X106">
            <v>0</v>
          </cell>
          <cell r="AC106">
            <v>0</v>
          </cell>
          <cell r="AF106">
            <v>0</v>
          </cell>
          <cell r="AG106">
            <v>0</v>
          </cell>
          <cell r="AH106">
            <v>0</v>
          </cell>
          <cell r="AI106">
            <v>0</v>
          </cell>
          <cell r="AK106">
            <v>850</v>
          </cell>
        </row>
        <row r="107">
          <cell r="F107">
            <v>850</v>
          </cell>
          <cell r="P107">
            <v>800</v>
          </cell>
          <cell r="S107">
            <v>0</v>
          </cell>
          <cell r="AC107">
            <v>0</v>
          </cell>
          <cell r="AF107">
            <v>0</v>
          </cell>
          <cell r="AG107">
            <v>0</v>
          </cell>
          <cell r="AH107">
            <v>0</v>
          </cell>
          <cell r="AI107">
            <v>0</v>
          </cell>
          <cell r="AK107">
            <v>0</v>
          </cell>
        </row>
        <row r="108">
          <cell r="F108">
            <v>0</v>
          </cell>
          <cell r="P108">
            <v>0</v>
          </cell>
          <cell r="S108">
            <v>0</v>
          </cell>
          <cell r="AC108">
            <v>0</v>
          </cell>
          <cell r="AF108">
            <v>0</v>
          </cell>
          <cell r="AG108">
            <v>0</v>
          </cell>
          <cell r="AH108">
            <v>0</v>
          </cell>
          <cell r="AI108">
            <v>0</v>
          </cell>
          <cell r="AK108">
            <v>0</v>
          </cell>
        </row>
        <row r="109">
          <cell r="F109">
            <v>0</v>
          </cell>
          <cell r="P109">
            <v>366</v>
          </cell>
          <cell r="S109">
            <v>2158</v>
          </cell>
          <cell r="V109">
            <v>0</v>
          </cell>
          <cell r="X109">
            <v>0</v>
          </cell>
          <cell r="AA109">
            <v>0</v>
          </cell>
          <cell r="AC109">
            <v>0</v>
          </cell>
          <cell r="AF109">
            <v>0</v>
          </cell>
          <cell r="AG109">
            <v>0</v>
          </cell>
          <cell r="AH109">
            <v>0</v>
          </cell>
          <cell r="AK109">
            <v>2524</v>
          </cell>
        </row>
        <row r="110">
          <cell r="F110">
            <v>0</v>
          </cell>
          <cell r="P110">
            <v>366</v>
          </cell>
          <cell r="S110">
            <v>2158</v>
          </cell>
          <cell r="X110">
            <v>0</v>
          </cell>
          <cell r="AA110">
            <v>0</v>
          </cell>
          <cell r="AC110">
            <v>0</v>
          </cell>
          <cell r="AF110">
            <v>0</v>
          </cell>
          <cell r="AG110">
            <v>0</v>
          </cell>
          <cell r="AH110">
            <v>0</v>
          </cell>
          <cell r="AI110">
            <v>64</v>
          </cell>
          <cell r="AK110">
            <v>2524</v>
          </cell>
        </row>
        <row r="111">
          <cell r="F111">
            <v>0</v>
          </cell>
          <cell r="P111">
            <v>0</v>
          </cell>
          <cell r="S111">
            <v>0</v>
          </cell>
          <cell r="AA111">
            <v>0</v>
          </cell>
          <cell r="AC111">
            <v>0</v>
          </cell>
          <cell r="AF111">
            <v>0</v>
          </cell>
          <cell r="AG111">
            <v>0</v>
          </cell>
          <cell r="AH111">
            <v>0</v>
          </cell>
          <cell r="AI111">
            <v>64</v>
          </cell>
          <cell r="AK111">
            <v>0</v>
          </cell>
        </row>
        <row r="112">
          <cell r="F112">
            <v>0</v>
          </cell>
          <cell r="P112">
            <v>0</v>
          </cell>
          <cell r="S112">
            <v>0</v>
          </cell>
          <cell r="V112">
            <v>0</v>
          </cell>
          <cell r="X112">
            <v>0</v>
          </cell>
          <cell r="AA112">
            <v>0</v>
          </cell>
          <cell r="AC112">
            <v>0</v>
          </cell>
          <cell r="AF112">
            <v>0</v>
          </cell>
          <cell r="AG112">
            <v>0</v>
          </cell>
          <cell r="AH112">
            <v>0</v>
          </cell>
          <cell r="AK112">
            <v>0</v>
          </cell>
        </row>
        <row r="113">
          <cell r="F113">
            <v>0</v>
          </cell>
          <cell r="P113">
            <v>0</v>
          </cell>
          <cell r="S113">
            <v>0</v>
          </cell>
          <cell r="V113">
            <v>0</v>
          </cell>
          <cell r="X113">
            <v>0</v>
          </cell>
          <cell r="AA113">
            <v>0</v>
          </cell>
          <cell r="AC113">
            <v>0</v>
          </cell>
          <cell r="AF113">
            <v>0</v>
          </cell>
          <cell r="AG113">
            <v>0</v>
          </cell>
          <cell r="AH113">
            <v>0</v>
          </cell>
          <cell r="AK113">
            <v>0</v>
          </cell>
          <cell r="AM113">
            <v>0</v>
          </cell>
        </row>
        <row r="114">
          <cell r="F114">
            <v>0</v>
          </cell>
          <cell r="P114">
            <v>0</v>
          </cell>
          <cell r="S114">
            <v>0</v>
          </cell>
          <cell r="X114">
            <v>0</v>
          </cell>
          <cell r="AA114">
            <v>0</v>
          </cell>
          <cell r="AC114">
            <v>0</v>
          </cell>
          <cell r="AF114">
            <v>0</v>
          </cell>
          <cell r="AG114">
            <v>0</v>
          </cell>
          <cell r="AH114">
            <v>0</v>
          </cell>
          <cell r="AK114">
            <v>0</v>
          </cell>
        </row>
        <row r="115">
          <cell r="F115">
            <v>0</v>
          </cell>
          <cell r="P115">
            <v>0</v>
          </cell>
          <cell r="S115">
            <v>0</v>
          </cell>
          <cell r="V115">
            <v>0</v>
          </cell>
          <cell r="X115">
            <v>0</v>
          </cell>
          <cell r="AA115">
            <v>0</v>
          </cell>
          <cell r="AC115">
            <v>0</v>
          </cell>
          <cell r="AF115">
            <v>0</v>
          </cell>
          <cell r="AG115">
            <v>0</v>
          </cell>
          <cell r="AH115">
            <v>0</v>
          </cell>
          <cell r="AK115">
            <v>0</v>
          </cell>
          <cell r="AL115">
            <v>0</v>
          </cell>
          <cell r="AM115">
            <v>0</v>
          </cell>
        </row>
        <row r="116">
          <cell r="F116">
            <v>0</v>
          </cell>
          <cell r="P116">
            <v>0</v>
          </cell>
          <cell r="S116">
            <v>0</v>
          </cell>
          <cell r="X116">
            <v>0</v>
          </cell>
          <cell r="AA116">
            <v>0</v>
          </cell>
          <cell r="AC116">
            <v>0</v>
          </cell>
          <cell r="AF116">
            <v>0</v>
          </cell>
          <cell r="AG116">
            <v>0</v>
          </cell>
          <cell r="AH116">
            <v>0</v>
          </cell>
          <cell r="AK116">
            <v>0</v>
          </cell>
          <cell r="AM116">
            <v>0</v>
          </cell>
        </row>
        <row r="117">
          <cell r="F117">
            <v>0</v>
          </cell>
          <cell r="P117">
            <v>0</v>
          </cell>
          <cell r="S117">
            <v>0</v>
          </cell>
          <cell r="AC117">
            <v>0</v>
          </cell>
          <cell r="AF117">
            <v>0</v>
          </cell>
          <cell r="AG117">
            <v>0</v>
          </cell>
          <cell r="AH117">
            <v>0</v>
          </cell>
          <cell r="AK117">
            <v>0</v>
          </cell>
          <cell r="AM117">
            <v>0</v>
          </cell>
        </row>
        <row r="118">
          <cell r="F118">
            <v>0</v>
          </cell>
          <cell r="P118">
            <v>0</v>
          </cell>
          <cell r="S118">
            <v>0</v>
          </cell>
          <cell r="X118">
            <v>0</v>
          </cell>
          <cell r="AA118">
            <v>0</v>
          </cell>
          <cell r="AC118">
            <v>0</v>
          </cell>
          <cell r="AG118">
            <v>0</v>
          </cell>
          <cell r="AH118">
            <v>0</v>
          </cell>
          <cell r="AK118">
            <v>0</v>
          </cell>
          <cell r="AL118">
            <v>0</v>
          </cell>
          <cell r="AM118">
            <v>0</v>
          </cell>
        </row>
        <row r="119">
          <cell r="F119">
            <v>0</v>
          </cell>
          <cell r="P119">
            <v>0</v>
          </cell>
          <cell r="S119">
            <v>0</v>
          </cell>
          <cell r="AA119">
            <v>0</v>
          </cell>
          <cell r="AC119">
            <v>0</v>
          </cell>
          <cell r="AG119">
            <v>0</v>
          </cell>
          <cell r="AH119">
            <v>0</v>
          </cell>
          <cell r="AK119">
            <v>0</v>
          </cell>
          <cell r="AL119">
            <v>0</v>
          </cell>
          <cell r="AM119">
            <v>0</v>
          </cell>
        </row>
        <row r="120">
          <cell r="F120">
            <v>0</v>
          </cell>
          <cell r="P120">
            <v>0</v>
          </cell>
          <cell r="S120">
            <v>0</v>
          </cell>
          <cell r="X120">
            <v>0</v>
          </cell>
          <cell r="AA120">
            <v>0</v>
          </cell>
          <cell r="AC120">
            <v>0</v>
          </cell>
          <cell r="AF120">
            <v>0</v>
          </cell>
          <cell r="AG120">
            <v>0</v>
          </cell>
          <cell r="AH120">
            <v>0</v>
          </cell>
          <cell r="AK120">
            <v>0</v>
          </cell>
        </row>
        <row r="121">
          <cell r="F121">
            <v>0</v>
          </cell>
          <cell r="P121">
            <v>0</v>
          </cell>
          <cell r="S121">
            <v>0</v>
          </cell>
          <cell r="V121">
            <v>0</v>
          </cell>
          <cell r="X121">
            <v>0</v>
          </cell>
          <cell r="AA121">
            <v>0</v>
          </cell>
          <cell r="AC121">
            <v>0</v>
          </cell>
          <cell r="AF121">
            <v>0</v>
          </cell>
          <cell r="AG121">
            <v>0</v>
          </cell>
          <cell r="AH121">
            <v>0</v>
          </cell>
          <cell r="AK121">
            <v>0</v>
          </cell>
        </row>
        <row r="122">
          <cell r="F122">
            <v>595</v>
          </cell>
          <cell r="P122">
            <v>0</v>
          </cell>
          <cell r="S122">
            <v>0</v>
          </cell>
          <cell r="X122">
            <v>0</v>
          </cell>
          <cell r="AC122">
            <v>0</v>
          </cell>
          <cell r="AG122">
            <v>0</v>
          </cell>
          <cell r="AH122">
            <v>0</v>
          </cell>
          <cell r="AK122">
            <v>595</v>
          </cell>
        </row>
        <row r="123">
          <cell r="F123">
            <v>100</v>
          </cell>
          <cell r="S123">
            <v>0</v>
          </cell>
          <cell r="V123">
            <v>0</v>
          </cell>
          <cell r="X123">
            <v>0</v>
          </cell>
          <cell r="AF123">
            <v>0</v>
          </cell>
          <cell r="AK123">
            <v>0</v>
          </cell>
          <cell r="AL123">
            <v>-13345.80312121212</v>
          </cell>
        </row>
        <row r="124">
          <cell r="F124">
            <v>3400</v>
          </cell>
          <cell r="S124">
            <v>0</v>
          </cell>
          <cell r="X124">
            <v>0</v>
          </cell>
          <cell r="AF124">
            <v>0</v>
          </cell>
          <cell r="AK124">
            <v>3400</v>
          </cell>
        </row>
        <row r="125">
          <cell r="F125">
            <v>3500</v>
          </cell>
          <cell r="G125">
            <v>0</v>
          </cell>
          <cell r="H125">
            <v>0</v>
          </cell>
          <cell r="P125">
            <v>0</v>
          </cell>
          <cell r="Q125">
            <v>0</v>
          </cell>
          <cell r="R125">
            <v>0</v>
          </cell>
          <cell r="S125">
            <v>60</v>
          </cell>
          <cell r="T125">
            <v>0</v>
          </cell>
          <cell r="U125">
            <v>0</v>
          </cell>
          <cell r="V125">
            <v>0</v>
          </cell>
          <cell r="W125">
            <v>0</v>
          </cell>
          <cell r="X125">
            <v>0</v>
          </cell>
          <cell r="Y125">
            <v>0</v>
          </cell>
          <cell r="Z125">
            <v>0</v>
          </cell>
          <cell r="AA125">
            <v>0</v>
          </cell>
          <cell r="AB125">
            <v>0</v>
          </cell>
          <cell r="AC125">
            <v>500</v>
          </cell>
          <cell r="AD125">
            <v>0</v>
          </cell>
          <cell r="AE125">
            <v>0</v>
          </cell>
          <cell r="AF125">
            <v>0</v>
          </cell>
          <cell r="AG125">
            <v>0</v>
          </cell>
          <cell r="AH125">
            <v>0</v>
          </cell>
          <cell r="AI125">
            <v>64</v>
          </cell>
          <cell r="AJ125">
            <v>0</v>
          </cell>
          <cell r="AK125">
            <v>0</v>
          </cell>
          <cell r="AO125">
            <v>0</v>
          </cell>
          <cell r="AP125">
            <v>0</v>
          </cell>
          <cell r="AQ125">
            <v>0</v>
          </cell>
          <cell r="AR125">
            <v>0</v>
          </cell>
        </row>
        <row r="126">
          <cell r="F126">
            <v>2000</v>
          </cell>
          <cell r="G126">
            <v>0</v>
          </cell>
          <cell r="H126">
            <v>0</v>
          </cell>
          <cell r="P126">
            <v>0</v>
          </cell>
          <cell r="S126">
            <v>120</v>
          </cell>
          <cell r="X126">
            <v>0</v>
          </cell>
          <cell r="Y126">
            <v>0</v>
          </cell>
          <cell r="Z126">
            <v>0</v>
          </cell>
          <cell r="AC126">
            <v>0</v>
          </cell>
          <cell r="AD126">
            <v>0</v>
          </cell>
          <cell r="AE126">
            <v>0</v>
          </cell>
          <cell r="AF126">
            <v>0</v>
          </cell>
          <cell r="AG126">
            <v>0</v>
          </cell>
          <cell r="AH126">
            <v>0</v>
          </cell>
          <cell r="AI126">
            <v>64</v>
          </cell>
          <cell r="AJ126">
            <v>0</v>
          </cell>
          <cell r="AK126">
            <v>0</v>
          </cell>
          <cell r="AL126">
            <v>-16343.423636363636</v>
          </cell>
        </row>
        <row r="127">
          <cell r="F127">
            <v>0</v>
          </cell>
          <cell r="AK127">
            <v>0</v>
          </cell>
          <cell r="AL127">
            <v>6264</v>
          </cell>
        </row>
        <row r="128">
          <cell r="F128">
            <v>3995</v>
          </cell>
          <cell r="G128">
            <v>0</v>
          </cell>
          <cell r="H128">
            <v>0</v>
          </cell>
          <cell r="P128">
            <v>366</v>
          </cell>
          <cell r="Q128">
            <v>0</v>
          </cell>
          <cell r="R128">
            <v>0</v>
          </cell>
          <cell r="S128">
            <v>2158</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K128">
            <v>6519</v>
          </cell>
          <cell r="AO128">
            <v>0</v>
          </cell>
          <cell r="AP128">
            <v>0</v>
          </cell>
          <cell r="AQ128">
            <v>0</v>
          </cell>
          <cell r="AR128">
            <v>0</v>
          </cell>
        </row>
        <row r="129">
          <cell r="F129">
            <v>3995</v>
          </cell>
          <cell r="G129">
            <v>0</v>
          </cell>
          <cell r="H129">
            <v>0</v>
          </cell>
          <cell r="P129">
            <v>732</v>
          </cell>
          <cell r="S129">
            <v>4316</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K129">
            <v>6519</v>
          </cell>
          <cell r="AL129">
            <v>-9671.302272727271</v>
          </cell>
          <cell r="AM129">
            <v>-16998.709324191197</v>
          </cell>
        </row>
        <row r="130">
          <cell r="F130">
            <v>0</v>
          </cell>
          <cell r="AK130">
            <v>-9824.4236363636355</v>
          </cell>
          <cell r="AL130">
            <v>6561</v>
          </cell>
        </row>
        <row r="131">
          <cell r="F131">
            <v>2292</v>
          </cell>
          <cell r="G131">
            <v>0</v>
          </cell>
          <cell r="H131">
            <v>0</v>
          </cell>
          <cell r="P131">
            <v>1223</v>
          </cell>
          <cell r="Q131">
            <v>0</v>
          </cell>
          <cell r="R131">
            <v>0</v>
          </cell>
          <cell r="S131">
            <v>0</v>
          </cell>
          <cell r="T131">
            <v>0</v>
          </cell>
          <cell r="U131">
            <v>0</v>
          </cell>
          <cell r="V131">
            <v>0</v>
          </cell>
          <cell r="W131">
            <v>0</v>
          </cell>
          <cell r="X131">
            <v>0</v>
          </cell>
          <cell r="Y131">
            <v>0</v>
          </cell>
          <cell r="Z131">
            <v>0</v>
          </cell>
          <cell r="AA131">
            <v>0</v>
          </cell>
          <cell r="AB131">
            <v>0</v>
          </cell>
          <cell r="AC131">
            <v>0</v>
          </cell>
          <cell r="AF131">
            <v>0</v>
          </cell>
          <cell r="AG131">
            <v>0</v>
          </cell>
          <cell r="AH131">
            <v>0</v>
          </cell>
          <cell r="AK131">
            <v>-9824.4236363636355</v>
          </cell>
          <cell r="AO131">
            <v>0</v>
          </cell>
          <cell r="AP131">
            <v>0</v>
          </cell>
          <cell r="AQ131">
            <v>0</v>
          </cell>
          <cell r="AR131">
            <v>0</v>
          </cell>
        </row>
        <row r="132">
          <cell r="F132">
            <v>2292</v>
          </cell>
          <cell r="G132">
            <v>0</v>
          </cell>
          <cell r="H132">
            <v>0</v>
          </cell>
          <cell r="P132">
            <v>2446</v>
          </cell>
          <cell r="S132">
            <v>0</v>
          </cell>
          <cell r="X132">
            <v>0</v>
          </cell>
          <cell r="Y132">
            <v>0</v>
          </cell>
          <cell r="Z132">
            <v>0</v>
          </cell>
          <cell r="AC132">
            <v>0</v>
          </cell>
          <cell r="AF132">
            <v>-904.4</v>
          </cell>
          <cell r="AG132">
            <v>0</v>
          </cell>
          <cell r="AH132">
            <v>-904.4</v>
          </cell>
          <cell r="AK132">
            <v>-14034.890909090907</v>
          </cell>
          <cell r="AL132">
            <v>35.709608938552265</v>
          </cell>
          <cell r="AM132">
            <v>-14935.850518029456</v>
          </cell>
        </row>
        <row r="133">
          <cell r="AK133">
            <v>-5656.302272727271</v>
          </cell>
          <cell r="AL133">
            <v>3521.8</v>
          </cell>
        </row>
        <row r="134">
          <cell r="AK134">
            <v>-4210.4672727272718</v>
          </cell>
          <cell r="AM134">
            <v>10073</v>
          </cell>
          <cell r="AO134">
            <v>0</v>
          </cell>
          <cell r="AQ134">
            <v>0</v>
          </cell>
        </row>
        <row r="135">
          <cell r="AK135">
            <v>-8080.4318181818162</v>
          </cell>
          <cell r="AL135">
            <v>6361.5217508417518</v>
          </cell>
          <cell r="AM135">
            <v>-15307.203569023572</v>
          </cell>
          <cell r="AO135">
            <v>0</v>
          </cell>
        </row>
        <row r="136">
          <cell r="AK136">
            <v>6.38</v>
          </cell>
          <cell r="AO136" t="e">
            <v>#DIV/0!</v>
          </cell>
        </row>
        <row r="137">
          <cell r="AK137">
            <v>4901</v>
          </cell>
          <cell r="AM137">
            <v>4901</v>
          </cell>
          <cell r="AO137">
            <v>0</v>
          </cell>
          <cell r="AQ137">
            <v>0</v>
          </cell>
        </row>
        <row r="138">
          <cell r="AK138">
            <v>-14935.850518029456</v>
          </cell>
          <cell r="AO138">
            <v>0</v>
          </cell>
        </row>
        <row r="139">
          <cell r="AK139">
            <v>3.1</v>
          </cell>
          <cell r="AO139" t="e">
            <v>#DIV/0!</v>
          </cell>
        </row>
        <row r="140">
          <cell r="AK140">
            <v>12.55</v>
          </cell>
          <cell r="AM140">
            <v>7825</v>
          </cell>
          <cell r="AO140" t="e">
            <v>#DIV/0!</v>
          </cell>
          <cell r="AQ140">
            <v>0</v>
          </cell>
        </row>
        <row r="141">
          <cell r="AK141">
            <v>0</v>
          </cell>
          <cell r="AO141">
            <v>0</v>
          </cell>
        </row>
        <row r="142">
          <cell r="AJ142">
            <v>0</v>
          </cell>
          <cell r="AK142">
            <v>4.95</v>
          </cell>
          <cell r="AO142" t="e">
            <v>#DIV/0!</v>
          </cell>
        </row>
        <row r="143">
          <cell r="AK143">
            <v>8.91</v>
          </cell>
          <cell r="AL143">
            <v>37810</v>
          </cell>
          <cell r="AO143" t="e">
            <v>#DIV/0!</v>
          </cell>
        </row>
        <row r="144">
          <cell r="AK144">
            <v>0</v>
          </cell>
          <cell r="AO144">
            <v>0</v>
          </cell>
        </row>
        <row r="145">
          <cell r="AJ145">
            <v>300</v>
          </cell>
          <cell r="AK145">
            <v>8.9</v>
          </cell>
          <cell r="AO145" t="e">
            <v>#DIV/0!</v>
          </cell>
        </row>
        <row r="146">
          <cell r="AK146">
            <v>35229</v>
          </cell>
          <cell r="AL146">
            <v>35229</v>
          </cell>
          <cell r="AM146">
            <v>-27071.709324191197</v>
          </cell>
          <cell r="AO146" t="e">
            <v>#DIV/0!</v>
          </cell>
        </row>
        <row r="147">
          <cell r="S147">
            <v>0</v>
          </cell>
          <cell r="AK147">
            <v>865.25</v>
          </cell>
        </row>
        <row r="148">
          <cell r="AK148">
            <v>7.62</v>
          </cell>
          <cell r="AO148" t="e">
            <v>#DIV/0!</v>
          </cell>
        </row>
        <row r="149">
          <cell r="AJ149">
            <v>0</v>
          </cell>
          <cell r="AK149">
            <v>9312.8571428571431</v>
          </cell>
          <cell r="AL149">
            <v>-35193.290391061448</v>
          </cell>
          <cell r="AM149">
            <v>-19836.850518029456</v>
          </cell>
          <cell r="AO149">
            <v>0</v>
          </cell>
        </row>
        <row r="150">
          <cell r="S150">
            <v>0</v>
          </cell>
          <cell r="AK150">
            <v>865.25</v>
          </cell>
        </row>
        <row r="151">
          <cell r="AK151">
            <v>47883</v>
          </cell>
          <cell r="AL151">
            <v>37810</v>
          </cell>
          <cell r="AM151">
            <v>10073</v>
          </cell>
        </row>
        <row r="152">
          <cell r="AK152">
            <v>40130</v>
          </cell>
          <cell r="AL152">
            <v>35229</v>
          </cell>
          <cell r="AM152">
            <v>4901</v>
          </cell>
          <cell r="AO152">
            <v>0</v>
          </cell>
          <cell r="AP152">
            <v>4992</v>
          </cell>
          <cell r="AQ152">
            <v>4153.252222919521</v>
          </cell>
          <cell r="AR152">
            <v>9754.6660308805876</v>
          </cell>
        </row>
        <row r="153">
          <cell r="S153">
            <v>0</v>
          </cell>
          <cell r="AK153">
            <v>0</v>
          </cell>
          <cell r="AL153">
            <v>18.399999999999999</v>
          </cell>
          <cell r="AM153">
            <v>-62.8</v>
          </cell>
        </row>
        <row r="154">
          <cell r="AK154">
            <v>40130</v>
          </cell>
          <cell r="AL154">
            <v>35229</v>
          </cell>
          <cell r="AM154">
            <v>4901</v>
          </cell>
        </row>
        <row r="155">
          <cell r="AK155">
            <v>0</v>
          </cell>
          <cell r="AL155">
            <v>36515</v>
          </cell>
          <cell r="AM155">
            <v>7825</v>
          </cell>
          <cell r="AO155">
            <v>4704</v>
          </cell>
          <cell r="AP155">
            <v>3182</v>
          </cell>
          <cell r="AQ155">
            <v>5179.5709186145641</v>
          </cell>
          <cell r="AR155">
            <v>9343.4348160198533</v>
          </cell>
        </row>
        <row r="156">
          <cell r="AK156">
            <v>-25.5</v>
          </cell>
          <cell r="AL156">
            <v>0.1</v>
          </cell>
          <cell r="AM156">
            <v>-75.3</v>
          </cell>
        </row>
        <row r="157">
          <cell r="F157">
            <v>0</v>
          </cell>
          <cell r="P157">
            <v>0</v>
          </cell>
          <cell r="S157">
            <v>0</v>
          </cell>
          <cell r="X157">
            <v>0</v>
          </cell>
          <cell r="AC157">
            <v>0</v>
          </cell>
          <cell r="AI157">
            <v>0</v>
          </cell>
          <cell r="AJ157">
            <v>142</v>
          </cell>
          <cell r="AK157">
            <v>16.923193342793478</v>
          </cell>
          <cell r="AL157">
            <v>-100</v>
          </cell>
          <cell r="AM157">
            <v>-100</v>
          </cell>
        </row>
        <row r="158">
          <cell r="F158">
            <v>320</v>
          </cell>
          <cell r="P158">
            <v>810</v>
          </cell>
          <cell r="S158">
            <v>1487</v>
          </cell>
          <cell r="X158">
            <v>2754</v>
          </cell>
          <cell r="AC158">
            <v>1364</v>
          </cell>
          <cell r="AF158">
            <v>1173</v>
          </cell>
          <cell r="AG158">
            <v>1100</v>
          </cell>
          <cell r="AH158">
            <v>73</v>
          </cell>
          <cell r="AK158">
            <v>0</v>
          </cell>
          <cell r="AL158">
            <v>0</v>
          </cell>
          <cell r="AM158">
            <v>0</v>
          </cell>
          <cell r="AO158">
            <v>3066</v>
          </cell>
          <cell r="AP158">
            <v>3316</v>
          </cell>
          <cell r="AQ158">
            <v>5168.7494313394982</v>
          </cell>
          <cell r="AR158">
            <v>10162.313669924872</v>
          </cell>
        </row>
        <row r="159">
          <cell r="F159">
            <v>320</v>
          </cell>
          <cell r="P159">
            <v>390</v>
          </cell>
          <cell r="S159">
            <v>512</v>
          </cell>
          <cell r="X159">
            <v>2374</v>
          </cell>
          <cell r="AC159">
            <v>1081</v>
          </cell>
          <cell r="AF159">
            <v>560</v>
          </cell>
          <cell r="AG159">
            <v>500</v>
          </cell>
          <cell r="AH159">
            <v>60</v>
          </cell>
          <cell r="AK159">
            <v>-15.2</v>
          </cell>
          <cell r="AL159">
            <v>21.1</v>
          </cell>
          <cell r="AM159">
            <v>-66.2</v>
          </cell>
        </row>
        <row r="160">
          <cell r="F160">
            <v>0</v>
          </cell>
          <cell r="P160">
            <v>0</v>
          </cell>
          <cell r="S160">
            <v>0</v>
          </cell>
          <cell r="V160">
            <v>0</v>
          </cell>
          <cell r="X160">
            <v>0</v>
          </cell>
          <cell r="AA160">
            <v>0</v>
          </cell>
          <cell r="AC160">
            <v>0</v>
          </cell>
          <cell r="AF160">
            <v>125</v>
          </cell>
          <cell r="AG160">
            <v>125</v>
          </cell>
          <cell r="AH160">
            <v>0</v>
          </cell>
          <cell r="AI160">
            <v>210</v>
          </cell>
          <cell r="AK160">
            <v>0</v>
          </cell>
          <cell r="AL160">
            <v>-100</v>
          </cell>
          <cell r="AM160">
            <v>-100</v>
          </cell>
        </row>
        <row r="161">
          <cell r="F161">
            <v>0</v>
          </cell>
          <cell r="P161">
            <v>890</v>
          </cell>
          <cell r="S161">
            <v>1440</v>
          </cell>
          <cell r="V161">
            <v>1070</v>
          </cell>
          <cell r="X161">
            <v>1767.1499999999999</v>
          </cell>
          <cell r="AA161">
            <v>1777</v>
          </cell>
          <cell r="AB161">
            <v>9</v>
          </cell>
          <cell r="AC161">
            <v>768.7</v>
          </cell>
          <cell r="AF161">
            <v>780</v>
          </cell>
          <cell r="AG161">
            <v>780</v>
          </cell>
          <cell r="AH161">
            <v>0</v>
          </cell>
          <cell r="AK161">
            <v>5957</v>
          </cell>
          <cell r="AL161">
            <v>0</v>
          </cell>
          <cell r="AM161">
            <v>0</v>
          </cell>
        </row>
        <row r="162">
          <cell r="F162">
            <v>0</v>
          </cell>
          <cell r="P162">
            <v>700</v>
          </cell>
          <cell r="S162">
            <v>1440</v>
          </cell>
          <cell r="V162">
            <v>1070</v>
          </cell>
          <cell r="X162">
            <v>1694.1499999999999</v>
          </cell>
          <cell r="AA162">
            <v>1639</v>
          </cell>
          <cell r="AF162">
            <v>730</v>
          </cell>
          <cell r="AG162">
            <v>730</v>
          </cell>
          <cell r="AH162">
            <v>0</v>
          </cell>
          <cell r="AK162">
            <v>4849</v>
          </cell>
        </row>
        <row r="163">
          <cell r="F163">
            <v>0</v>
          </cell>
          <cell r="P163">
            <v>190</v>
          </cell>
          <cell r="S163">
            <v>0</v>
          </cell>
          <cell r="V163">
            <v>0</v>
          </cell>
          <cell r="X163">
            <v>0</v>
          </cell>
          <cell r="AA163">
            <v>138</v>
          </cell>
          <cell r="AC163">
            <v>0</v>
          </cell>
          <cell r="AF163">
            <v>50</v>
          </cell>
          <cell r="AG163">
            <v>50</v>
          </cell>
          <cell r="AH163">
            <v>0</v>
          </cell>
          <cell r="AK163">
            <v>378</v>
          </cell>
        </row>
        <row r="164">
          <cell r="F164">
            <v>0</v>
          </cell>
          <cell r="P164">
            <v>100</v>
          </cell>
          <cell r="S164">
            <v>0</v>
          </cell>
          <cell r="V164">
            <v>0</v>
          </cell>
          <cell r="X164">
            <v>890.8</v>
          </cell>
          <cell r="AA164">
            <v>12</v>
          </cell>
          <cell r="AC164">
            <v>1354.7</v>
          </cell>
          <cell r="AF164">
            <v>10</v>
          </cell>
          <cell r="AG164">
            <v>665.35</v>
          </cell>
          <cell r="AH164">
            <v>0</v>
          </cell>
          <cell r="AK164">
            <v>112</v>
          </cell>
        </row>
        <row r="165">
          <cell r="F165">
            <v>0</v>
          </cell>
          <cell r="P165">
            <v>552.5</v>
          </cell>
          <cell r="S165">
            <v>1550.3999999999999</v>
          </cell>
          <cell r="X165">
            <v>693.59999999999991</v>
          </cell>
          <cell r="AC165">
            <v>1292.6500000000001</v>
          </cell>
          <cell r="AF165">
            <v>535.30000000000007</v>
          </cell>
          <cell r="AG165">
            <v>535.30000000000007</v>
          </cell>
          <cell r="AH165">
            <v>0</v>
          </cell>
          <cell r="AK165">
            <v>0</v>
          </cell>
        </row>
        <row r="166">
          <cell r="F166">
            <v>14.170833333333334</v>
          </cell>
          <cell r="P166">
            <v>119</v>
          </cell>
          <cell r="S166">
            <v>187</v>
          </cell>
          <cell r="X166">
            <v>197.2</v>
          </cell>
          <cell r="AC166">
            <v>62.05</v>
          </cell>
          <cell r="AF166">
            <v>130.04999999999998</v>
          </cell>
          <cell r="AG166">
            <v>130.04999999999998</v>
          </cell>
          <cell r="AH166">
            <v>0</v>
          </cell>
          <cell r="AK166">
            <v>14.170833333333334</v>
          </cell>
        </row>
        <row r="167">
          <cell r="F167">
            <v>295</v>
          </cell>
          <cell r="P167">
            <v>168</v>
          </cell>
          <cell r="S167">
            <v>640</v>
          </cell>
          <cell r="V167">
            <v>458.81818181818181</v>
          </cell>
          <cell r="X167">
            <v>154</v>
          </cell>
          <cell r="AA167">
            <v>216.09090909090909</v>
          </cell>
          <cell r="AC167">
            <v>22</v>
          </cell>
          <cell r="AF167">
            <v>300.18181818181819</v>
          </cell>
          <cell r="AG167">
            <v>300</v>
          </cell>
          <cell r="AK167">
            <v>1482.9090909090908</v>
          </cell>
        </row>
        <row r="168">
          <cell r="F168">
            <v>-459</v>
          </cell>
          <cell r="S168">
            <v>800</v>
          </cell>
          <cell r="V168">
            <v>611.18181818181824</v>
          </cell>
          <cell r="X168">
            <v>1433.2409090909091</v>
          </cell>
          <cell r="AA168">
            <v>1560.909090909091</v>
          </cell>
          <cell r="AC168">
            <v>561.88181818181829</v>
          </cell>
          <cell r="AF168">
            <v>0</v>
          </cell>
          <cell r="AG168">
            <v>0</v>
          </cell>
          <cell r="AH168">
            <v>0</v>
          </cell>
          <cell r="AK168">
            <v>2513.090909090909</v>
          </cell>
        </row>
        <row r="169">
          <cell r="F169">
            <v>14.170833333333334</v>
          </cell>
          <cell r="G169">
            <v>11562.099999999999</v>
          </cell>
          <cell r="H169">
            <v>0</v>
          </cell>
          <cell r="P169">
            <v>689</v>
          </cell>
          <cell r="Q169">
            <v>0</v>
          </cell>
          <cell r="R169">
            <v>0</v>
          </cell>
          <cell r="S169">
            <v>1440</v>
          </cell>
          <cell r="T169">
            <v>0</v>
          </cell>
          <cell r="U169">
            <v>0</v>
          </cell>
          <cell r="V169">
            <v>1070</v>
          </cell>
          <cell r="W169">
            <v>0</v>
          </cell>
          <cell r="X169">
            <v>1767.15</v>
          </cell>
          <cell r="Y169">
            <v>17514.503030303029</v>
          </cell>
          <cell r="Z169">
            <v>0</v>
          </cell>
          <cell r="AA169">
            <v>1777</v>
          </cell>
          <cell r="AB169">
            <v>0</v>
          </cell>
          <cell r="AC169">
            <v>768.7</v>
          </cell>
          <cell r="AD169">
            <v>13622.695151515152</v>
          </cell>
          <cell r="AE169">
            <v>0</v>
          </cell>
          <cell r="AF169">
            <v>400</v>
          </cell>
          <cell r="AG169">
            <v>400</v>
          </cell>
          <cell r="AH169">
            <v>0</v>
          </cell>
          <cell r="AI169">
            <v>118.4</v>
          </cell>
          <cell r="AJ169">
            <v>0</v>
          </cell>
          <cell r="AK169">
            <v>14.170833333333334</v>
          </cell>
        </row>
        <row r="170">
          <cell r="F170">
            <v>459</v>
          </cell>
          <cell r="G170">
            <v>11562.099999999999</v>
          </cell>
          <cell r="H170">
            <v>0</v>
          </cell>
          <cell r="P170">
            <v>0</v>
          </cell>
          <cell r="Q170">
            <v>0</v>
          </cell>
          <cell r="R170">
            <v>0</v>
          </cell>
          <cell r="S170">
            <v>0</v>
          </cell>
          <cell r="T170">
            <v>0</v>
          </cell>
          <cell r="U170">
            <v>0</v>
          </cell>
          <cell r="V170">
            <v>0</v>
          </cell>
          <cell r="W170">
            <v>0</v>
          </cell>
          <cell r="X170">
            <v>270.36363636363637</v>
          </cell>
          <cell r="Y170">
            <v>17514.503030303029</v>
          </cell>
          <cell r="Z170">
            <v>0</v>
          </cell>
          <cell r="AA170">
            <v>0</v>
          </cell>
          <cell r="AB170">
            <v>0</v>
          </cell>
          <cell r="AC170">
            <v>179.90909090909091</v>
          </cell>
          <cell r="AD170">
            <v>13622.695151515152</v>
          </cell>
          <cell r="AE170">
            <v>0</v>
          </cell>
          <cell r="AF170">
            <v>297.72727272727275</v>
          </cell>
          <cell r="AG170">
            <v>298</v>
          </cell>
          <cell r="AH170">
            <v>0</v>
          </cell>
          <cell r="AI170">
            <v>118.4</v>
          </cell>
          <cell r="AJ170">
            <v>0</v>
          </cell>
          <cell r="AK170">
            <v>459</v>
          </cell>
        </row>
        <row r="171">
          <cell r="F171">
            <v>-459</v>
          </cell>
          <cell r="G171">
            <v>0</v>
          </cell>
          <cell r="H171">
            <v>0</v>
          </cell>
          <cell r="P171">
            <v>0</v>
          </cell>
          <cell r="R171">
            <v>0</v>
          </cell>
          <cell r="S171">
            <v>0</v>
          </cell>
          <cell r="T171">
            <v>0</v>
          </cell>
          <cell r="U171">
            <v>0</v>
          </cell>
          <cell r="V171">
            <v>0</v>
          </cell>
          <cell r="W171">
            <v>0</v>
          </cell>
          <cell r="X171">
            <v>620.43636363636358</v>
          </cell>
          <cell r="Y171">
            <v>0</v>
          </cell>
          <cell r="Z171">
            <v>0</v>
          </cell>
          <cell r="AA171">
            <v>0</v>
          </cell>
          <cell r="AB171">
            <v>0</v>
          </cell>
          <cell r="AC171">
            <v>1174.7909090909091</v>
          </cell>
          <cell r="AE171">
            <v>0</v>
          </cell>
          <cell r="AF171">
            <v>0</v>
          </cell>
          <cell r="AG171">
            <v>0</v>
          </cell>
          <cell r="AH171">
            <v>0</v>
          </cell>
          <cell r="AI171">
            <v>0</v>
          </cell>
          <cell r="AJ171">
            <v>0</v>
          </cell>
          <cell r="AK171">
            <v>0</v>
          </cell>
        </row>
        <row r="172">
          <cell r="F172">
            <v>0</v>
          </cell>
          <cell r="G172">
            <v>0</v>
          </cell>
          <cell r="H172">
            <v>0</v>
          </cell>
          <cell r="P172">
            <v>830</v>
          </cell>
          <cell r="Q172">
            <v>0</v>
          </cell>
          <cell r="R172">
            <v>0</v>
          </cell>
          <cell r="S172">
            <v>3176</v>
          </cell>
          <cell r="T172">
            <v>0</v>
          </cell>
          <cell r="U172">
            <v>0</v>
          </cell>
          <cell r="V172">
            <v>80</v>
          </cell>
          <cell r="W172">
            <v>14347.131818181819</v>
          </cell>
          <cell r="X172">
            <v>0</v>
          </cell>
          <cell r="Y172">
            <v>0</v>
          </cell>
          <cell r="Z172">
            <v>0</v>
          </cell>
          <cell r="AA172">
            <v>300</v>
          </cell>
          <cell r="AB172">
            <v>0</v>
          </cell>
          <cell r="AC172">
            <v>0</v>
          </cell>
          <cell r="AD172">
            <v>12866.875151515153</v>
          </cell>
          <cell r="AE172">
            <v>0</v>
          </cell>
          <cell r="AF172">
            <v>554</v>
          </cell>
          <cell r="AG172">
            <v>554</v>
          </cell>
          <cell r="AH172">
            <v>0</v>
          </cell>
          <cell r="AK172">
            <v>4982</v>
          </cell>
        </row>
        <row r="173">
          <cell r="F173">
            <v>0</v>
          </cell>
          <cell r="G173">
            <v>0</v>
          </cell>
          <cell r="H173">
            <v>0</v>
          </cell>
          <cell r="P173">
            <v>830</v>
          </cell>
          <cell r="Q173">
            <v>0</v>
          </cell>
          <cell r="R173">
            <v>0</v>
          </cell>
          <cell r="S173">
            <v>3176</v>
          </cell>
          <cell r="T173">
            <v>0</v>
          </cell>
          <cell r="U173">
            <v>0</v>
          </cell>
          <cell r="V173">
            <v>80</v>
          </cell>
          <cell r="W173">
            <v>14347.131818181819</v>
          </cell>
          <cell r="X173">
            <v>0</v>
          </cell>
          <cell r="Y173">
            <v>0</v>
          </cell>
          <cell r="Z173">
            <v>0</v>
          </cell>
          <cell r="AA173">
            <v>300</v>
          </cell>
          <cell r="AB173">
            <v>0</v>
          </cell>
          <cell r="AC173">
            <v>0</v>
          </cell>
          <cell r="AD173">
            <v>12866.875151515153</v>
          </cell>
          <cell r="AE173">
            <v>0</v>
          </cell>
          <cell r="AF173">
            <v>554</v>
          </cell>
          <cell r="AG173">
            <v>554</v>
          </cell>
          <cell r="AH173">
            <v>0</v>
          </cell>
          <cell r="AK173">
            <v>4982</v>
          </cell>
        </row>
        <row r="174">
          <cell r="F174">
            <v>0</v>
          </cell>
          <cell r="G174">
            <v>0</v>
          </cell>
          <cell r="H174">
            <v>0</v>
          </cell>
          <cell r="P174">
            <v>0</v>
          </cell>
          <cell r="R174">
            <v>0</v>
          </cell>
          <cell r="S174">
            <v>0</v>
          </cell>
          <cell r="T174">
            <v>0</v>
          </cell>
          <cell r="U174">
            <v>0</v>
          </cell>
          <cell r="V174">
            <v>0</v>
          </cell>
          <cell r="W174">
            <v>0</v>
          </cell>
          <cell r="X174">
            <v>0</v>
          </cell>
          <cell r="Y174">
            <v>0</v>
          </cell>
          <cell r="Z174">
            <v>0</v>
          </cell>
          <cell r="AA174">
            <v>0</v>
          </cell>
          <cell r="AB174">
            <v>0</v>
          </cell>
          <cell r="AC174">
            <v>0</v>
          </cell>
          <cell r="AE174">
            <v>0</v>
          </cell>
          <cell r="AF174">
            <v>0</v>
          </cell>
          <cell r="AG174">
            <v>0</v>
          </cell>
          <cell r="AH174">
            <v>0</v>
          </cell>
          <cell r="AK174">
            <v>0</v>
          </cell>
        </row>
        <row r="175">
          <cell r="F175">
            <v>0</v>
          </cell>
          <cell r="G175">
            <v>0</v>
          </cell>
          <cell r="H175">
            <v>0</v>
          </cell>
          <cell r="P175">
            <v>1687</v>
          </cell>
          <cell r="Q175">
            <v>0</v>
          </cell>
          <cell r="R175">
            <v>0</v>
          </cell>
          <cell r="S175">
            <v>4262</v>
          </cell>
          <cell r="T175">
            <v>0</v>
          </cell>
          <cell r="U175">
            <v>0</v>
          </cell>
          <cell r="V175">
            <v>0</v>
          </cell>
          <cell r="W175">
            <v>0</v>
          </cell>
          <cell r="X175">
            <v>85</v>
          </cell>
          <cell r="Y175">
            <v>0</v>
          </cell>
          <cell r="Z175">
            <v>0</v>
          </cell>
          <cell r="AA175">
            <v>0</v>
          </cell>
          <cell r="AB175">
            <v>0</v>
          </cell>
          <cell r="AC175">
            <v>60</v>
          </cell>
          <cell r="AF175">
            <v>-904.4</v>
          </cell>
          <cell r="AG175">
            <v>0</v>
          </cell>
          <cell r="AH175">
            <v>-904.4</v>
          </cell>
          <cell r="AJ175">
            <v>0</v>
          </cell>
          <cell r="AK175">
            <v>0</v>
          </cell>
          <cell r="AO175">
            <v>391</v>
          </cell>
          <cell r="AP175">
            <v>558</v>
          </cell>
          <cell r="AQ175">
            <v>897.62000000000012</v>
          </cell>
          <cell r="AR175">
            <v>1862.3963636363642</v>
          </cell>
        </row>
        <row r="176">
          <cell r="F176">
            <v>-1308</v>
          </cell>
          <cell r="G176">
            <v>0</v>
          </cell>
          <cell r="H176">
            <v>0</v>
          </cell>
          <cell r="P176">
            <v>1687</v>
          </cell>
          <cell r="Q176">
            <v>0</v>
          </cell>
          <cell r="R176">
            <v>0</v>
          </cell>
          <cell r="S176">
            <v>4262</v>
          </cell>
          <cell r="T176">
            <v>0</v>
          </cell>
          <cell r="U176">
            <v>0</v>
          </cell>
          <cell r="V176">
            <v>0</v>
          </cell>
          <cell r="W176">
            <v>0</v>
          </cell>
          <cell r="X176">
            <v>85</v>
          </cell>
          <cell r="Y176">
            <v>0</v>
          </cell>
          <cell r="Z176">
            <v>0</v>
          </cell>
          <cell r="AA176">
            <v>0</v>
          </cell>
          <cell r="AB176">
            <v>0</v>
          </cell>
          <cell r="AC176">
            <v>60</v>
          </cell>
          <cell r="AD176">
            <v>123</v>
          </cell>
          <cell r="AE176">
            <v>83.818181818181813</v>
          </cell>
          <cell r="AF176">
            <v>-904.4</v>
          </cell>
          <cell r="AG176">
            <v>0</v>
          </cell>
          <cell r="AH176">
            <v>-904.4</v>
          </cell>
          <cell r="AK176">
            <v>0</v>
          </cell>
        </row>
        <row r="177">
          <cell r="F177">
            <v>3400</v>
          </cell>
          <cell r="G177">
            <v>0</v>
          </cell>
          <cell r="H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F177">
            <v>0</v>
          </cell>
          <cell r="AG177">
            <v>0</v>
          </cell>
          <cell r="AH177">
            <v>0</v>
          </cell>
          <cell r="AI177">
            <v>0</v>
          </cell>
          <cell r="AJ177">
            <v>0</v>
          </cell>
          <cell r="AK177">
            <v>3400</v>
          </cell>
          <cell r="AO177">
            <v>538</v>
          </cell>
          <cell r="AP177">
            <v>293</v>
          </cell>
          <cell r="AQ177">
            <v>76.587126137841352</v>
          </cell>
          <cell r="AR177">
            <v>30.079540528825305</v>
          </cell>
        </row>
        <row r="178">
          <cell r="F178">
            <v>426</v>
          </cell>
          <cell r="P178">
            <v>920.62</v>
          </cell>
          <cell r="Q178">
            <v>0</v>
          </cell>
          <cell r="R178">
            <v>0</v>
          </cell>
          <cell r="S178">
            <v>2085.52</v>
          </cell>
          <cell r="T178">
            <v>707.75479999999993</v>
          </cell>
          <cell r="U178">
            <v>735.76520000000005</v>
          </cell>
          <cell r="V178">
            <v>721.95</v>
          </cell>
          <cell r="W178">
            <v>0</v>
          </cell>
          <cell r="X178">
            <v>745.15</v>
          </cell>
          <cell r="Y178">
            <v>0</v>
          </cell>
          <cell r="Z178">
            <v>0</v>
          </cell>
          <cell r="AA178">
            <v>597.66</v>
          </cell>
          <cell r="AB178">
            <v>0</v>
          </cell>
          <cell r="AC178">
            <v>606.86</v>
          </cell>
          <cell r="AF178">
            <v>1861.06</v>
          </cell>
          <cell r="AG178">
            <v>1632.3</v>
          </cell>
          <cell r="AH178">
            <v>228.75999999999993</v>
          </cell>
          <cell r="AK178">
            <v>6874.05</v>
          </cell>
          <cell r="AO178">
            <v>396</v>
          </cell>
          <cell r="AP178">
            <v>467</v>
          </cell>
          <cell r="AQ178">
            <v>1039.6199999999999</v>
          </cell>
          <cell r="AR178">
            <v>2063.5209090909093</v>
          </cell>
        </row>
        <row r="179">
          <cell r="F179">
            <v>0</v>
          </cell>
          <cell r="G179">
            <v>0</v>
          </cell>
          <cell r="H179">
            <v>0</v>
          </cell>
          <cell r="P179">
            <v>168</v>
          </cell>
          <cell r="Q179">
            <v>0</v>
          </cell>
          <cell r="R179">
            <v>0</v>
          </cell>
          <cell r="S179">
            <v>640</v>
          </cell>
          <cell r="T179">
            <v>0</v>
          </cell>
          <cell r="U179">
            <v>0</v>
          </cell>
          <cell r="V179">
            <v>458.81818181818181</v>
          </cell>
          <cell r="W179">
            <v>373</v>
          </cell>
          <cell r="X179">
            <v>85.818181818181813</v>
          </cell>
          <cell r="Y179">
            <v>0</v>
          </cell>
          <cell r="Z179">
            <v>0</v>
          </cell>
          <cell r="AA179">
            <v>216.09090909090909</v>
          </cell>
          <cell r="AB179">
            <v>172</v>
          </cell>
          <cell r="AC179">
            <v>44.090909090909093</v>
          </cell>
          <cell r="AD179">
            <v>148</v>
          </cell>
          <cell r="AE179">
            <v>58.818181818181813</v>
          </cell>
          <cell r="AF179">
            <v>300.18181818181819</v>
          </cell>
          <cell r="AG179">
            <v>300</v>
          </cell>
          <cell r="AH179">
            <v>0.18181818181818699</v>
          </cell>
          <cell r="AK179">
            <v>0</v>
          </cell>
        </row>
        <row r="180">
          <cell r="F180">
            <v>25</v>
          </cell>
          <cell r="P180">
            <v>2</v>
          </cell>
          <cell r="Q180">
            <v>0</v>
          </cell>
          <cell r="R180">
            <v>0</v>
          </cell>
          <cell r="S180">
            <v>17</v>
          </cell>
          <cell r="T180">
            <v>10</v>
          </cell>
          <cell r="U180">
            <v>0</v>
          </cell>
          <cell r="V180">
            <v>781</v>
          </cell>
          <cell r="W180">
            <v>0</v>
          </cell>
          <cell r="X180">
            <v>449</v>
          </cell>
          <cell r="Y180">
            <v>0</v>
          </cell>
          <cell r="Z180">
            <v>0</v>
          </cell>
          <cell r="AA180">
            <v>13.333333333333334</v>
          </cell>
          <cell r="AB180">
            <v>0</v>
          </cell>
          <cell r="AC180">
            <v>274.33333333333331</v>
          </cell>
          <cell r="AF180">
            <v>15</v>
          </cell>
          <cell r="AG180">
            <v>15</v>
          </cell>
          <cell r="AH180">
            <v>0</v>
          </cell>
          <cell r="AK180">
            <v>-3357.1339393939384</v>
          </cell>
          <cell r="AO180">
            <v>644</v>
          </cell>
          <cell r="AP180">
            <v>156</v>
          </cell>
          <cell r="AQ180">
            <v>20.261173184357546</v>
          </cell>
          <cell r="AR180">
            <v>33.072160148975826</v>
          </cell>
        </row>
        <row r="181">
          <cell r="F181">
            <v>684.2</v>
          </cell>
          <cell r="P181">
            <v>835.62</v>
          </cell>
          <cell r="Q181">
            <v>0</v>
          </cell>
          <cell r="R181">
            <v>0</v>
          </cell>
          <cell r="S181">
            <v>1895.42</v>
          </cell>
          <cell r="T181">
            <v>644.3785272727273</v>
          </cell>
          <cell r="U181">
            <v>670.49601818181827</v>
          </cell>
          <cell r="V181">
            <v>0</v>
          </cell>
          <cell r="W181">
            <v>0</v>
          </cell>
          <cell r="X181">
            <v>640.75</v>
          </cell>
          <cell r="AA181">
            <v>0</v>
          </cell>
          <cell r="AB181">
            <v>0</v>
          </cell>
          <cell r="AC181">
            <v>534.76</v>
          </cell>
          <cell r="AF181">
            <v>1724.76</v>
          </cell>
          <cell r="AG181">
            <v>1494</v>
          </cell>
          <cell r="AH181">
            <v>230.75999999999996</v>
          </cell>
          <cell r="AK181">
            <v>6562.75</v>
          </cell>
          <cell r="AO181">
            <v>378</v>
          </cell>
          <cell r="AP181">
            <v>513</v>
          </cell>
          <cell r="AQ181">
            <v>1046.6199999999999</v>
          </cell>
          <cell r="AR181">
            <v>2020.3118181818186</v>
          </cell>
        </row>
        <row r="182">
          <cell r="F182">
            <v>0</v>
          </cell>
          <cell r="G182">
            <v>0</v>
          </cell>
          <cell r="H182">
            <v>0</v>
          </cell>
          <cell r="P182">
            <v>196</v>
          </cell>
          <cell r="Q182">
            <v>0</v>
          </cell>
          <cell r="R182">
            <v>0</v>
          </cell>
          <cell r="S182">
            <v>580.5454545454545</v>
          </cell>
          <cell r="T182">
            <v>0</v>
          </cell>
          <cell r="U182">
            <v>0</v>
          </cell>
          <cell r="V182">
            <v>0</v>
          </cell>
          <cell r="W182">
            <v>0</v>
          </cell>
          <cell r="X182">
            <v>270.36363636363637</v>
          </cell>
          <cell r="Y182">
            <v>200</v>
          </cell>
          <cell r="Z182">
            <v>70.363636363636374</v>
          </cell>
          <cell r="AA182">
            <v>0</v>
          </cell>
          <cell r="AB182">
            <v>0</v>
          </cell>
          <cell r="AC182">
            <v>179.90909090909091</v>
          </cell>
          <cell r="AF182">
            <v>297.72727272727275</v>
          </cell>
          <cell r="AG182">
            <v>298</v>
          </cell>
          <cell r="AH182">
            <v>-0.27272727272728048</v>
          </cell>
        </row>
        <row r="183">
          <cell r="F183">
            <v>14450</v>
          </cell>
          <cell r="P183">
            <v>527.99999999999989</v>
          </cell>
          <cell r="Q183">
            <v>0</v>
          </cell>
          <cell r="R183">
            <v>0</v>
          </cell>
          <cell r="S183">
            <v>2345.0000000000005</v>
          </cell>
          <cell r="T183">
            <v>10</v>
          </cell>
          <cell r="U183">
            <v>0</v>
          </cell>
          <cell r="V183">
            <v>382.00000000000051</v>
          </cell>
          <cell r="W183">
            <v>0</v>
          </cell>
          <cell r="X183">
            <v>206.66666666666666</v>
          </cell>
          <cell r="AA183">
            <v>237.66666666666663</v>
          </cell>
          <cell r="AB183">
            <v>0</v>
          </cell>
          <cell r="AC183">
            <v>13.333333333333334</v>
          </cell>
          <cell r="AF183">
            <v>1556.9999999999998</v>
          </cell>
          <cell r="AG183">
            <v>937.00000000000023</v>
          </cell>
          <cell r="AH183">
            <v>620</v>
          </cell>
          <cell r="AK183">
            <v>-2005.1295454545448</v>
          </cell>
          <cell r="AO183">
            <v>160</v>
          </cell>
          <cell r="AP183">
            <v>1507.2</v>
          </cell>
          <cell r="AQ183">
            <v>85.94410774410774</v>
          </cell>
          <cell r="AR183">
            <v>87.055892255892232</v>
          </cell>
        </row>
        <row r="184">
          <cell r="F184" t="str">
            <v>АПАРАТ ВСЬОГО</v>
          </cell>
          <cell r="G184" t="str">
            <v>АПАРАТ ЕЛЕКТРО</v>
          </cell>
          <cell r="H184" t="str">
            <v>АПАРАТ ТЕПЛО</v>
          </cell>
          <cell r="P184" t="str">
            <v>ККМ</v>
          </cell>
          <cell r="S184" t="str">
            <v>КТМ</v>
          </cell>
          <cell r="X184" t="str">
            <v>ТЕЦ-5 ВСЬОГО</v>
          </cell>
          <cell r="Y184" t="str">
            <v>Е/Е</v>
          </cell>
          <cell r="Z184" t="str">
            <v xml:space="preserve"> Т/Е</v>
          </cell>
          <cell r="AC184" t="str">
            <v>ТЕЦ-6 ВСЬОГО</v>
          </cell>
          <cell r="AD184" t="str">
            <v>Е/Е</v>
          </cell>
          <cell r="AE184" t="str">
            <v xml:space="preserve"> Т/Е</v>
          </cell>
          <cell r="AF184" t="str">
            <v>Е/Е</v>
          </cell>
          <cell r="AG184" t="str">
            <v xml:space="preserve"> Т/Е</v>
          </cell>
          <cell r="AI184" t="str">
            <v xml:space="preserve">ДОП.ВИР. </v>
          </cell>
          <cell r="AJ184" t="str">
            <v>ДОП.ВИР. СТ.ОРГ.</v>
          </cell>
          <cell r="AK184" t="str">
            <v>АК КЕ ВСЬОГО</v>
          </cell>
          <cell r="AL184" t="str">
            <v>Е/Е</v>
          </cell>
          <cell r="AM184" t="str">
            <v xml:space="preserve"> Т/Е</v>
          </cell>
          <cell r="AO184" t="str">
            <v>ОЧИК.18.02.</v>
          </cell>
          <cell r="AP184" t="str">
            <v>СТАНЦІІ ТЕПЛОВІ</v>
          </cell>
          <cell r="AQ184" t="str">
            <v>МЕРЕЖІ ЕЛЕКТРО</v>
          </cell>
          <cell r="AR184" t="str">
            <v>МЕРЕЖІ ТЕПЛОВІ</v>
          </cell>
        </row>
        <row r="186">
          <cell r="F186">
            <v>12898</v>
          </cell>
          <cell r="P186">
            <v>461.99999999999989</v>
          </cell>
          <cell r="S186">
            <v>-2490.3333333333335</v>
          </cell>
          <cell r="X186">
            <v>388.99999999999909</v>
          </cell>
          <cell r="AC186">
            <v>-29.333333333333883</v>
          </cell>
          <cell r="AF186">
            <v>2500.0666666666662</v>
          </cell>
          <cell r="AG186">
            <v>1381</v>
          </cell>
          <cell r="AH186">
            <v>1088.0666666666666</v>
          </cell>
          <cell r="AP186">
            <v>1507.2</v>
          </cell>
        </row>
        <row r="187">
          <cell r="F187" t="str">
            <v>АПАРАТ ВСЬОГО</v>
          </cell>
          <cell r="G187" t="str">
            <v>АПАРАТ ЕЛЕКТРО</v>
          </cell>
          <cell r="H187" t="str">
            <v>АПАРАТ ТЕПЛО</v>
          </cell>
          <cell r="P187" t="str">
            <v>ККМ</v>
          </cell>
          <cell r="S187" t="str">
            <v>КТМ</v>
          </cell>
          <cell r="V187" t="str">
            <v>ТЕЦ-5 ВСЬОГО</v>
          </cell>
          <cell r="W187" t="str">
            <v>Е/Е</v>
          </cell>
          <cell r="X187" t="str">
            <v xml:space="preserve"> Т/Е</v>
          </cell>
          <cell r="Y187" t="str">
            <v>Е/Е</v>
          </cell>
          <cell r="Z187" t="str">
            <v xml:space="preserve"> Т/Е</v>
          </cell>
          <cell r="AA187" t="str">
            <v>ТЕЦ-6 ВСЬОГО</v>
          </cell>
          <cell r="AB187" t="str">
            <v>Е/Е</v>
          </cell>
          <cell r="AC187" t="str">
            <v xml:space="preserve"> Т/Е</v>
          </cell>
          <cell r="AD187" t="str">
            <v>Е/Е</v>
          </cell>
          <cell r="AE187" t="str">
            <v xml:space="preserve"> Т/Е</v>
          </cell>
          <cell r="AF187" t="str">
            <v>Е/Е</v>
          </cell>
          <cell r="AG187" t="str">
            <v xml:space="preserve"> Т/Е</v>
          </cell>
          <cell r="AK187" t="str">
            <v>АК КЕ ВСЬОГО</v>
          </cell>
          <cell r="AL187" t="str">
            <v>Е/Е</v>
          </cell>
          <cell r="AM187" t="str">
            <v xml:space="preserve"> Т/Е</v>
          </cell>
          <cell r="AO187" t="str">
            <v>СТАНЦІї ЕЛЕКТРО</v>
          </cell>
          <cell r="AP187" t="str">
            <v>СТАНЦІІ ТЕПЛОВІ</v>
          </cell>
          <cell r="AQ187" t="str">
            <v>МЕРЕЖІ ЕЛЕКТРО</v>
          </cell>
          <cell r="AR187" t="str">
            <v>МЕРЕЖІ ТЕПЛОВІ</v>
          </cell>
        </row>
        <row r="188">
          <cell r="S188">
            <v>16.899999999999999</v>
          </cell>
          <cell r="X188">
            <v>74</v>
          </cell>
          <cell r="AC188">
            <v>62.9</v>
          </cell>
          <cell r="AK188">
            <v>153.80000000000001</v>
          </cell>
          <cell r="AO188">
            <v>252.49999999999997</v>
          </cell>
        </row>
        <row r="189">
          <cell r="P189">
            <v>0</v>
          </cell>
          <cell r="S189">
            <v>0</v>
          </cell>
          <cell r="X189">
            <v>0</v>
          </cell>
          <cell r="AC189">
            <v>0</v>
          </cell>
          <cell r="AO189">
            <v>66</v>
          </cell>
        </row>
        <row r="190">
          <cell r="F190" t="str">
            <v>АПАРАТ ВСЬОГО</v>
          </cell>
          <cell r="G190" t="str">
            <v>АПАРАТ ЕЛЕКТРО</v>
          </cell>
          <cell r="H190" t="str">
            <v>АПАРАТ ТЕПЛО</v>
          </cell>
          <cell r="P190" t="str">
            <v>ККМ</v>
          </cell>
          <cell r="S190">
            <v>11.3</v>
          </cell>
          <cell r="V190">
            <v>58.7</v>
          </cell>
          <cell r="X190" t="str">
            <v>ТЕЦ-5 ВСЬОГО</v>
          </cell>
          <cell r="Y190" t="str">
            <v>Е/Е</v>
          </cell>
          <cell r="Z190" t="str">
            <v xml:space="preserve"> Т/Е</v>
          </cell>
          <cell r="AA190">
            <v>55</v>
          </cell>
          <cell r="AC190" t="str">
            <v>ТЕЦ-6 ВСЬОГО</v>
          </cell>
          <cell r="AF190" t="str">
            <v>Е/Е</v>
          </cell>
          <cell r="AG190" t="str">
            <v xml:space="preserve"> Т/Е</v>
          </cell>
          <cell r="AK190">
            <v>125</v>
          </cell>
          <cell r="AL190" t="str">
            <v>Е/Е</v>
          </cell>
          <cell r="AM190" t="str">
            <v xml:space="preserve"> Т/Е</v>
          </cell>
          <cell r="AO190">
            <v>221.49122807017542</v>
          </cell>
          <cell r="AP190" t="str">
            <v>СТАНЦІІ ТЕПЛОВІ</v>
          </cell>
          <cell r="AQ190" t="str">
            <v>МЕРЕЖІ ЕЛЕКТРО</v>
          </cell>
          <cell r="AR190" t="str">
            <v>МЕРЕЖІ ТЕПЛОВІ</v>
          </cell>
        </row>
        <row r="191">
          <cell r="S191">
            <v>12.9</v>
          </cell>
          <cell r="V191">
            <v>67.3</v>
          </cell>
          <cell r="X191">
            <v>73.5</v>
          </cell>
          <cell r="AA191">
            <v>63</v>
          </cell>
          <cell r="AC191">
            <v>61.7</v>
          </cell>
          <cell r="AK191">
            <v>143.20000000000002</v>
          </cell>
          <cell r="AO191">
            <v>252.49999999999997</v>
          </cell>
        </row>
        <row r="192">
          <cell r="P192">
            <v>0</v>
          </cell>
          <cell r="S192">
            <v>0</v>
          </cell>
          <cell r="V192">
            <v>0</v>
          </cell>
          <cell r="X192">
            <v>0</v>
          </cell>
          <cell r="AA192">
            <v>0</v>
          </cell>
          <cell r="AC192">
            <v>0</v>
          </cell>
          <cell r="AK192">
            <v>25873</v>
          </cell>
          <cell r="AO192">
            <v>66</v>
          </cell>
        </row>
        <row r="193">
          <cell r="P193">
            <v>0</v>
          </cell>
          <cell r="S193">
            <v>192.5</v>
          </cell>
          <cell r="V193">
            <v>192.5</v>
          </cell>
          <cell r="X193">
            <v>65.3</v>
          </cell>
          <cell r="AA193">
            <v>192.5</v>
          </cell>
          <cell r="AC193">
            <v>58</v>
          </cell>
          <cell r="AK193">
            <v>192.5</v>
          </cell>
          <cell r="AO193">
            <v>0</v>
          </cell>
        </row>
        <row r="194">
          <cell r="S194">
            <v>2175</v>
          </cell>
          <cell r="V194">
            <v>11300</v>
          </cell>
          <cell r="X194">
            <v>74.7</v>
          </cell>
          <cell r="AA194">
            <v>10588</v>
          </cell>
          <cell r="AC194">
            <v>66.5</v>
          </cell>
          <cell r="AK194">
            <v>24063</v>
          </cell>
          <cell r="AO194">
            <v>0</v>
          </cell>
        </row>
        <row r="195">
          <cell r="P195">
            <v>0</v>
          </cell>
          <cell r="S195">
            <v>0</v>
          </cell>
          <cell r="X195">
            <v>0</v>
          </cell>
          <cell r="AC195">
            <v>0</v>
          </cell>
          <cell r="AK195">
            <v>24063</v>
          </cell>
          <cell r="AO195">
            <v>66</v>
          </cell>
        </row>
        <row r="196">
          <cell r="P196">
            <v>0</v>
          </cell>
          <cell r="S196">
            <v>192.5</v>
          </cell>
          <cell r="V196">
            <v>0</v>
          </cell>
          <cell r="X196">
            <v>192.5</v>
          </cell>
          <cell r="AA196">
            <v>0</v>
          </cell>
          <cell r="AC196">
            <v>192.5</v>
          </cell>
          <cell r="AK196">
            <v>0</v>
          </cell>
          <cell r="AO196">
            <v>0</v>
          </cell>
        </row>
        <row r="197">
          <cell r="S197">
            <v>1232</v>
          </cell>
          <cell r="V197">
            <v>0</v>
          </cell>
          <cell r="X197">
            <v>12570</v>
          </cell>
          <cell r="AA197">
            <v>0</v>
          </cell>
          <cell r="AC197">
            <v>11165</v>
          </cell>
          <cell r="AK197">
            <v>0</v>
          </cell>
          <cell r="AO197">
            <v>0</v>
          </cell>
        </row>
        <row r="198">
          <cell r="V198">
            <v>82.5</v>
          </cell>
          <cell r="X198">
            <v>82.5</v>
          </cell>
          <cell r="AA198">
            <v>82.5</v>
          </cell>
          <cell r="AC198">
            <v>82.5</v>
          </cell>
          <cell r="AK198">
            <v>24967</v>
          </cell>
        </row>
        <row r="199">
          <cell r="V199">
            <v>0</v>
          </cell>
          <cell r="X199">
            <v>0</v>
          </cell>
          <cell r="AA199">
            <v>0</v>
          </cell>
          <cell r="AC199">
            <v>0</v>
          </cell>
          <cell r="AK199">
            <v>0</v>
          </cell>
          <cell r="AO199">
            <v>75.839416058394164</v>
          </cell>
        </row>
        <row r="200">
          <cell r="S200">
            <v>0</v>
          </cell>
          <cell r="V200">
            <v>0</v>
          </cell>
          <cell r="X200">
            <v>0</v>
          </cell>
          <cell r="AA200">
            <v>0</v>
          </cell>
          <cell r="AC200">
            <v>0</v>
          </cell>
          <cell r="AK200">
            <v>0</v>
          </cell>
          <cell r="AO200">
            <v>103.9</v>
          </cell>
        </row>
        <row r="201">
          <cell r="F201">
            <v>75</v>
          </cell>
          <cell r="P201">
            <v>75</v>
          </cell>
          <cell r="X201">
            <v>82.5</v>
          </cell>
          <cell r="AC201">
            <v>82.5</v>
          </cell>
          <cell r="AJ201">
            <v>0</v>
          </cell>
          <cell r="AO201" t="e">
            <v>#DIV/0!</v>
          </cell>
          <cell r="AR201">
            <v>75</v>
          </cell>
        </row>
        <row r="202">
          <cell r="S202">
            <v>385</v>
          </cell>
          <cell r="V202">
            <v>0</v>
          </cell>
          <cell r="X202">
            <v>0</v>
          </cell>
          <cell r="AA202">
            <v>0</v>
          </cell>
          <cell r="AC202">
            <v>0</v>
          </cell>
          <cell r="AK202">
            <v>0</v>
          </cell>
          <cell r="AO202">
            <v>75.839416058394164</v>
          </cell>
        </row>
        <row r="203">
          <cell r="S203">
            <v>0</v>
          </cell>
          <cell r="V203">
            <v>0</v>
          </cell>
          <cell r="X203">
            <v>0</v>
          </cell>
          <cell r="AA203">
            <v>0</v>
          </cell>
          <cell r="AC203">
            <v>0</v>
          </cell>
          <cell r="AK203">
            <v>0</v>
          </cell>
          <cell r="AO203">
            <v>103.9</v>
          </cell>
        </row>
        <row r="204">
          <cell r="F204">
            <v>75</v>
          </cell>
          <cell r="P204">
            <v>75</v>
          </cell>
          <cell r="AK204">
            <v>0</v>
          </cell>
          <cell r="AO204" t="e">
            <v>#DIV/0!</v>
          </cell>
          <cell r="AR204">
            <v>75</v>
          </cell>
        </row>
        <row r="205">
          <cell r="S205">
            <v>385</v>
          </cell>
          <cell r="V205">
            <v>385</v>
          </cell>
          <cell r="X205">
            <v>0</v>
          </cell>
          <cell r="Y205">
            <v>48.4</v>
          </cell>
          <cell r="Z205">
            <v>25.6</v>
          </cell>
          <cell r="AA205">
            <v>385</v>
          </cell>
          <cell r="AC205">
            <v>0</v>
          </cell>
          <cell r="AD205">
            <v>37.299999999999997</v>
          </cell>
          <cell r="AE205">
            <v>25.6</v>
          </cell>
          <cell r="AK205">
            <v>385</v>
          </cell>
          <cell r="AL205">
            <v>85.699999999999989</v>
          </cell>
          <cell r="AM205">
            <v>68.099999999999994</v>
          </cell>
          <cell r="AO205">
            <v>195.28</v>
          </cell>
          <cell r="AP205">
            <v>74.900000000000006</v>
          </cell>
          <cell r="AQ205">
            <v>281.5</v>
          </cell>
        </row>
        <row r="206">
          <cell r="S206">
            <v>0</v>
          </cell>
          <cell r="V206">
            <v>0</v>
          </cell>
          <cell r="X206">
            <v>0</v>
          </cell>
          <cell r="Y206">
            <v>8146</v>
          </cell>
          <cell r="Z206">
            <v>4309</v>
          </cell>
          <cell r="AA206">
            <v>0</v>
          </cell>
          <cell r="AC206">
            <v>0</v>
          </cell>
          <cell r="AD206">
            <v>6279</v>
          </cell>
          <cell r="AE206">
            <v>4309</v>
          </cell>
          <cell r="AK206">
            <v>0</v>
          </cell>
          <cell r="AL206">
            <v>14425</v>
          </cell>
          <cell r="AM206">
            <v>11448</v>
          </cell>
          <cell r="AO206">
            <v>14810</v>
          </cell>
          <cell r="AP206">
            <v>3112.427048260382</v>
          </cell>
          <cell r="AQ206">
            <v>11697.572951739618</v>
          </cell>
        </row>
        <row r="207">
          <cell r="F207">
            <v>75</v>
          </cell>
          <cell r="P207">
            <v>75</v>
          </cell>
          <cell r="S207">
            <v>167.46</v>
          </cell>
          <cell r="X207">
            <v>168.31</v>
          </cell>
          <cell r="Y207">
            <v>168.31</v>
          </cell>
          <cell r="Z207">
            <v>168.32</v>
          </cell>
          <cell r="AC207">
            <v>168.33</v>
          </cell>
          <cell r="AD207">
            <v>168.34</v>
          </cell>
          <cell r="AE207">
            <v>168.32</v>
          </cell>
          <cell r="AI207">
            <v>0</v>
          </cell>
          <cell r="AJ207">
            <v>0</v>
          </cell>
          <cell r="AK207">
            <v>0</v>
          </cell>
          <cell r="AL207">
            <v>168.32</v>
          </cell>
          <cell r="AM207">
            <v>168.11</v>
          </cell>
          <cell r="AO207" t="e">
            <v>#DIV/0!</v>
          </cell>
          <cell r="AP207">
            <v>41.55</v>
          </cell>
          <cell r="AQ207">
            <v>41.55</v>
          </cell>
          <cell r="AR207">
            <v>75</v>
          </cell>
        </row>
        <row r="208">
          <cell r="S208">
            <v>12.9</v>
          </cell>
          <cell r="V208">
            <v>67.3</v>
          </cell>
          <cell r="W208">
            <v>54.6</v>
          </cell>
          <cell r="X208">
            <v>12.699999999999996</v>
          </cell>
          <cell r="Y208">
            <v>52.8</v>
          </cell>
          <cell r="Z208">
            <v>20.700000000000003</v>
          </cell>
          <cell r="AA208">
            <v>63</v>
          </cell>
          <cell r="AB208">
            <v>50</v>
          </cell>
          <cell r="AC208">
            <v>13</v>
          </cell>
          <cell r="AD208">
            <v>43.9</v>
          </cell>
          <cell r="AE208">
            <v>17.8</v>
          </cell>
          <cell r="AK208">
            <v>143.20000000000002</v>
          </cell>
          <cell r="AL208">
            <v>104.6</v>
          </cell>
          <cell r="AM208">
            <v>38.599999999999994</v>
          </cell>
          <cell r="AO208">
            <v>356.4</v>
          </cell>
          <cell r="AP208">
            <v>74.900000000000006</v>
          </cell>
          <cell r="AQ208">
            <v>281.5</v>
          </cell>
        </row>
        <row r="209">
          <cell r="S209">
            <v>2175</v>
          </cell>
          <cell r="V209">
            <v>11300</v>
          </cell>
          <cell r="W209">
            <v>9168</v>
          </cell>
          <cell r="X209">
            <v>2132</v>
          </cell>
          <cell r="Y209">
            <v>2132</v>
          </cell>
          <cell r="Z209">
            <v>3481</v>
          </cell>
          <cell r="AA209">
            <v>10588</v>
          </cell>
          <cell r="AB209">
            <v>8403</v>
          </cell>
          <cell r="AC209">
            <v>2185</v>
          </cell>
          <cell r="AD209">
            <v>7369</v>
          </cell>
          <cell r="AE209">
            <v>2988</v>
          </cell>
          <cell r="AK209">
            <v>24063</v>
          </cell>
          <cell r="AL209">
            <v>17571</v>
          </cell>
          <cell r="AM209">
            <v>6492</v>
          </cell>
          <cell r="AO209">
            <v>14810</v>
          </cell>
          <cell r="AP209">
            <v>3112.427048260382</v>
          </cell>
          <cell r="AQ209">
            <v>11697.572951739618</v>
          </cell>
        </row>
        <row r="210">
          <cell r="S210">
            <v>168.6</v>
          </cell>
          <cell r="V210">
            <v>167.9</v>
          </cell>
          <cell r="W210">
            <v>167.91</v>
          </cell>
          <cell r="X210">
            <v>167.87</v>
          </cell>
          <cell r="Y210">
            <v>168.14</v>
          </cell>
          <cell r="Z210">
            <v>168.16</v>
          </cell>
          <cell r="AA210">
            <v>168.06</v>
          </cell>
          <cell r="AB210">
            <v>168.06</v>
          </cell>
          <cell r="AC210">
            <v>168.08</v>
          </cell>
          <cell r="AD210">
            <v>167.86</v>
          </cell>
          <cell r="AE210">
            <v>167.87</v>
          </cell>
          <cell r="AK210">
            <v>168.04</v>
          </cell>
          <cell r="AL210">
            <v>167.98</v>
          </cell>
          <cell r="AM210">
            <v>168.19</v>
          </cell>
          <cell r="AO210">
            <v>41.55</v>
          </cell>
          <cell r="AP210">
            <v>41.55</v>
          </cell>
          <cell r="AQ210">
            <v>41.55</v>
          </cell>
          <cell r="AR210">
            <v>0</v>
          </cell>
        </row>
        <row r="211">
          <cell r="S211">
            <v>7.3</v>
          </cell>
          <cell r="X211">
            <v>74.7</v>
          </cell>
          <cell r="Y211">
            <v>55.2</v>
          </cell>
          <cell r="Z211">
            <v>19.5</v>
          </cell>
          <cell r="AC211">
            <v>66.5</v>
          </cell>
          <cell r="AD211">
            <v>40.9</v>
          </cell>
          <cell r="AE211">
            <v>25.6</v>
          </cell>
          <cell r="AK211">
            <v>148.5</v>
          </cell>
          <cell r="AL211">
            <v>96.1</v>
          </cell>
          <cell r="AM211">
            <v>0</v>
          </cell>
          <cell r="AO211">
            <v>52</v>
          </cell>
          <cell r="AP211">
            <v>52</v>
          </cell>
          <cell r="AQ211">
            <v>281.5</v>
          </cell>
        </row>
        <row r="212">
          <cell r="S212">
            <v>1232</v>
          </cell>
          <cell r="V212">
            <v>11300</v>
          </cell>
          <cell r="X212">
            <v>12570</v>
          </cell>
          <cell r="Y212">
            <v>9289</v>
          </cell>
          <cell r="Z212">
            <v>3281</v>
          </cell>
          <cell r="AA212">
            <v>10588</v>
          </cell>
          <cell r="AC212">
            <v>11165</v>
          </cell>
          <cell r="AD212">
            <v>6867</v>
          </cell>
          <cell r="AE212">
            <v>4298</v>
          </cell>
          <cell r="AK212">
            <v>24063</v>
          </cell>
          <cell r="AL212">
            <v>17571</v>
          </cell>
          <cell r="AM212">
            <v>6492</v>
          </cell>
          <cell r="AO212">
            <v>14862</v>
          </cell>
          <cell r="AP212">
            <v>3164.427048260382</v>
          </cell>
          <cell r="AQ212">
            <v>11697.572951739618</v>
          </cell>
        </row>
        <row r="213">
          <cell r="S213">
            <v>168.77</v>
          </cell>
          <cell r="X213">
            <v>168.27</v>
          </cell>
          <cell r="Y213">
            <v>168.28</v>
          </cell>
          <cell r="Z213">
            <v>168.26</v>
          </cell>
          <cell r="AC213">
            <v>167.89</v>
          </cell>
          <cell r="AD213">
            <v>167.9</v>
          </cell>
          <cell r="AE213">
            <v>167.89</v>
          </cell>
          <cell r="AK213">
            <v>168.13</v>
          </cell>
          <cell r="AL213">
            <v>168.12</v>
          </cell>
          <cell r="AM213">
            <v>168.15</v>
          </cell>
          <cell r="AO213">
            <v>41.55</v>
          </cell>
          <cell r="AP213">
            <v>41.55</v>
          </cell>
          <cell r="AQ213">
            <v>41.55</v>
          </cell>
          <cell r="AR213">
            <v>0</v>
          </cell>
        </row>
        <row r="214">
          <cell r="AM214">
            <v>0</v>
          </cell>
          <cell r="AO214">
            <v>52</v>
          </cell>
          <cell r="AP214">
            <v>52</v>
          </cell>
        </row>
        <row r="215">
          <cell r="X215">
            <v>12570</v>
          </cell>
          <cell r="AC215">
            <v>11165</v>
          </cell>
          <cell r="AK215">
            <v>24967</v>
          </cell>
          <cell r="AL215">
            <v>16156</v>
          </cell>
          <cell r="AM215">
            <v>8811</v>
          </cell>
          <cell r="AO215">
            <v>14862</v>
          </cell>
          <cell r="AP215">
            <v>3164.427048260382</v>
          </cell>
          <cell r="AQ215">
            <v>11697.572951739618</v>
          </cell>
        </row>
        <row r="218">
          <cell r="G218" t="str">
            <v>Б.В.ЯЩЕНКО</v>
          </cell>
        </row>
        <row r="219">
          <cell r="G219" t="str">
            <v>М.В.ТЕРПИЛО</v>
          </cell>
        </row>
        <row r="220">
          <cell r="G220" t="str">
            <v xml:space="preserve">В.І.МИРГОРОДСЬКИЙ                                  </v>
          </cell>
        </row>
        <row r="221">
          <cell r="G221" t="str">
            <v xml:space="preserve">М.І.ШЕВЧЕНКО                                 </v>
          </cell>
        </row>
        <row r="222">
          <cell r="G222" t="str">
            <v>В.Ю.МОНТЬЕВ</v>
          </cell>
        </row>
        <row r="223">
          <cell r="G223" t="str">
            <v xml:space="preserve">О.М.НИКОЛЕНКО      </v>
          </cell>
          <cell r="AP223">
            <v>1507.2</v>
          </cell>
        </row>
        <row r="226">
          <cell r="AP226">
            <v>1507.2</v>
          </cell>
        </row>
        <row r="227">
          <cell r="AP227">
            <v>1507.2</v>
          </cell>
        </row>
        <row r="238">
          <cell r="AG238" t="str">
            <v xml:space="preserve">         Затверджую</v>
          </cell>
        </row>
        <row r="239">
          <cell r="AG239" t="str">
            <v xml:space="preserve"> Голова правління </v>
          </cell>
        </row>
        <row r="240">
          <cell r="AG240" t="str">
            <v xml:space="preserve">                        І.В.Плачков</v>
          </cell>
        </row>
        <row r="241">
          <cell r="AG241" t="str">
            <v xml:space="preserve">   "_____" ________2000 р.</v>
          </cell>
        </row>
        <row r="242">
          <cell r="AG242" t="str">
            <v xml:space="preserve"> Голова правління </v>
          </cell>
        </row>
        <row r="243">
          <cell r="AG243" t="str">
            <v xml:space="preserve">                        І.В.Плачков</v>
          </cell>
        </row>
        <row r="244">
          <cell r="AG244" t="str">
            <v xml:space="preserve">   "_____" ________2000 р.</v>
          </cell>
        </row>
        <row r="245">
          <cell r="F245" t="str">
            <v>РОЗРАХУНОК ФІНАНСОВИХ ПОТОКІВ НА   березень  2000 року</v>
          </cell>
          <cell r="AG245" t="str">
            <v xml:space="preserve">   "_____" ________2000 р.</v>
          </cell>
        </row>
        <row r="246">
          <cell r="F246" t="str">
            <v>ПО ФІЛІАЛАХ АК КИЇВЕНЕРГО</v>
          </cell>
        </row>
        <row r="248">
          <cell r="F248" t="str">
            <v>РОЗРАХУНОК ФІНАНСОВИХ ПОТОКІВ НА   березень  2000 року</v>
          </cell>
        </row>
        <row r="249">
          <cell r="F249" t="str">
            <v>ПО ФІЛІАЛАХ АК КИЇВЕНЕРГО</v>
          </cell>
        </row>
        <row r="250">
          <cell r="F250" t="str">
            <v>ПО ФІЛІАЛАХ АК КИЇВЕНЕРГО</v>
          </cell>
        </row>
        <row r="251">
          <cell r="AK251" t="str">
            <v>тис.грн.</v>
          </cell>
        </row>
        <row r="252">
          <cell r="F252" t="str">
            <v>ВИКОН.ДИР.</v>
          </cell>
          <cell r="G252" t="str">
            <v>АПАРАТ ЕЛЕКТРО</v>
          </cell>
          <cell r="H252" t="str">
            <v>АПАРАТ ТЕПЛО</v>
          </cell>
          <cell r="P252" t="str">
            <v>КМ</v>
          </cell>
          <cell r="Q252" t="str">
            <v>ТМ</v>
          </cell>
          <cell r="S252" t="str">
            <v>КТМ</v>
          </cell>
          <cell r="T252" t="str">
            <v>ВИРОБН</v>
          </cell>
          <cell r="U252" t="str">
            <v>ПЕРЕД</v>
          </cell>
          <cell r="V252" t="str">
            <v>ТЕЦ-5 ВСЬОГО</v>
          </cell>
          <cell r="W252" t="str">
            <v>Е/Е</v>
          </cell>
          <cell r="X252" t="str">
            <v xml:space="preserve"> Т/Е</v>
          </cell>
          <cell r="Y252" t="str">
            <v>Е/Е</v>
          </cell>
          <cell r="Z252" t="str">
            <v xml:space="preserve"> Т/Е</v>
          </cell>
          <cell r="AA252" t="str">
            <v>ТЕЦ-6 ВСЬОГО</v>
          </cell>
          <cell r="AB252" t="str">
            <v>Е/Е</v>
          </cell>
          <cell r="AC252" t="str">
            <v xml:space="preserve"> Т/Е</v>
          </cell>
          <cell r="AD252" t="str">
            <v>Е/Е</v>
          </cell>
          <cell r="AE252" t="str">
            <v xml:space="preserve"> Т/Е</v>
          </cell>
          <cell r="AF252" t="str">
            <v>ТРМ ВСЬОГО</v>
          </cell>
          <cell r="AG252" t="str">
            <v>ТРМ  АК КЕ</v>
          </cell>
          <cell r="AH252" t="str">
            <v>ТРМ СТОР</v>
          </cell>
          <cell r="AK252" t="str">
            <v>АК КЕ осн.вир.</v>
          </cell>
          <cell r="AL252" t="str">
            <v>АК КЕ ВСЬОГО</v>
          </cell>
          <cell r="AM252" t="str">
            <v xml:space="preserve"> Т/Е</v>
          </cell>
          <cell r="AO252" t="str">
            <v>СТАНЦІї ЕЛЕКТРО</v>
          </cell>
          <cell r="AP252" t="str">
            <v>СТАНЦІІ ТЕПЛОВІ</v>
          </cell>
          <cell r="AQ252" t="str">
            <v>МЕРЕЖІ ЕЛЕКТРО</v>
          </cell>
          <cell r="AR252" t="str">
            <v>МЕРЕЖІ ТЕПЛОВІ</v>
          </cell>
        </row>
        <row r="253">
          <cell r="F253">
            <v>3652</v>
          </cell>
          <cell r="P253">
            <v>3080.62</v>
          </cell>
          <cell r="S253">
            <v>8423.52</v>
          </cell>
          <cell r="V253">
            <v>2576.1318181818187</v>
          </cell>
          <cell r="X253">
            <v>3133.4075757575761</v>
          </cell>
          <cell r="AA253">
            <v>2709.5690909090908</v>
          </cell>
          <cell r="AC253">
            <v>2333.3751515151525</v>
          </cell>
          <cell r="AF253">
            <v>4466.8781818181815</v>
          </cell>
          <cell r="AG253">
            <v>3618.3</v>
          </cell>
          <cell r="AH253">
            <v>848.57818181818175</v>
          </cell>
          <cell r="AK253">
            <v>26332.719090909093</v>
          </cell>
        </row>
        <row r="254">
          <cell r="AK254" t="str">
            <v>тис.грн.</v>
          </cell>
        </row>
        <row r="255">
          <cell r="F255">
            <v>14482.471428571429</v>
          </cell>
          <cell r="G255">
            <v>2317.6703910614524</v>
          </cell>
          <cell r="H255">
            <v>2155.3296089385476</v>
          </cell>
          <cell r="P255">
            <v>3080.62</v>
          </cell>
          <cell r="Q255">
            <v>0</v>
          </cell>
          <cell r="R255">
            <v>0</v>
          </cell>
          <cell r="S255">
            <v>8423.52</v>
          </cell>
          <cell r="T255">
            <v>2620.8347999999996</v>
          </cell>
          <cell r="U255">
            <v>2617.6851999999999</v>
          </cell>
          <cell r="V255">
            <v>2576.1318181818187</v>
          </cell>
          <cell r="W255">
            <v>2024</v>
          </cell>
          <cell r="X255">
            <v>472.13181818181829</v>
          </cell>
          <cell r="Y255">
            <v>0</v>
          </cell>
          <cell r="Z255">
            <v>0</v>
          </cell>
          <cell r="AA255">
            <v>2709.5690909090908</v>
          </cell>
          <cell r="AB255">
            <v>1898</v>
          </cell>
          <cell r="AC255">
            <v>511.56909090909085</v>
          </cell>
          <cell r="AD255">
            <v>1496</v>
          </cell>
          <cell r="AE255">
            <v>607.87515151515208</v>
          </cell>
          <cell r="AF255">
            <v>4466.8781818181815</v>
          </cell>
          <cell r="AG255">
            <v>3618.3</v>
          </cell>
          <cell r="AH255">
            <v>848.57818181818175</v>
          </cell>
          <cell r="AI255" t="str">
            <v>ТИС.ГРН.</v>
          </cell>
          <cell r="AK255">
            <v>64105.612337662344</v>
          </cell>
          <cell r="AL255" t="str">
            <v>АК КЕ ВСЬОГО</v>
          </cell>
          <cell r="AM255">
            <v>40995.25</v>
          </cell>
          <cell r="AO255" t="str">
            <v>СТАНЦІї ЕЛЕКТРО</v>
          </cell>
          <cell r="AP255" t="str">
            <v>СТАНЦІІ ТЕПЛОВІ</v>
          </cell>
          <cell r="AQ255" t="str">
            <v>МЕРЕЖІ ЕЛЕКТРО</v>
          </cell>
          <cell r="AR255" t="str">
            <v>МЕРЕЖІ ТЕПЛОВІ</v>
          </cell>
        </row>
        <row r="256">
          <cell r="F256">
            <v>8174.138095238095</v>
          </cell>
          <cell r="G256">
            <v>2114.6703910614524</v>
          </cell>
          <cell r="H256">
            <v>1932.3296089385476</v>
          </cell>
          <cell r="P256">
            <v>605</v>
          </cell>
          <cell r="Q256" t="str">
            <v>ТМ</v>
          </cell>
          <cell r="S256">
            <v>4046</v>
          </cell>
          <cell r="T256">
            <v>1750.1999999999996</v>
          </cell>
          <cell r="U256">
            <v>1026.8</v>
          </cell>
          <cell r="V256">
            <v>1033.0000000000005</v>
          </cell>
          <cell r="W256">
            <v>1364</v>
          </cell>
          <cell r="X256">
            <v>318.00000000000011</v>
          </cell>
          <cell r="Y256">
            <v>1589</v>
          </cell>
          <cell r="Z256">
            <v>624.33333333333371</v>
          </cell>
          <cell r="AA256">
            <v>624</v>
          </cell>
          <cell r="AB256">
            <v>1140</v>
          </cell>
          <cell r="AC256">
            <v>314.99999999999994</v>
          </cell>
          <cell r="AD256">
            <v>923</v>
          </cell>
          <cell r="AE256">
            <v>374.83333333333388</v>
          </cell>
          <cell r="AF256">
            <v>987.99999999999977</v>
          </cell>
          <cell r="AG256">
            <v>823.00000000000023</v>
          </cell>
          <cell r="AH256">
            <v>158</v>
          </cell>
          <cell r="AI256" t="str">
            <v xml:space="preserve">ДОП.ВИР. </v>
          </cell>
          <cell r="AJ256" t="str">
            <v>ДОП.ВИР. СТ.ОРГ.</v>
          </cell>
          <cell r="AK256">
            <v>47832.559913419922</v>
          </cell>
          <cell r="AL256" t="str">
            <v>АК КЕ ВСЬОГО</v>
          </cell>
          <cell r="AM256">
            <v>14890.138095238095</v>
          </cell>
          <cell r="AO256" t="str">
            <v>СТАНЦІї ЕЛЕКТРО</v>
          </cell>
          <cell r="AP256" t="str">
            <v>СТАНЦІІ ТЕПЛОВІ</v>
          </cell>
          <cell r="AQ256" t="str">
            <v>МЕРЕЖІ ЕЛЕКТРО</v>
          </cell>
          <cell r="AR256" t="str">
            <v>МЕРЕЖІ ТЕПЛОВІ</v>
          </cell>
        </row>
        <row r="257">
          <cell r="F257">
            <v>42326.804761904765</v>
          </cell>
          <cell r="P257">
            <v>0</v>
          </cell>
          <cell r="Q257">
            <v>0</v>
          </cell>
          <cell r="R257">
            <v>0</v>
          </cell>
          <cell r="S257">
            <v>0</v>
          </cell>
          <cell r="T257">
            <v>0</v>
          </cell>
          <cell r="U257">
            <v>0</v>
          </cell>
          <cell r="V257">
            <v>0</v>
          </cell>
          <cell r="W257">
            <v>0</v>
          </cell>
          <cell r="X257">
            <v>0</v>
          </cell>
          <cell r="Y257">
            <v>0</v>
          </cell>
          <cell r="Z257">
            <v>0</v>
          </cell>
          <cell r="AA257">
            <v>18</v>
          </cell>
          <cell r="AB257">
            <v>0</v>
          </cell>
          <cell r="AC257">
            <v>0</v>
          </cell>
          <cell r="AD257">
            <v>0</v>
          </cell>
          <cell r="AE257">
            <v>0</v>
          </cell>
          <cell r="AF257">
            <v>0</v>
          </cell>
          <cell r="AG257">
            <v>0</v>
          </cell>
          <cell r="AH257">
            <v>0</v>
          </cell>
          <cell r="AJ257">
            <v>7599</v>
          </cell>
          <cell r="AK257">
            <v>42344.804761904765</v>
          </cell>
        </row>
        <row r="258">
          <cell r="F258">
            <v>24063</v>
          </cell>
          <cell r="G258">
            <v>2573.3582491582492</v>
          </cell>
          <cell r="H258">
            <v>2947.8417508417506</v>
          </cell>
          <cell r="P258">
            <v>3642.12</v>
          </cell>
          <cell r="Q258">
            <v>0</v>
          </cell>
          <cell r="R258">
            <v>0</v>
          </cell>
          <cell r="S258">
            <v>4914.9412121212117</v>
          </cell>
          <cell r="T258">
            <v>2221.1818606060606</v>
          </cell>
          <cell r="U258">
            <v>2612.759351515152</v>
          </cell>
          <cell r="V258">
            <v>0</v>
          </cell>
          <cell r="W258">
            <v>0</v>
          </cell>
          <cell r="X258">
            <v>1941.8530303030293</v>
          </cell>
          <cell r="Y258">
            <v>1372</v>
          </cell>
          <cell r="Z258">
            <v>484.85303030302975</v>
          </cell>
          <cell r="AA258">
            <v>0</v>
          </cell>
          <cell r="AB258">
            <v>0</v>
          </cell>
          <cell r="AC258">
            <v>1753.5509090909086</v>
          </cell>
          <cell r="AF258">
            <v>3698.0493939393937</v>
          </cell>
          <cell r="AG258">
            <v>3251.35</v>
          </cell>
          <cell r="AH258">
            <v>415.69939393939387</v>
          </cell>
          <cell r="AK258">
            <v>24063</v>
          </cell>
          <cell r="AM258">
            <v>45205.25</v>
          </cell>
        </row>
        <row r="259">
          <cell r="F259">
            <v>6512</v>
          </cell>
          <cell r="G259">
            <v>2277.3582491582492</v>
          </cell>
          <cell r="H259">
            <v>2559.6417508417508</v>
          </cell>
          <cell r="P259">
            <v>1403</v>
          </cell>
          <cell r="Q259">
            <v>0</v>
          </cell>
          <cell r="R259">
            <v>0</v>
          </cell>
          <cell r="S259">
            <v>323.66666666666629</v>
          </cell>
          <cell r="T259">
            <v>1413.9233333333332</v>
          </cell>
          <cell r="U259">
            <v>1087.1433333333339</v>
          </cell>
          <cell r="V259">
            <v>0</v>
          </cell>
          <cell r="W259">
            <v>0</v>
          </cell>
          <cell r="X259">
            <v>474.66666666666572</v>
          </cell>
          <cell r="Y259">
            <v>691</v>
          </cell>
          <cell r="Z259">
            <v>244.46666666666613</v>
          </cell>
          <cell r="AA259">
            <v>0</v>
          </cell>
          <cell r="AB259">
            <v>0</v>
          </cell>
          <cell r="AC259">
            <v>-208.00000000000045</v>
          </cell>
          <cell r="AD259">
            <v>1377</v>
          </cell>
          <cell r="AE259">
            <v>944.69515151515134</v>
          </cell>
          <cell r="AF259">
            <v>428.71666666666636</v>
          </cell>
          <cell r="AG259">
            <v>373.04999999999984</v>
          </cell>
          <cell r="AH259">
            <v>136.66666666666663</v>
          </cell>
          <cell r="AI259">
            <v>847.2</v>
          </cell>
          <cell r="AJ259">
            <v>0</v>
          </cell>
          <cell r="AK259">
            <v>6512</v>
          </cell>
          <cell r="AM259">
            <v>9679.4428571428543</v>
          </cell>
        </row>
        <row r="260">
          <cell r="F260">
            <v>7379.804761904762</v>
          </cell>
          <cell r="G260">
            <v>1560.3537061118332</v>
          </cell>
          <cell r="H260">
            <v>1880.6462938881664</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229.20000000000005</v>
          </cell>
          <cell r="AJ260">
            <v>-2455</v>
          </cell>
          <cell r="AK260">
            <v>7379.804761904762</v>
          </cell>
          <cell r="AM260">
            <v>14653.6</v>
          </cell>
        </row>
        <row r="261">
          <cell r="F261">
            <v>921.33333333333337</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K261">
            <v>921.33333333333337</v>
          </cell>
        </row>
        <row r="262">
          <cell r="F262">
            <v>0</v>
          </cell>
          <cell r="AK262">
            <v>0</v>
          </cell>
        </row>
        <row r="263">
          <cell r="F263">
            <v>2514.4714285714285</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F263">
            <v>0</v>
          </cell>
          <cell r="AG263">
            <v>0</v>
          </cell>
          <cell r="AH263">
            <v>0</v>
          </cell>
          <cell r="AK263">
            <v>2514.4714285714285</v>
          </cell>
        </row>
        <row r="264">
          <cell r="F264">
            <v>3500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K264">
            <v>3500</v>
          </cell>
        </row>
        <row r="265">
          <cell r="F265">
            <v>0</v>
          </cell>
          <cell r="AK265">
            <v>0</v>
          </cell>
        </row>
        <row r="266">
          <cell r="F266">
            <v>444</v>
          </cell>
          <cell r="P266">
            <v>0</v>
          </cell>
          <cell r="S266">
            <v>0</v>
          </cell>
          <cell r="V266">
            <v>0</v>
          </cell>
          <cell r="X266">
            <v>0</v>
          </cell>
          <cell r="AA266">
            <v>0</v>
          </cell>
          <cell r="AC266">
            <v>0</v>
          </cell>
          <cell r="AF266">
            <v>0</v>
          </cell>
          <cell r="AG266">
            <v>0</v>
          </cell>
          <cell r="AH266">
            <v>0</v>
          </cell>
          <cell r="AK266">
            <v>444</v>
          </cell>
        </row>
        <row r="267">
          <cell r="F267">
            <v>3995</v>
          </cell>
          <cell r="AK267">
            <v>3995</v>
          </cell>
        </row>
        <row r="268">
          <cell r="F268">
            <v>377</v>
          </cell>
          <cell r="P268">
            <v>0</v>
          </cell>
          <cell r="S268">
            <v>0</v>
          </cell>
          <cell r="V268">
            <v>0</v>
          </cell>
          <cell r="X268">
            <v>0</v>
          </cell>
          <cell r="AA268">
            <v>18</v>
          </cell>
          <cell r="AC268">
            <v>0</v>
          </cell>
          <cell r="AF268">
            <v>0</v>
          </cell>
          <cell r="AG268">
            <v>0</v>
          </cell>
          <cell r="AH268">
            <v>0</v>
          </cell>
          <cell r="AK268">
            <v>395</v>
          </cell>
        </row>
        <row r="269">
          <cell r="F269">
            <v>45978.804761904765</v>
          </cell>
          <cell r="P269">
            <v>3080.62</v>
          </cell>
          <cell r="Q269">
            <v>0</v>
          </cell>
          <cell r="R269">
            <v>0</v>
          </cell>
          <cell r="S269">
            <v>8423.52</v>
          </cell>
          <cell r="T269">
            <v>0</v>
          </cell>
          <cell r="U269">
            <v>0</v>
          </cell>
          <cell r="V269">
            <v>2576.1318181818187</v>
          </cell>
          <cell r="W269">
            <v>0</v>
          </cell>
          <cell r="X269">
            <v>0</v>
          </cell>
          <cell r="Y269">
            <v>0</v>
          </cell>
          <cell r="Z269">
            <v>0</v>
          </cell>
          <cell r="AA269">
            <v>2727.5690909090908</v>
          </cell>
          <cell r="AB269">
            <v>0</v>
          </cell>
          <cell r="AC269">
            <v>0</v>
          </cell>
          <cell r="AD269">
            <v>0</v>
          </cell>
          <cell r="AE269">
            <v>0</v>
          </cell>
          <cell r="AF269">
            <v>4466.8781818181815</v>
          </cell>
          <cell r="AG269">
            <v>3618.3</v>
          </cell>
          <cell r="AH269">
            <v>848.57818181818175</v>
          </cell>
          <cell r="AK269">
            <v>68677.523852813873</v>
          </cell>
        </row>
        <row r="270">
          <cell r="F270">
            <v>1392</v>
          </cell>
          <cell r="P270">
            <v>1965.62</v>
          </cell>
          <cell r="Q270">
            <v>0</v>
          </cell>
          <cell r="R270">
            <v>0</v>
          </cell>
          <cell r="S270">
            <v>4127.5200000000004</v>
          </cell>
          <cell r="T270">
            <v>717.75479999999993</v>
          </cell>
          <cell r="U270">
            <v>735.76520000000005</v>
          </cell>
          <cell r="V270">
            <v>1973.95</v>
          </cell>
          <cell r="W270">
            <v>951</v>
          </cell>
          <cell r="X270">
            <v>222.13181818181818</v>
          </cell>
          <cell r="Y270">
            <v>0</v>
          </cell>
          <cell r="Z270">
            <v>0</v>
          </cell>
          <cell r="AA270">
            <v>623.99333333333334</v>
          </cell>
          <cell r="AB270">
            <v>314</v>
          </cell>
          <cell r="AC270">
            <v>80.902424242424232</v>
          </cell>
          <cell r="AD270">
            <v>293</v>
          </cell>
          <cell r="AE270">
            <v>120.37515151515153</v>
          </cell>
          <cell r="AF270">
            <v>3101.06</v>
          </cell>
          <cell r="AG270">
            <v>2417.3000000000002</v>
          </cell>
          <cell r="AH270">
            <v>690.76</v>
          </cell>
          <cell r="AI270">
            <v>0</v>
          </cell>
          <cell r="AK270">
            <v>14200.143333333333</v>
          </cell>
        </row>
        <row r="271">
          <cell r="F271">
            <v>426</v>
          </cell>
          <cell r="G271">
            <v>203</v>
          </cell>
          <cell r="H271">
            <v>223</v>
          </cell>
          <cell r="P271">
            <v>998.62</v>
          </cell>
          <cell r="S271">
            <v>2085.52</v>
          </cell>
          <cell r="T271">
            <v>707.75479999999993</v>
          </cell>
          <cell r="U271">
            <v>735.76520000000005</v>
          </cell>
          <cell r="V271">
            <v>721.95</v>
          </cell>
          <cell r="W271">
            <v>213</v>
          </cell>
          <cell r="X271">
            <v>50.131818181818176</v>
          </cell>
          <cell r="Y271">
            <v>295</v>
          </cell>
          <cell r="Z271">
            <v>116.2409090909091</v>
          </cell>
          <cell r="AA271">
            <v>597.66</v>
          </cell>
          <cell r="AB271">
            <v>303</v>
          </cell>
          <cell r="AC271">
            <v>78.569090909090903</v>
          </cell>
          <cell r="AD271">
            <v>284</v>
          </cell>
          <cell r="AE271">
            <v>116.0418181818182</v>
          </cell>
          <cell r="AF271">
            <v>1861.06</v>
          </cell>
          <cell r="AG271">
            <v>1632.3</v>
          </cell>
          <cell r="AH271">
            <v>228.75999999999993</v>
          </cell>
          <cell r="AK271">
            <v>7180.8099999999995</v>
          </cell>
        </row>
        <row r="272">
          <cell r="F272">
            <v>0</v>
          </cell>
          <cell r="P272">
            <v>0</v>
          </cell>
          <cell r="Q272">
            <v>0</v>
          </cell>
          <cell r="R272">
            <v>0</v>
          </cell>
          <cell r="S272">
            <v>10</v>
          </cell>
          <cell r="T272">
            <v>10</v>
          </cell>
          <cell r="U272">
            <v>0</v>
          </cell>
          <cell r="V272">
            <v>910</v>
          </cell>
          <cell r="W272">
            <v>738</v>
          </cell>
          <cell r="X272">
            <v>172</v>
          </cell>
          <cell r="Y272">
            <v>0</v>
          </cell>
          <cell r="Z272">
            <v>0</v>
          </cell>
          <cell r="AA272">
            <v>-0.66666666666666607</v>
          </cell>
          <cell r="AB272">
            <v>11</v>
          </cell>
          <cell r="AC272">
            <v>2.3333333333333339</v>
          </cell>
          <cell r="AD272">
            <v>9</v>
          </cell>
          <cell r="AE272">
            <v>4.3333333333333339</v>
          </cell>
          <cell r="AF272">
            <v>2</v>
          </cell>
          <cell r="AG272">
            <v>2</v>
          </cell>
          <cell r="AH272">
            <v>0</v>
          </cell>
          <cell r="AI272">
            <v>0</v>
          </cell>
          <cell r="AK272">
            <v>921.33333333333337</v>
          </cell>
        </row>
        <row r="273">
          <cell r="F273">
            <v>960</v>
          </cell>
          <cell r="P273">
            <v>952</v>
          </cell>
          <cell r="Q273">
            <v>0</v>
          </cell>
          <cell r="R273">
            <v>0</v>
          </cell>
          <cell r="S273">
            <v>1276</v>
          </cell>
          <cell r="T273">
            <v>0</v>
          </cell>
          <cell r="U273">
            <v>0</v>
          </cell>
          <cell r="V273">
            <v>342</v>
          </cell>
          <cell r="W273">
            <v>0</v>
          </cell>
          <cell r="X273">
            <v>0</v>
          </cell>
          <cell r="Y273">
            <v>0</v>
          </cell>
          <cell r="Z273">
            <v>0</v>
          </cell>
          <cell r="AA273">
            <v>327</v>
          </cell>
          <cell r="AB273">
            <v>0</v>
          </cell>
          <cell r="AC273">
            <v>0</v>
          </cell>
          <cell r="AD273">
            <v>0</v>
          </cell>
          <cell r="AE273">
            <v>0</v>
          </cell>
          <cell r="AF273">
            <v>568</v>
          </cell>
          <cell r="AG273">
            <v>530</v>
          </cell>
          <cell r="AH273">
            <v>45</v>
          </cell>
          <cell r="AI273">
            <v>0</v>
          </cell>
          <cell r="AK273">
            <v>4588</v>
          </cell>
        </row>
        <row r="274">
          <cell r="F274">
            <v>138</v>
          </cell>
          <cell r="G274">
            <v>296</v>
          </cell>
          <cell r="H274">
            <v>388.2</v>
          </cell>
          <cell r="P274">
            <v>300</v>
          </cell>
          <cell r="Q274">
            <v>0</v>
          </cell>
          <cell r="R274">
            <v>0</v>
          </cell>
          <cell r="S274">
            <v>636</v>
          </cell>
          <cell r="T274">
            <v>644.3785272727273</v>
          </cell>
          <cell r="U274">
            <v>670.49601818181827</v>
          </cell>
          <cell r="V274">
            <v>132</v>
          </cell>
          <cell r="W274">
            <v>0</v>
          </cell>
          <cell r="X274">
            <v>640.75</v>
          </cell>
          <cell r="Y274">
            <v>274</v>
          </cell>
          <cell r="Z274">
            <v>96.386363636363626</v>
          </cell>
          <cell r="AA274">
            <v>100</v>
          </cell>
          <cell r="AB274">
            <v>9</v>
          </cell>
          <cell r="AC274">
            <v>534.76</v>
          </cell>
          <cell r="AD274">
            <v>234</v>
          </cell>
          <cell r="AE274">
            <v>160.69515151515154</v>
          </cell>
          <cell r="AF274">
            <v>343</v>
          </cell>
          <cell r="AG274">
            <v>300</v>
          </cell>
          <cell r="AH274">
            <v>43</v>
          </cell>
          <cell r="AI274">
            <v>618</v>
          </cell>
          <cell r="AK274">
            <v>1703</v>
          </cell>
        </row>
        <row r="275">
          <cell r="F275">
            <v>762</v>
          </cell>
          <cell r="G275">
            <v>197</v>
          </cell>
          <cell r="H275">
            <v>307.10000000000002</v>
          </cell>
          <cell r="P275">
            <v>7</v>
          </cell>
          <cell r="Q275">
            <v>0</v>
          </cell>
          <cell r="R275">
            <v>0</v>
          </cell>
          <cell r="S275">
            <v>65</v>
          </cell>
          <cell r="T275">
            <v>10</v>
          </cell>
          <cell r="U275">
            <v>0</v>
          </cell>
          <cell r="V275">
            <v>44</v>
          </cell>
          <cell r="W275">
            <v>0</v>
          </cell>
          <cell r="X275">
            <v>336</v>
          </cell>
          <cell r="Y275">
            <v>248</v>
          </cell>
          <cell r="Z275">
            <v>88</v>
          </cell>
          <cell r="AA275">
            <v>47</v>
          </cell>
          <cell r="AB275">
            <v>0</v>
          </cell>
          <cell r="AC275">
            <v>-0.66666666666666607</v>
          </cell>
          <cell r="AD275">
            <v>226</v>
          </cell>
          <cell r="AE275">
            <v>155.36181818181819</v>
          </cell>
          <cell r="AF275">
            <v>25</v>
          </cell>
          <cell r="AG275">
            <v>30</v>
          </cell>
          <cell r="AH275">
            <v>2</v>
          </cell>
          <cell r="AI275">
            <v>377</v>
          </cell>
          <cell r="AK275">
            <v>1059</v>
          </cell>
        </row>
        <row r="276">
          <cell r="F276">
            <v>60</v>
          </cell>
          <cell r="P276">
            <v>500</v>
          </cell>
          <cell r="Q276">
            <v>0</v>
          </cell>
          <cell r="R276">
            <v>0</v>
          </cell>
          <cell r="S276">
            <v>430</v>
          </cell>
          <cell r="T276">
            <v>0</v>
          </cell>
          <cell r="U276">
            <v>0</v>
          </cell>
          <cell r="V276">
            <v>100</v>
          </cell>
          <cell r="W276">
            <v>0</v>
          </cell>
          <cell r="X276">
            <v>338</v>
          </cell>
          <cell r="Y276">
            <v>0</v>
          </cell>
          <cell r="Z276">
            <v>0</v>
          </cell>
          <cell r="AA276">
            <v>130</v>
          </cell>
          <cell r="AB276">
            <v>0</v>
          </cell>
          <cell r="AC276">
            <v>352</v>
          </cell>
          <cell r="AD276">
            <v>8</v>
          </cell>
          <cell r="AE276">
            <v>5.3333333333333339</v>
          </cell>
          <cell r="AF276">
            <v>150</v>
          </cell>
          <cell r="AG276">
            <v>150</v>
          </cell>
          <cell r="AH276">
            <v>-369</v>
          </cell>
          <cell r="AI276">
            <v>0</v>
          </cell>
          <cell r="AK276">
            <v>1370</v>
          </cell>
        </row>
        <row r="277">
          <cell r="F277">
            <v>0</v>
          </cell>
          <cell r="P277">
            <v>145</v>
          </cell>
          <cell r="Q277">
            <v>0</v>
          </cell>
          <cell r="R277">
            <v>0</v>
          </cell>
          <cell r="S277">
            <v>145</v>
          </cell>
          <cell r="T277">
            <v>0</v>
          </cell>
          <cell r="U277">
            <v>0</v>
          </cell>
          <cell r="V277">
            <v>66</v>
          </cell>
          <cell r="W277">
            <v>0</v>
          </cell>
          <cell r="X277">
            <v>115</v>
          </cell>
          <cell r="Y277">
            <v>0</v>
          </cell>
          <cell r="Z277">
            <v>0</v>
          </cell>
          <cell r="AA277">
            <v>50</v>
          </cell>
          <cell r="AB277">
            <v>9</v>
          </cell>
          <cell r="AC277">
            <v>110</v>
          </cell>
          <cell r="AD277">
            <v>0</v>
          </cell>
          <cell r="AE277">
            <v>0</v>
          </cell>
          <cell r="AF277">
            <v>50</v>
          </cell>
          <cell r="AG277">
            <v>50</v>
          </cell>
          <cell r="AH277">
            <v>0</v>
          </cell>
          <cell r="AI277">
            <v>0</v>
          </cell>
          <cell r="AK277">
            <v>456</v>
          </cell>
        </row>
        <row r="278">
          <cell r="F278">
            <v>6</v>
          </cell>
          <cell r="P278">
            <v>15</v>
          </cell>
          <cell r="Q278">
            <v>0</v>
          </cell>
          <cell r="R278">
            <v>0</v>
          </cell>
          <cell r="S278">
            <v>506</v>
          </cell>
          <cell r="T278">
            <v>0</v>
          </cell>
          <cell r="U278">
            <v>0</v>
          </cell>
          <cell r="V278">
            <v>0</v>
          </cell>
          <cell r="W278">
            <v>0</v>
          </cell>
          <cell r="X278">
            <v>0</v>
          </cell>
          <cell r="Y278">
            <v>0</v>
          </cell>
          <cell r="Z278">
            <v>0</v>
          </cell>
          <cell r="AA278">
            <v>-300</v>
          </cell>
          <cell r="AB278">
            <v>0</v>
          </cell>
          <cell r="AC278">
            <v>0</v>
          </cell>
          <cell r="AD278">
            <v>0</v>
          </cell>
          <cell r="AE278">
            <v>0</v>
          </cell>
          <cell r="AF278">
            <v>670</v>
          </cell>
          <cell r="AG278">
            <v>253</v>
          </cell>
          <cell r="AH278">
            <v>417</v>
          </cell>
          <cell r="AI278">
            <v>0</v>
          </cell>
          <cell r="AK278">
            <v>1260</v>
          </cell>
        </row>
        <row r="279">
          <cell r="F279">
            <v>0</v>
          </cell>
          <cell r="P279">
            <v>0</v>
          </cell>
          <cell r="S279">
            <v>0</v>
          </cell>
          <cell r="V279">
            <v>0</v>
          </cell>
          <cell r="X279">
            <v>100</v>
          </cell>
          <cell r="AA279">
            <v>-300</v>
          </cell>
          <cell r="AC279">
            <v>130</v>
          </cell>
          <cell r="AF279">
            <v>0</v>
          </cell>
          <cell r="AG279">
            <v>0</v>
          </cell>
          <cell r="AH279">
            <v>0</v>
          </cell>
          <cell r="AI279">
            <v>0</v>
          </cell>
          <cell r="AK279">
            <v>-300</v>
          </cell>
        </row>
        <row r="280">
          <cell r="F280">
            <v>6</v>
          </cell>
          <cell r="P280">
            <v>15</v>
          </cell>
          <cell r="S280">
            <v>506</v>
          </cell>
          <cell r="V280">
            <v>0</v>
          </cell>
          <cell r="X280">
            <v>66</v>
          </cell>
          <cell r="AA280">
            <v>0</v>
          </cell>
          <cell r="AC280">
            <v>50</v>
          </cell>
          <cell r="AF280">
            <v>670</v>
          </cell>
          <cell r="AG280">
            <v>253</v>
          </cell>
          <cell r="AH280">
            <v>417</v>
          </cell>
          <cell r="AK280">
            <v>1197</v>
          </cell>
        </row>
        <row r="281">
          <cell r="F281">
            <v>7</v>
          </cell>
          <cell r="P281">
            <v>14</v>
          </cell>
          <cell r="Q281">
            <v>0</v>
          </cell>
          <cell r="R281">
            <v>0</v>
          </cell>
          <cell r="S281">
            <v>420</v>
          </cell>
          <cell r="T281">
            <v>0</v>
          </cell>
          <cell r="U281">
            <v>0</v>
          </cell>
          <cell r="V281">
            <v>0</v>
          </cell>
          <cell r="W281">
            <v>0</v>
          </cell>
          <cell r="X281">
            <v>0</v>
          </cell>
          <cell r="Y281">
            <v>0</v>
          </cell>
          <cell r="Z281">
            <v>0</v>
          </cell>
          <cell r="AA281">
            <v>0</v>
          </cell>
          <cell r="AB281">
            <v>0</v>
          </cell>
          <cell r="AC281">
            <v>0</v>
          </cell>
          <cell r="AD281">
            <v>0</v>
          </cell>
          <cell r="AE281">
            <v>0</v>
          </cell>
          <cell r="AF281">
            <v>670</v>
          </cell>
          <cell r="AG281">
            <v>253</v>
          </cell>
          <cell r="AH281">
            <v>417</v>
          </cell>
          <cell r="AI281">
            <v>0</v>
          </cell>
          <cell r="AJ281">
            <v>0</v>
          </cell>
          <cell r="AK281">
            <v>363</v>
          </cell>
        </row>
        <row r="282">
          <cell r="F282">
            <v>0</v>
          </cell>
          <cell r="P282">
            <v>0</v>
          </cell>
          <cell r="Q282">
            <v>0</v>
          </cell>
          <cell r="R282">
            <v>0</v>
          </cell>
          <cell r="S282">
            <v>250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241</v>
          </cell>
          <cell r="AK282">
            <v>250</v>
          </cell>
        </row>
        <row r="283">
          <cell r="F283">
            <v>44586.804761904765</v>
          </cell>
          <cell r="P283">
            <v>1115</v>
          </cell>
          <cell r="Q283">
            <v>0</v>
          </cell>
          <cell r="R283">
            <v>0</v>
          </cell>
          <cell r="S283">
            <v>4296</v>
          </cell>
          <cell r="T283">
            <v>-717.75479999999993</v>
          </cell>
          <cell r="U283">
            <v>-735.76520000000005</v>
          </cell>
          <cell r="V283">
            <v>602.1818181818187</v>
          </cell>
          <cell r="W283">
            <v>-951</v>
          </cell>
          <cell r="X283">
            <v>-222.13181818181818</v>
          </cell>
          <cell r="Y283">
            <v>0</v>
          </cell>
          <cell r="Z283">
            <v>0</v>
          </cell>
          <cell r="AA283">
            <v>2103.5757575757575</v>
          </cell>
          <cell r="AB283">
            <v>-314</v>
          </cell>
          <cell r="AC283">
            <v>-80.902424242424232</v>
          </cell>
          <cell r="AD283">
            <v>-293</v>
          </cell>
          <cell r="AE283">
            <v>-120.37515151515153</v>
          </cell>
          <cell r="AF283">
            <v>1365.8181818181815</v>
          </cell>
          <cell r="AG283">
            <v>1201</v>
          </cell>
          <cell r="AH283">
            <v>157.81818181818176</v>
          </cell>
          <cell r="AI283">
            <v>0</v>
          </cell>
          <cell r="AK283">
            <v>54477.380519480525</v>
          </cell>
        </row>
        <row r="284">
          <cell r="F284">
            <v>8</v>
          </cell>
          <cell r="P284">
            <v>21.666666666666668</v>
          </cell>
          <cell r="S284">
            <v>865.66666666666663</v>
          </cell>
          <cell r="X284">
            <v>0</v>
          </cell>
          <cell r="AC284">
            <v>0</v>
          </cell>
          <cell r="AF284">
            <v>539.33333333333337</v>
          </cell>
          <cell r="AG284">
            <v>241</v>
          </cell>
          <cell r="AH284">
            <v>298.33333333333337</v>
          </cell>
          <cell r="AI284">
            <v>241</v>
          </cell>
          <cell r="AK284">
            <v>0</v>
          </cell>
        </row>
        <row r="285">
          <cell r="F285">
            <v>2408</v>
          </cell>
          <cell r="P285">
            <v>1193</v>
          </cell>
          <cell r="Q285">
            <v>0</v>
          </cell>
          <cell r="R285">
            <v>0</v>
          </cell>
          <cell r="S285">
            <v>4296</v>
          </cell>
          <cell r="T285">
            <v>0</v>
          </cell>
          <cell r="U285">
            <v>0</v>
          </cell>
          <cell r="V285">
            <v>602.18181818181824</v>
          </cell>
          <cell r="W285">
            <v>0</v>
          </cell>
          <cell r="X285">
            <v>0</v>
          </cell>
          <cell r="Y285">
            <v>0</v>
          </cell>
          <cell r="Z285">
            <v>0</v>
          </cell>
          <cell r="AA285">
            <v>2066.909090909091</v>
          </cell>
          <cell r="AB285">
            <v>0</v>
          </cell>
          <cell r="AC285">
            <v>0</v>
          </cell>
          <cell r="AD285">
            <v>0</v>
          </cell>
          <cell r="AE285">
            <v>0</v>
          </cell>
          <cell r="AF285">
            <v>1365.8181818181818</v>
          </cell>
          <cell r="AG285">
            <v>1201</v>
          </cell>
          <cell r="AH285">
            <v>157.81818181818181</v>
          </cell>
          <cell r="AK285">
            <v>12339.90909090909</v>
          </cell>
        </row>
        <row r="286">
          <cell r="F286">
            <v>0</v>
          </cell>
          <cell r="P286">
            <v>330</v>
          </cell>
          <cell r="Q286">
            <v>0</v>
          </cell>
          <cell r="R286">
            <v>0</v>
          </cell>
          <cell r="S286">
            <v>2496</v>
          </cell>
          <cell r="T286">
            <v>-654.3785272727273</v>
          </cell>
          <cell r="U286">
            <v>-670.49601818181827</v>
          </cell>
          <cell r="V286">
            <v>-20</v>
          </cell>
          <cell r="W286">
            <v>0</v>
          </cell>
          <cell r="X286">
            <v>627.1030303030293</v>
          </cell>
          <cell r="Y286">
            <v>-522</v>
          </cell>
          <cell r="Z286">
            <v>-184.38636363636363</v>
          </cell>
          <cell r="AA286">
            <v>170</v>
          </cell>
          <cell r="AB286">
            <v>0</v>
          </cell>
          <cell r="AC286">
            <v>867.45757575757523</v>
          </cell>
          <cell r="AF286">
            <v>404</v>
          </cell>
          <cell r="AG286">
            <v>404</v>
          </cell>
          <cell r="AH286">
            <v>0</v>
          </cell>
          <cell r="AI286">
            <v>0</v>
          </cell>
          <cell r="AK286">
            <v>3422</v>
          </cell>
        </row>
        <row r="287">
          <cell r="F287">
            <v>0</v>
          </cell>
          <cell r="P287">
            <v>655</v>
          </cell>
          <cell r="Q287">
            <v>0</v>
          </cell>
          <cell r="R287">
            <v>0</v>
          </cell>
          <cell r="S287">
            <v>655</v>
          </cell>
          <cell r="T287">
            <v>0</v>
          </cell>
          <cell r="U287">
            <v>0</v>
          </cell>
          <cell r="V287">
            <v>545.18181818181824</v>
          </cell>
          <cell r="W287">
            <v>0</v>
          </cell>
          <cell r="X287">
            <v>0</v>
          </cell>
          <cell r="Y287">
            <v>0</v>
          </cell>
          <cell r="Z287">
            <v>0</v>
          </cell>
          <cell r="AA287">
            <v>1510.909090909091</v>
          </cell>
          <cell r="AB287">
            <v>0</v>
          </cell>
          <cell r="AC287">
            <v>0</v>
          </cell>
          <cell r="AD287">
            <v>0</v>
          </cell>
          <cell r="AE287">
            <v>0</v>
          </cell>
          <cell r="AF287">
            <v>429.81818181818176</v>
          </cell>
          <cell r="AG287">
            <v>430</v>
          </cell>
          <cell r="AH287">
            <v>-0.18181818181818699</v>
          </cell>
          <cell r="AI287">
            <v>-618</v>
          </cell>
          <cell r="AK287">
            <v>3795.909090909091</v>
          </cell>
        </row>
        <row r="288">
          <cell r="F288">
            <v>0</v>
          </cell>
          <cell r="P288">
            <v>0</v>
          </cell>
          <cell r="Q288">
            <v>0</v>
          </cell>
          <cell r="R288">
            <v>0</v>
          </cell>
          <cell r="S288">
            <v>0</v>
          </cell>
          <cell r="T288">
            <v>0</v>
          </cell>
          <cell r="U288">
            <v>0</v>
          </cell>
          <cell r="V288">
            <v>0</v>
          </cell>
          <cell r="W288">
            <v>0</v>
          </cell>
          <cell r="X288">
            <v>627.10303030303021</v>
          </cell>
          <cell r="Y288">
            <v>0</v>
          </cell>
          <cell r="Z288">
            <v>0</v>
          </cell>
          <cell r="AA288">
            <v>0</v>
          </cell>
          <cell r="AB288">
            <v>0</v>
          </cell>
          <cell r="AC288">
            <v>866.79090909090905</v>
          </cell>
          <cell r="AF288">
            <v>0</v>
          </cell>
          <cell r="AG288">
            <v>0</v>
          </cell>
          <cell r="AH288">
            <v>0</v>
          </cell>
          <cell r="AK288">
            <v>0</v>
          </cell>
        </row>
        <row r="289">
          <cell r="F289">
            <v>0</v>
          </cell>
          <cell r="P289">
            <v>0</v>
          </cell>
          <cell r="Q289">
            <v>0</v>
          </cell>
          <cell r="R289">
            <v>0</v>
          </cell>
          <cell r="S289">
            <v>0</v>
          </cell>
          <cell r="T289">
            <v>0</v>
          </cell>
          <cell r="U289">
            <v>0</v>
          </cell>
          <cell r="V289">
            <v>0</v>
          </cell>
          <cell r="W289">
            <v>0</v>
          </cell>
          <cell r="X289">
            <v>-15</v>
          </cell>
          <cell r="Y289">
            <v>0</v>
          </cell>
          <cell r="Z289">
            <v>0</v>
          </cell>
          <cell r="AA289">
            <v>0</v>
          </cell>
          <cell r="AB289">
            <v>0</v>
          </cell>
          <cell r="AC289">
            <v>-70</v>
          </cell>
          <cell r="AD289">
            <v>0</v>
          </cell>
          <cell r="AE289">
            <v>0</v>
          </cell>
          <cell r="AF289">
            <v>0</v>
          </cell>
          <cell r="AG289">
            <v>0</v>
          </cell>
          <cell r="AH289">
            <v>0</v>
          </cell>
          <cell r="AI289">
            <v>283.60000000000002</v>
          </cell>
          <cell r="AK289">
            <v>0</v>
          </cell>
        </row>
        <row r="290">
          <cell r="F290">
            <v>2383</v>
          </cell>
          <cell r="P290">
            <v>206</v>
          </cell>
          <cell r="Q290">
            <v>0</v>
          </cell>
          <cell r="R290">
            <v>0</v>
          </cell>
          <cell r="S290">
            <v>1138</v>
          </cell>
          <cell r="T290">
            <v>0</v>
          </cell>
          <cell r="U290">
            <v>0</v>
          </cell>
          <cell r="V290">
            <v>206</v>
          </cell>
          <cell r="W290">
            <v>0</v>
          </cell>
          <cell r="X290">
            <v>0</v>
          </cell>
          <cell r="Y290">
            <v>0</v>
          </cell>
          <cell r="Z290">
            <v>0</v>
          </cell>
          <cell r="AA290">
            <v>386</v>
          </cell>
          <cell r="AB290">
            <v>0</v>
          </cell>
          <cell r="AC290">
            <v>0</v>
          </cell>
          <cell r="AD290">
            <v>0</v>
          </cell>
          <cell r="AE290">
            <v>0</v>
          </cell>
          <cell r="AF290">
            <v>519</v>
          </cell>
          <cell r="AG290">
            <v>354</v>
          </cell>
          <cell r="AH290">
            <v>158</v>
          </cell>
          <cell r="AI290">
            <v>118.4</v>
          </cell>
          <cell r="AK290">
            <v>5204</v>
          </cell>
        </row>
        <row r="291">
          <cell r="F291">
            <v>2</v>
          </cell>
          <cell r="P291">
            <v>13</v>
          </cell>
          <cell r="Q291">
            <v>0</v>
          </cell>
          <cell r="R291">
            <v>0</v>
          </cell>
          <cell r="S291">
            <v>212</v>
          </cell>
          <cell r="T291">
            <v>0</v>
          </cell>
          <cell r="U291">
            <v>0</v>
          </cell>
          <cell r="V291">
            <v>11</v>
          </cell>
          <cell r="W291">
            <v>0</v>
          </cell>
          <cell r="X291">
            <v>0</v>
          </cell>
          <cell r="Y291">
            <v>0</v>
          </cell>
          <cell r="Z291">
            <v>0</v>
          </cell>
          <cell r="AA291">
            <v>201</v>
          </cell>
          <cell r="AB291">
            <v>0</v>
          </cell>
          <cell r="AC291">
            <v>0</v>
          </cell>
          <cell r="AD291">
            <v>0</v>
          </cell>
          <cell r="AE291">
            <v>0</v>
          </cell>
          <cell r="AF291">
            <v>115</v>
          </cell>
          <cell r="AG291">
            <v>70</v>
          </cell>
          <cell r="AH291">
            <v>38</v>
          </cell>
          <cell r="AI291">
            <v>0</v>
          </cell>
          <cell r="AK291">
            <v>570</v>
          </cell>
        </row>
        <row r="292">
          <cell r="F292">
            <v>2</v>
          </cell>
          <cell r="P292">
            <v>42</v>
          </cell>
          <cell r="S292">
            <v>319</v>
          </cell>
          <cell r="V292">
            <v>85</v>
          </cell>
          <cell r="X292">
            <v>0</v>
          </cell>
          <cell r="AA292">
            <v>84</v>
          </cell>
          <cell r="AC292">
            <v>0</v>
          </cell>
          <cell r="AF292">
            <v>194</v>
          </cell>
          <cell r="AG292">
            <v>133</v>
          </cell>
          <cell r="AH292">
            <v>61</v>
          </cell>
          <cell r="AI292">
            <v>0</v>
          </cell>
          <cell r="AK292">
            <v>726</v>
          </cell>
        </row>
        <row r="293">
          <cell r="F293">
            <v>2379</v>
          </cell>
          <cell r="P293">
            <v>151</v>
          </cell>
          <cell r="Q293">
            <v>0</v>
          </cell>
          <cell r="R293">
            <v>0</v>
          </cell>
          <cell r="S293">
            <v>607</v>
          </cell>
          <cell r="T293">
            <v>0</v>
          </cell>
          <cell r="U293">
            <v>0</v>
          </cell>
          <cell r="V293">
            <v>110</v>
          </cell>
          <cell r="W293">
            <v>0</v>
          </cell>
          <cell r="X293">
            <v>217</v>
          </cell>
          <cell r="Y293">
            <v>0</v>
          </cell>
          <cell r="Z293">
            <v>0</v>
          </cell>
          <cell r="AA293">
            <v>101</v>
          </cell>
          <cell r="AB293">
            <v>0</v>
          </cell>
          <cell r="AC293">
            <v>-188</v>
          </cell>
          <cell r="AF293">
            <v>210</v>
          </cell>
          <cell r="AG293">
            <v>151</v>
          </cell>
          <cell r="AH293">
            <v>59</v>
          </cell>
          <cell r="AI293">
            <v>0</v>
          </cell>
          <cell r="AK293">
            <v>3908</v>
          </cell>
        </row>
        <row r="294">
          <cell r="F294">
            <v>100</v>
          </cell>
          <cell r="P294">
            <v>0</v>
          </cell>
          <cell r="Q294">
            <v>0</v>
          </cell>
          <cell r="R294">
            <v>0</v>
          </cell>
          <cell r="S294">
            <v>97.666666666666629</v>
          </cell>
          <cell r="T294">
            <v>0</v>
          </cell>
          <cell r="U294">
            <v>0</v>
          </cell>
          <cell r="V294">
            <v>0</v>
          </cell>
          <cell r="W294">
            <v>0</v>
          </cell>
          <cell r="X294">
            <v>12</v>
          </cell>
          <cell r="Y294">
            <v>0</v>
          </cell>
          <cell r="Z294">
            <v>0</v>
          </cell>
          <cell r="AA294">
            <v>0</v>
          </cell>
          <cell r="AB294">
            <v>0</v>
          </cell>
          <cell r="AC294">
            <v>-372</v>
          </cell>
          <cell r="AD294">
            <v>0</v>
          </cell>
          <cell r="AE294">
            <v>0</v>
          </cell>
          <cell r="AF294">
            <v>0</v>
          </cell>
          <cell r="AG294">
            <v>0</v>
          </cell>
          <cell r="AH294">
            <v>0</v>
          </cell>
          <cell r="AI294">
            <v>165.2</v>
          </cell>
          <cell r="AK294">
            <v>0</v>
          </cell>
        </row>
        <row r="295">
          <cell r="F295">
            <v>25</v>
          </cell>
          <cell r="P295">
            <v>2</v>
          </cell>
          <cell r="S295">
            <v>7</v>
          </cell>
          <cell r="V295">
            <v>-129</v>
          </cell>
          <cell r="X295">
            <v>85</v>
          </cell>
          <cell r="AA295">
            <v>0</v>
          </cell>
          <cell r="AC295">
            <v>84</v>
          </cell>
          <cell r="AF295">
            <v>13</v>
          </cell>
          <cell r="AG295">
            <v>13</v>
          </cell>
          <cell r="AH295">
            <v>0</v>
          </cell>
          <cell r="AI295">
            <v>70</v>
          </cell>
          <cell r="AK295">
            <v>-82</v>
          </cell>
        </row>
        <row r="296">
          <cell r="F296">
            <v>44586.804761904765</v>
          </cell>
          <cell r="P296">
            <v>1115</v>
          </cell>
          <cell r="Q296">
            <v>0</v>
          </cell>
          <cell r="R296">
            <v>0</v>
          </cell>
          <cell r="S296">
            <v>4296</v>
          </cell>
          <cell r="T296">
            <v>-717.75479999999993</v>
          </cell>
          <cell r="U296">
            <v>-735.76520000000005</v>
          </cell>
          <cell r="V296">
            <v>602.1818181818187</v>
          </cell>
          <cell r="W296">
            <v>-951</v>
          </cell>
          <cell r="X296">
            <v>-222.13181818181818</v>
          </cell>
          <cell r="Y296">
            <v>0</v>
          </cell>
          <cell r="Z296">
            <v>0</v>
          </cell>
          <cell r="AA296">
            <v>2103.5757575757575</v>
          </cell>
          <cell r="AB296">
            <v>-314</v>
          </cell>
          <cell r="AC296">
            <v>-80.902424242424232</v>
          </cell>
          <cell r="AD296">
            <v>-293</v>
          </cell>
          <cell r="AE296">
            <v>-120.37515151515153</v>
          </cell>
          <cell r="AF296">
            <v>1365.8181818181815</v>
          </cell>
          <cell r="AG296">
            <v>1201</v>
          </cell>
          <cell r="AH296">
            <v>157.81818181818176</v>
          </cell>
          <cell r="AI296">
            <v>36</v>
          </cell>
          <cell r="AK296">
            <v>54477.380519480525</v>
          </cell>
        </row>
        <row r="297">
          <cell r="F297">
            <v>1606</v>
          </cell>
          <cell r="P297">
            <v>0</v>
          </cell>
          <cell r="S297">
            <v>425.33333333333337</v>
          </cell>
          <cell r="X297">
            <v>97.666666666666671</v>
          </cell>
          <cell r="AC297">
            <v>85.333333333333343</v>
          </cell>
          <cell r="AF297">
            <v>0</v>
          </cell>
          <cell r="AG297">
            <v>0</v>
          </cell>
          <cell r="AH297">
            <v>191</v>
          </cell>
          <cell r="AI297">
            <v>59.2</v>
          </cell>
          <cell r="AK297">
            <v>0</v>
          </cell>
        </row>
        <row r="298">
          <cell r="F298">
            <v>37</v>
          </cell>
          <cell r="P298">
            <v>62</v>
          </cell>
          <cell r="S298">
            <v>81</v>
          </cell>
          <cell r="X298">
            <v>-129.33333333333334</v>
          </cell>
          <cell r="AC298">
            <v>0</v>
          </cell>
          <cell r="AF298">
            <v>8</v>
          </cell>
          <cell r="AG298">
            <v>7</v>
          </cell>
          <cell r="AH298">
            <v>1</v>
          </cell>
          <cell r="AI298">
            <v>0</v>
          </cell>
          <cell r="AK298">
            <v>58.666666666666657</v>
          </cell>
        </row>
        <row r="299">
          <cell r="F299">
            <v>44586.804761904765</v>
          </cell>
          <cell r="G299">
            <v>0</v>
          </cell>
          <cell r="H299">
            <v>0</v>
          </cell>
          <cell r="P299">
            <v>1115</v>
          </cell>
          <cell r="Q299">
            <v>0</v>
          </cell>
          <cell r="R299">
            <v>0</v>
          </cell>
          <cell r="S299">
            <v>4296</v>
          </cell>
          <cell r="T299">
            <v>-717.75479999999993</v>
          </cell>
          <cell r="U299">
            <v>-735.76520000000005</v>
          </cell>
          <cell r="V299">
            <v>602.1818181818187</v>
          </cell>
          <cell r="W299">
            <v>-951</v>
          </cell>
          <cell r="X299">
            <v>-222.13181818181818</v>
          </cell>
          <cell r="Y299">
            <v>0</v>
          </cell>
          <cell r="Z299">
            <v>0</v>
          </cell>
          <cell r="AA299">
            <v>2103.5757575757575</v>
          </cell>
          <cell r="AB299">
            <v>0</v>
          </cell>
          <cell r="AC299">
            <v>867.45757575757523</v>
          </cell>
          <cell r="AF299">
            <v>1365.8181818181815</v>
          </cell>
          <cell r="AG299">
            <v>1016.9999999999998</v>
          </cell>
          <cell r="AH299">
            <v>348.81818181818176</v>
          </cell>
          <cell r="AI299">
            <v>0</v>
          </cell>
          <cell r="AK299">
            <v>54477.380519480525</v>
          </cell>
        </row>
        <row r="300">
          <cell r="F300">
            <v>0</v>
          </cell>
          <cell r="P300">
            <v>856.33333333333303</v>
          </cell>
          <cell r="Q300">
            <v>0</v>
          </cell>
          <cell r="R300">
            <v>0</v>
          </cell>
          <cell r="S300">
            <v>3315.151515151515</v>
          </cell>
          <cell r="T300">
            <v>-636.47477575757569</v>
          </cell>
          <cell r="U300">
            <v>-648.29007272727267</v>
          </cell>
          <cell r="V300">
            <v>0</v>
          </cell>
          <cell r="W300">
            <v>0</v>
          </cell>
          <cell r="X300">
            <v>2879.3030303030291</v>
          </cell>
          <cell r="Y300">
            <v>-779</v>
          </cell>
          <cell r="Z300">
            <v>-411.83636363636361</v>
          </cell>
          <cell r="AA300">
            <v>0</v>
          </cell>
          <cell r="AB300">
            <v>-9</v>
          </cell>
          <cell r="AC300">
            <v>1632.1818181818189</v>
          </cell>
          <cell r="AD300">
            <v>-234</v>
          </cell>
          <cell r="AE300">
            <v>-160.69515151515154</v>
          </cell>
          <cell r="AF300">
            <v>1603.272727272727</v>
          </cell>
          <cell r="AG300">
            <v>1166.272727272727</v>
          </cell>
          <cell r="AH300">
            <v>191</v>
          </cell>
          <cell r="AI300">
            <v>-618</v>
          </cell>
          <cell r="AK300">
            <v>0</v>
          </cell>
        </row>
        <row r="301">
          <cell r="F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K301">
            <v>0</v>
          </cell>
        </row>
        <row r="302">
          <cell r="F302">
            <v>0</v>
          </cell>
          <cell r="G302">
            <v>0</v>
          </cell>
          <cell r="H302">
            <v>0</v>
          </cell>
          <cell r="P302">
            <v>0</v>
          </cell>
          <cell r="Q302">
            <v>0</v>
          </cell>
          <cell r="R302">
            <v>0</v>
          </cell>
          <cell r="S302">
            <v>0</v>
          </cell>
          <cell r="T302">
            <v>-654.3785272727273</v>
          </cell>
          <cell r="U302">
            <v>-670.49601818181827</v>
          </cell>
          <cell r="V302">
            <v>0</v>
          </cell>
          <cell r="W302">
            <v>0</v>
          </cell>
          <cell r="X302">
            <v>627.1030303030293</v>
          </cell>
          <cell r="Y302">
            <v>-522</v>
          </cell>
          <cell r="Z302">
            <v>-184.38636363636363</v>
          </cell>
          <cell r="AA302">
            <v>0</v>
          </cell>
          <cell r="AB302">
            <v>0</v>
          </cell>
          <cell r="AC302">
            <v>867.45757575757523</v>
          </cell>
          <cell r="AF302">
            <v>0</v>
          </cell>
          <cell r="AG302">
            <v>0</v>
          </cell>
          <cell r="AH302">
            <v>0</v>
          </cell>
          <cell r="AK302">
            <v>0</v>
          </cell>
        </row>
        <row r="303">
          <cell r="F303">
            <v>0</v>
          </cell>
          <cell r="G303">
            <v>0</v>
          </cell>
          <cell r="H303">
            <v>0</v>
          </cell>
          <cell r="P303">
            <v>856.33333333333303</v>
          </cell>
          <cell r="Q303">
            <v>0</v>
          </cell>
          <cell r="R303">
            <v>0</v>
          </cell>
          <cell r="S303">
            <v>3315.151515151515</v>
          </cell>
          <cell r="T303">
            <v>-636.47477575757569</v>
          </cell>
          <cell r="U303">
            <v>-648.29007272727267</v>
          </cell>
          <cell r="V303">
            <v>0</v>
          </cell>
          <cell r="W303">
            <v>0</v>
          </cell>
          <cell r="X303">
            <v>2879.3030303030291</v>
          </cell>
          <cell r="Y303">
            <v>-779</v>
          </cell>
          <cell r="Z303">
            <v>-411.83636363636361</v>
          </cell>
          <cell r="AA303">
            <v>0</v>
          </cell>
          <cell r="AB303">
            <v>-9</v>
          </cell>
          <cell r="AC303">
            <v>1632.1818181818189</v>
          </cell>
          <cell r="AF303">
            <v>1603.272727272727</v>
          </cell>
          <cell r="AG303">
            <v>973.93939393939377</v>
          </cell>
          <cell r="AH303">
            <v>629.33333333333326</v>
          </cell>
          <cell r="AK303">
            <v>0</v>
          </cell>
        </row>
        <row r="304">
          <cell r="F304">
            <v>44586.804761904765</v>
          </cell>
          <cell r="P304">
            <v>1115</v>
          </cell>
          <cell r="Q304">
            <v>0</v>
          </cell>
          <cell r="R304">
            <v>0</v>
          </cell>
          <cell r="S304">
            <v>4296</v>
          </cell>
          <cell r="T304">
            <v>-717.75479999999993</v>
          </cell>
          <cell r="U304">
            <v>-735.76520000000005</v>
          </cell>
          <cell r="V304">
            <v>602.1818181818187</v>
          </cell>
          <cell r="W304">
            <v>-951</v>
          </cell>
          <cell r="X304">
            <v>-222.13181818181818</v>
          </cell>
          <cell r="Y304">
            <v>0</v>
          </cell>
          <cell r="Z304">
            <v>0</v>
          </cell>
          <cell r="AA304">
            <v>2103.5757575757575</v>
          </cell>
          <cell r="AB304">
            <v>-314</v>
          </cell>
          <cell r="AC304">
            <v>-80.902424242424232</v>
          </cell>
          <cell r="AD304">
            <v>-293</v>
          </cell>
          <cell r="AE304">
            <v>-120.37515151515153</v>
          </cell>
          <cell r="AF304">
            <v>1365.8181818181815</v>
          </cell>
          <cell r="AG304">
            <v>1016.9999999999998</v>
          </cell>
          <cell r="AH304">
            <v>348.81818181818176</v>
          </cell>
          <cell r="AK304">
            <v>54477.380519480525</v>
          </cell>
        </row>
        <row r="305">
          <cell r="F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K305">
            <v>0</v>
          </cell>
        </row>
        <row r="306">
          <cell r="F306">
            <v>0</v>
          </cell>
          <cell r="P306">
            <v>0</v>
          </cell>
          <cell r="S306">
            <v>0</v>
          </cell>
          <cell r="X306">
            <v>0</v>
          </cell>
          <cell r="AC306">
            <v>0</v>
          </cell>
          <cell r="AF306">
            <v>0</v>
          </cell>
          <cell r="AG306">
            <v>0</v>
          </cell>
          <cell r="AH306">
            <v>0</v>
          </cell>
          <cell r="AI306">
            <v>0</v>
          </cell>
          <cell r="AK306">
            <v>0</v>
          </cell>
        </row>
        <row r="307">
          <cell r="F307">
            <v>41158.976190476198</v>
          </cell>
          <cell r="P307">
            <v>1708.5</v>
          </cell>
          <cell r="Q307">
            <v>0</v>
          </cell>
          <cell r="R307">
            <v>0</v>
          </cell>
          <cell r="S307">
            <v>0</v>
          </cell>
          <cell r="T307">
            <v>-654.3785272727273</v>
          </cell>
          <cell r="U307">
            <v>-670.49601818181827</v>
          </cell>
          <cell r="V307">
            <v>0</v>
          </cell>
          <cell r="W307">
            <v>0</v>
          </cell>
          <cell r="X307">
            <v>627.1030303030293</v>
          </cell>
          <cell r="Y307">
            <v>-522</v>
          </cell>
          <cell r="Z307">
            <v>-184.38636363636363</v>
          </cell>
          <cell r="AA307">
            <v>0</v>
          </cell>
          <cell r="AB307">
            <v>0</v>
          </cell>
          <cell r="AC307">
            <v>867.45757575757523</v>
          </cell>
          <cell r="AF307">
            <v>534.23939393939372</v>
          </cell>
          <cell r="AG307">
            <v>206.29999999999984</v>
          </cell>
          <cell r="AH307">
            <v>327.93939393939388</v>
          </cell>
          <cell r="AK307">
            <v>0</v>
          </cell>
        </row>
        <row r="308">
          <cell r="F308">
            <v>3400</v>
          </cell>
          <cell r="P308">
            <v>856.33333333333303</v>
          </cell>
          <cell r="Q308">
            <v>0</v>
          </cell>
          <cell r="R308">
            <v>0</v>
          </cell>
          <cell r="S308">
            <v>3315.151515151515</v>
          </cell>
          <cell r="T308">
            <v>-636.47477575757569</v>
          </cell>
          <cell r="U308">
            <v>-648.29007272727267</v>
          </cell>
          <cell r="V308">
            <v>0</v>
          </cell>
          <cell r="W308">
            <v>0</v>
          </cell>
          <cell r="X308">
            <v>2879.3030303030291</v>
          </cell>
          <cell r="Y308">
            <v>-779</v>
          </cell>
          <cell r="Z308">
            <v>-411.83636363636361</v>
          </cell>
          <cell r="AA308">
            <v>0</v>
          </cell>
          <cell r="AB308">
            <v>-9</v>
          </cell>
          <cell r="AC308">
            <v>1632.1818181818189</v>
          </cell>
          <cell r="AD308">
            <v>-234</v>
          </cell>
          <cell r="AE308">
            <v>-160.69515151515154</v>
          </cell>
          <cell r="AF308">
            <v>1603.272727272727</v>
          </cell>
          <cell r="AG308">
            <v>973.93939393939377</v>
          </cell>
          <cell r="AH308">
            <v>629.33333333333326</v>
          </cell>
          <cell r="AI308">
            <v>-618</v>
          </cell>
          <cell r="AK308">
            <v>3400</v>
          </cell>
        </row>
        <row r="309">
          <cell r="P309">
            <v>0</v>
          </cell>
          <cell r="S309">
            <v>0</v>
          </cell>
          <cell r="AK309">
            <v>0</v>
          </cell>
        </row>
        <row r="310">
          <cell r="F310">
            <v>0</v>
          </cell>
          <cell r="P310">
            <v>0</v>
          </cell>
          <cell r="S310">
            <v>0</v>
          </cell>
          <cell r="AK310">
            <v>0</v>
          </cell>
        </row>
        <row r="311">
          <cell r="F311">
            <v>3500</v>
          </cell>
          <cell r="S311">
            <v>0</v>
          </cell>
          <cell r="AK311">
            <v>0</v>
          </cell>
        </row>
        <row r="312">
          <cell r="F312">
            <v>3500</v>
          </cell>
          <cell r="S312">
            <v>0</v>
          </cell>
          <cell r="AK312">
            <v>3500</v>
          </cell>
        </row>
        <row r="313">
          <cell r="F313">
            <v>0</v>
          </cell>
          <cell r="S313">
            <v>0</v>
          </cell>
          <cell r="AK313">
            <v>0</v>
          </cell>
        </row>
        <row r="314">
          <cell r="F314">
            <v>0</v>
          </cell>
          <cell r="S314">
            <v>0</v>
          </cell>
          <cell r="AK314">
            <v>0</v>
          </cell>
        </row>
        <row r="315">
          <cell r="F315">
            <v>44586.804761904765</v>
          </cell>
          <cell r="P315">
            <v>1115</v>
          </cell>
          <cell r="Q315">
            <v>0</v>
          </cell>
          <cell r="R315">
            <v>0</v>
          </cell>
          <cell r="S315">
            <v>4296</v>
          </cell>
          <cell r="T315">
            <v>-717.75479999999993</v>
          </cell>
          <cell r="U315">
            <v>-735.76520000000005</v>
          </cell>
          <cell r="V315">
            <v>602.1818181818187</v>
          </cell>
          <cell r="W315">
            <v>-951</v>
          </cell>
          <cell r="X315">
            <v>-222.13181818181818</v>
          </cell>
          <cell r="Y315">
            <v>0</v>
          </cell>
          <cell r="Z315">
            <v>0</v>
          </cell>
          <cell r="AA315">
            <v>2103.5757575757575</v>
          </cell>
          <cell r="AB315">
            <v>-314</v>
          </cell>
          <cell r="AC315">
            <v>-80.902424242424232</v>
          </cell>
          <cell r="AD315">
            <v>-293</v>
          </cell>
          <cell r="AE315">
            <v>-120.37515151515153</v>
          </cell>
          <cell r="AF315">
            <v>1365.8181818181815</v>
          </cell>
          <cell r="AG315">
            <v>1016.9999999999998</v>
          </cell>
          <cell r="AH315">
            <v>348.81818181818176</v>
          </cell>
          <cell r="AK315">
            <v>54477.380519480525</v>
          </cell>
        </row>
        <row r="316">
          <cell r="AK316">
            <v>0</v>
          </cell>
        </row>
        <row r="317">
          <cell r="S317">
            <v>0</v>
          </cell>
          <cell r="AK317">
            <v>0</v>
          </cell>
        </row>
        <row r="318">
          <cell r="F318">
            <v>41158.976190476198</v>
          </cell>
          <cell r="P318">
            <v>1708.5</v>
          </cell>
          <cell r="Q318">
            <v>0</v>
          </cell>
          <cell r="R318">
            <v>0</v>
          </cell>
          <cell r="S318">
            <v>930.52121212121165</v>
          </cell>
          <cell r="T318">
            <v>-654.3785272727273</v>
          </cell>
          <cell r="U318">
            <v>-670.49601818181827</v>
          </cell>
          <cell r="V318">
            <v>0</v>
          </cell>
          <cell r="W318">
            <v>0</v>
          </cell>
          <cell r="X318">
            <v>627.1030303030293</v>
          </cell>
          <cell r="Y318">
            <v>-522</v>
          </cell>
          <cell r="Z318">
            <v>-184.38636363636363</v>
          </cell>
          <cell r="AA318">
            <v>0</v>
          </cell>
          <cell r="AB318">
            <v>0</v>
          </cell>
          <cell r="AC318">
            <v>867.45757575757523</v>
          </cell>
          <cell r="AF318">
            <v>534.23939393939372</v>
          </cell>
          <cell r="AG318">
            <v>206.29999999999984</v>
          </cell>
          <cell r="AH318">
            <v>327.93939393939388</v>
          </cell>
          <cell r="AK318">
            <v>46195.597402597406</v>
          </cell>
        </row>
        <row r="319">
          <cell r="F319">
            <v>47206.733333333337</v>
          </cell>
          <cell r="P319">
            <v>856.33333333333303</v>
          </cell>
          <cell r="Q319">
            <v>0</v>
          </cell>
          <cell r="R319">
            <v>0</v>
          </cell>
          <cell r="S319">
            <v>3315.151515151515</v>
          </cell>
          <cell r="T319">
            <v>-636.47477575757569</v>
          </cell>
          <cell r="U319">
            <v>-648.29007272727267</v>
          </cell>
          <cell r="V319">
            <v>0</v>
          </cell>
          <cell r="W319">
            <v>0</v>
          </cell>
          <cell r="X319">
            <v>2879.3030303030291</v>
          </cell>
          <cell r="Y319">
            <v>-779</v>
          </cell>
          <cell r="Z319">
            <v>-411.83636363636361</v>
          </cell>
          <cell r="AA319">
            <v>0</v>
          </cell>
          <cell r="AB319">
            <v>-9</v>
          </cell>
          <cell r="AC319">
            <v>1632.1818181818189</v>
          </cell>
          <cell r="AD319">
            <v>-234</v>
          </cell>
          <cell r="AE319">
            <v>-160.69515151515154</v>
          </cell>
          <cell r="AF319">
            <v>1603.272727272727</v>
          </cell>
          <cell r="AG319">
            <v>973.93939393939377</v>
          </cell>
          <cell r="AH319">
            <v>629.33333333333326</v>
          </cell>
          <cell r="AI319">
            <v>-618</v>
          </cell>
          <cell r="AK319">
            <v>57767.975757575761</v>
          </cell>
        </row>
        <row r="324">
          <cell r="AK324">
            <v>7180.8099999999995</v>
          </cell>
          <cell r="AM324">
            <v>5319.75</v>
          </cell>
        </row>
        <row r="325">
          <cell r="F325">
            <v>116</v>
          </cell>
          <cell r="P325">
            <v>329</v>
          </cell>
          <cell r="S325">
            <v>570</v>
          </cell>
          <cell r="V325">
            <v>197</v>
          </cell>
          <cell r="X325">
            <v>203</v>
          </cell>
          <cell r="AA325">
            <v>163</v>
          </cell>
          <cell r="AC325">
            <v>166</v>
          </cell>
          <cell r="AF325">
            <v>507</v>
          </cell>
          <cell r="AG325">
            <v>445</v>
          </cell>
          <cell r="AH325">
            <v>62</v>
          </cell>
          <cell r="AK325">
            <v>2016</v>
          </cell>
          <cell r="AM325">
            <v>1509</v>
          </cell>
        </row>
        <row r="326">
          <cell r="AK326">
            <v>7379.804761904762</v>
          </cell>
          <cell r="AM326">
            <v>7379.804761904762</v>
          </cell>
        </row>
        <row r="327">
          <cell r="AK327">
            <v>921.33333333333337</v>
          </cell>
          <cell r="AM327">
            <v>921.33333333333337</v>
          </cell>
        </row>
        <row r="328">
          <cell r="F328">
            <v>186</v>
          </cell>
          <cell r="P328">
            <v>348</v>
          </cell>
          <cell r="S328">
            <v>517</v>
          </cell>
          <cell r="X328">
            <v>175</v>
          </cell>
          <cell r="AC328">
            <v>146</v>
          </cell>
          <cell r="AF328">
            <v>470</v>
          </cell>
          <cell r="AG328">
            <v>407</v>
          </cell>
          <cell r="AH328">
            <v>63</v>
          </cell>
          <cell r="AJ328">
            <v>2455</v>
          </cell>
          <cell r="AK328">
            <v>-82</v>
          </cell>
          <cell r="AM328">
            <v>-95</v>
          </cell>
        </row>
        <row r="329">
          <cell r="F329">
            <v>137</v>
          </cell>
          <cell r="P329">
            <v>237</v>
          </cell>
          <cell r="S329">
            <v>515</v>
          </cell>
          <cell r="X329">
            <v>201</v>
          </cell>
          <cell r="AC329">
            <v>161</v>
          </cell>
          <cell r="AF329">
            <v>444</v>
          </cell>
          <cell r="AG329">
            <v>400</v>
          </cell>
          <cell r="AH329">
            <v>44</v>
          </cell>
          <cell r="AI329">
            <v>103</v>
          </cell>
          <cell r="AK329">
            <v>2514.4714285714285</v>
          </cell>
          <cell r="AM329">
            <v>2514.4714285714285</v>
          </cell>
        </row>
        <row r="330">
          <cell r="AJ330">
            <v>36</v>
          </cell>
          <cell r="AK330">
            <v>3500</v>
          </cell>
          <cell r="AM330">
            <v>3500</v>
          </cell>
        </row>
        <row r="331">
          <cell r="AK331">
            <v>0</v>
          </cell>
          <cell r="AM331">
            <v>50.666666666666657</v>
          </cell>
        </row>
        <row r="332">
          <cell r="AJ332">
            <v>36</v>
          </cell>
          <cell r="AK332">
            <v>444</v>
          </cell>
          <cell r="AM332">
            <v>444</v>
          </cell>
        </row>
        <row r="333">
          <cell r="AK333">
            <v>3995</v>
          </cell>
          <cell r="AM333">
            <v>3500</v>
          </cell>
        </row>
        <row r="334">
          <cell r="AK334">
            <v>0</v>
          </cell>
          <cell r="AM334">
            <v>0</v>
          </cell>
        </row>
        <row r="335">
          <cell r="AK335">
            <v>3422</v>
          </cell>
          <cell r="AM335">
            <v>3018</v>
          </cell>
        </row>
        <row r="336">
          <cell r="AK336">
            <v>3795.909090909091</v>
          </cell>
          <cell r="AM336">
            <v>3366.090909090909</v>
          </cell>
        </row>
        <row r="337">
          <cell r="AK337">
            <v>0</v>
          </cell>
          <cell r="AM337">
            <v>0</v>
          </cell>
        </row>
        <row r="338">
          <cell r="AK338">
            <v>0</v>
          </cell>
          <cell r="AM338">
            <v>0</v>
          </cell>
        </row>
        <row r="339">
          <cell r="AK339">
            <v>0</v>
          </cell>
          <cell r="AM339">
            <v>0</v>
          </cell>
        </row>
        <row r="340">
          <cell r="AK340">
            <v>4588</v>
          </cell>
          <cell r="AM340">
            <v>4020</v>
          </cell>
        </row>
        <row r="341">
          <cell r="AK341">
            <v>1703</v>
          </cell>
          <cell r="AM341">
            <v>1360</v>
          </cell>
        </row>
        <row r="342">
          <cell r="AK342">
            <v>1059</v>
          </cell>
          <cell r="AM342">
            <v>1034</v>
          </cell>
        </row>
        <row r="343">
          <cell r="AK343">
            <v>1370</v>
          </cell>
          <cell r="AM343">
            <v>4166</v>
          </cell>
        </row>
        <row r="344">
          <cell r="AK344">
            <v>456</v>
          </cell>
          <cell r="AM344">
            <v>1457</v>
          </cell>
        </row>
        <row r="345">
          <cell r="AK345">
            <v>0</v>
          </cell>
          <cell r="AM345">
            <v>0</v>
          </cell>
        </row>
        <row r="346">
          <cell r="AK346">
            <v>-300</v>
          </cell>
          <cell r="AM346">
            <v>-300</v>
          </cell>
        </row>
        <row r="347">
          <cell r="AK347">
            <v>1197</v>
          </cell>
          <cell r="AM347">
            <v>527</v>
          </cell>
        </row>
        <row r="348">
          <cell r="P348">
            <v>225</v>
          </cell>
          <cell r="S348">
            <v>296</v>
          </cell>
          <cell r="V348">
            <v>56</v>
          </cell>
          <cell r="X348">
            <v>56</v>
          </cell>
          <cell r="AA348">
            <v>-78.090909090909093</v>
          </cell>
          <cell r="AC348">
            <v>561.88181818181829</v>
          </cell>
          <cell r="AF348">
            <v>-250.18181818181819</v>
          </cell>
          <cell r="AG348">
            <v>-250</v>
          </cell>
          <cell r="AH348">
            <v>-0.18181818181818699</v>
          </cell>
          <cell r="AK348">
            <v>248.72727272727269</v>
          </cell>
          <cell r="AM348">
            <v>0</v>
          </cell>
        </row>
        <row r="349">
          <cell r="AK349">
            <v>0</v>
          </cell>
          <cell r="AM349">
            <v>0</v>
          </cell>
        </row>
        <row r="350">
          <cell r="F350">
            <v>33</v>
          </cell>
          <cell r="P350">
            <v>0</v>
          </cell>
          <cell r="S350">
            <v>0</v>
          </cell>
          <cell r="V350">
            <v>0</v>
          </cell>
          <cell r="X350">
            <v>0</v>
          </cell>
          <cell r="AA350">
            <v>0</v>
          </cell>
          <cell r="AC350">
            <v>0</v>
          </cell>
          <cell r="AF350">
            <v>0</v>
          </cell>
          <cell r="AG350">
            <v>0</v>
          </cell>
          <cell r="AH350">
            <v>0</v>
          </cell>
          <cell r="AK350">
            <v>396</v>
          </cell>
          <cell r="AM350">
            <v>396</v>
          </cell>
        </row>
        <row r="351">
          <cell r="P351">
            <v>225</v>
          </cell>
          <cell r="S351">
            <v>296</v>
          </cell>
          <cell r="X351">
            <v>56</v>
          </cell>
          <cell r="AC351">
            <v>-117.85909090909095</v>
          </cell>
          <cell r="AF351">
            <v>-167.67727272727276</v>
          </cell>
          <cell r="AG351">
            <v>-167.95000000000005</v>
          </cell>
          <cell r="AH351">
            <v>0.27272727272728048</v>
          </cell>
          <cell r="AK351">
            <v>395</v>
          </cell>
          <cell r="AM351">
            <v>395</v>
          </cell>
        </row>
        <row r="352">
          <cell r="P352">
            <v>225</v>
          </cell>
          <cell r="S352">
            <v>296</v>
          </cell>
          <cell r="X352">
            <v>56</v>
          </cell>
          <cell r="AC352">
            <v>76.181818181818187</v>
          </cell>
          <cell r="AF352">
            <v>304.27272727272725</v>
          </cell>
          <cell r="AG352">
            <v>291.27272727272725</v>
          </cell>
          <cell r="AH352">
            <v>13</v>
          </cell>
          <cell r="AK352">
            <v>0</v>
          </cell>
          <cell r="AM352">
            <v>0</v>
          </cell>
        </row>
        <row r="353">
          <cell r="F353">
            <v>33</v>
          </cell>
          <cell r="P353">
            <v>0</v>
          </cell>
          <cell r="S353">
            <v>0</v>
          </cell>
          <cell r="X353">
            <v>0</v>
          </cell>
          <cell r="AC353">
            <v>0</v>
          </cell>
          <cell r="AF353">
            <v>0</v>
          </cell>
          <cell r="AG353">
            <v>0</v>
          </cell>
          <cell r="AH353">
            <v>0</v>
          </cell>
          <cell r="AK353">
            <v>0</v>
          </cell>
          <cell r="AM353">
            <v>0</v>
          </cell>
        </row>
        <row r="354">
          <cell r="F354">
            <v>0</v>
          </cell>
          <cell r="P354">
            <v>0</v>
          </cell>
          <cell r="S354">
            <v>0</v>
          </cell>
          <cell r="X354">
            <v>0</v>
          </cell>
          <cell r="AC354">
            <v>0</v>
          </cell>
          <cell r="AF354">
            <v>0</v>
          </cell>
          <cell r="AG354">
            <v>0</v>
          </cell>
          <cell r="AH354">
            <v>0</v>
          </cell>
          <cell r="AI354">
            <v>0</v>
          </cell>
          <cell r="AK354">
            <v>5204</v>
          </cell>
          <cell r="AM354" t="e">
            <v>#REF!</v>
          </cell>
        </row>
        <row r="355">
          <cell r="AK355">
            <v>570</v>
          </cell>
          <cell r="AM355">
            <v>0</v>
          </cell>
        </row>
        <row r="356">
          <cell r="AK356">
            <v>726</v>
          </cell>
          <cell r="AM356">
            <v>0</v>
          </cell>
        </row>
        <row r="357">
          <cell r="AK357">
            <v>3908</v>
          </cell>
          <cell r="AM357" t="e">
            <v>#REF!</v>
          </cell>
        </row>
        <row r="358">
          <cell r="F358">
            <v>0</v>
          </cell>
          <cell r="P358">
            <v>0</v>
          </cell>
          <cell r="S358">
            <v>0</v>
          </cell>
          <cell r="T358">
            <v>162.88</v>
          </cell>
          <cell r="U358">
            <v>855.12</v>
          </cell>
          <cell r="V358">
            <v>471</v>
          </cell>
          <cell r="W358">
            <v>447</v>
          </cell>
          <cell r="X358">
            <v>104</v>
          </cell>
          <cell r="Y358">
            <v>359</v>
          </cell>
          <cell r="Z358">
            <v>141.33333333333337</v>
          </cell>
          <cell r="AA358">
            <v>273</v>
          </cell>
          <cell r="AB358">
            <v>455</v>
          </cell>
          <cell r="AC358">
            <v>118</v>
          </cell>
          <cell r="AD358">
            <v>289</v>
          </cell>
          <cell r="AE358">
            <v>117</v>
          </cell>
          <cell r="AF358">
            <v>-28</v>
          </cell>
          <cell r="AG358">
            <v>-28</v>
          </cell>
          <cell r="AH358">
            <v>0</v>
          </cell>
          <cell r="AJ358">
            <v>-2491</v>
          </cell>
          <cell r="AK358">
            <v>716</v>
          </cell>
          <cell r="AM358">
            <v>744</v>
          </cell>
        </row>
        <row r="359">
          <cell r="AK359">
            <v>726.33333333333337</v>
          </cell>
        </row>
        <row r="360">
          <cell r="AK360">
            <v>3865</v>
          </cell>
        </row>
        <row r="361">
          <cell r="F361">
            <v>0</v>
          </cell>
          <cell r="P361">
            <v>0</v>
          </cell>
          <cell r="S361">
            <v>1018</v>
          </cell>
          <cell r="T361">
            <v>162.88</v>
          </cell>
          <cell r="U361">
            <v>855.12</v>
          </cell>
          <cell r="X361">
            <v>466</v>
          </cell>
          <cell r="Y361">
            <v>407</v>
          </cell>
          <cell r="Z361">
            <v>144</v>
          </cell>
          <cell r="AC361">
            <v>523.66666666666663</v>
          </cell>
          <cell r="AF361">
            <v>495</v>
          </cell>
          <cell r="AG361">
            <v>526</v>
          </cell>
          <cell r="AH361">
            <v>0</v>
          </cell>
          <cell r="AK361">
            <v>2512.6666666666665</v>
          </cell>
          <cell r="AM361">
            <v>2017.6666666666665</v>
          </cell>
        </row>
        <row r="362">
          <cell r="F362">
            <v>79</v>
          </cell>
          <cell r="P362">
            <v>-116</v>
          </cell>
          <cell r="S362">
            <v>-1222</v>
          </cell>
          <cell r="T362">
            <v>180.16</v>
          </cell>
          <cell r="U362">
            <v>945.84</v>
          </cell>
          <cell r="X362">
            <v>345</v>
          </cell>
          <cell r="Y362">
            <v>368</v>
          </cell>
          <cell r="Z362">
            <v>195</v>
          </cell>
          <cell r="AC362">
            <v>518</v>
          </cell>
          <cell r="AD362">
            <v>423</v>
          </cell>
          <cell r="AE362">
            <v>290</v>
          </cell>
          <cell r="AF362">
            <v>126</v>
          </cell>
          <cell r="AG362">
            <v>126</v>
          </cell>
          <cell r="AH362">
            <v>0</v>
          </cell>
          <cell r="AI362">
            <v>0</v>
          </cell>
          <cell r="AK362">
            <v>-270</v>
          </cell>
          <cell r="AM362">
            <v>-396</v>
          </cell>
        </row>
        <row r="367">
          <cell r="F367">
            <v>0</v>
          </cell>
        </row>
        <row r="370">
          <cell r="F370">
            <v>0</v>
          </cell>
        </row>
        <row r="371">
          <cell r="F371">
            <v>0</v>
          </cell>
        </row>
        <row r="381">
          <cell r="F381" t="str">
            <v>лютий</v>
          </cell>
          <cell r="P381" t="str">
            <v>лютий</v>
          </cell>
          <cell r="V381" t="str">
            <v>лютий</v>
          </cell>
          <cell r="X381" t="str">
            <v>лютий</v>
          </cell>
          <cell r="AA381" t="str">
            <v>лютий</v>
          </cell>
          <cell r="AC381" t="str">
            <v>лютий</v>
          </cell>
        </row>
        <row r="382">
          <cell r="F382" t="str">
            <v>АППАРАТ</v>
          </cell>
          <cell r="P382" t="str">
            <v>ККМ</v>
          </cell>
          <cell r="V382" t="str">
            <v>ТЕЦ5</v>
          </cell>
          <cell r="X382" t="str">
            <v>ТЕЦ5</v>
          </cell>
          <cell r="AA382" t="str">
            <v>ТЕЦ6</v>
          </cell>
          <cell r="AC382" t="str">
            <v>ТЕЦ6</v>
          </cell>
          <cell r="AK382" t="str">
            <v>АК "КЕ"</v>
          </cell>
          <cell r="AL382" t="str">
            <v>Е/Е</v>
          </cell>
        </row>
        <row r="383">
          <cell r="F383" t="str">
            <v>ПЛАН</v>
          </cell>
          <cell r="P383" t="str">
            <v>ПЛАН</v>
          </cell>
          <cell r="V383" t="str">
            <v>ПЛАН</v>
          </cell>
          <cell r="X383" t="str">
            <v>ПЛАН</v>
          </cell>
          <cell r="AA383" t="str">
            <v>ПЛАН</v>
          </cell>
          <cell r="AC383" t="str">
            <v>ПЛАН</v>
          </cell>
          <cell r="AK383" t="str">
            <v>ПЛАН</v>
          </cell>
          <cell r="AL383" t="str">
            <v>ПЛАН</v>
          </cell>
        </row>
        <row r="384">
          <cell r="F384">
            <v>164.3</v>
          </cell>
          <cell r="G384">
            <v>120</v>
          </cell>
          <cell r="H384">
            <v>119</v>
          </cell>
          <cell r="P384">
            <v>14.333333333333332</v>
          </cell>
          <cell r="S384">
            <v>14.333333333333332</v>
          </cell>
          <cell r="V384">
            <v>182</v>
          </cell>
          <cell r="W384">
            <v>148</v>
          </cell>
          <cell r="X384">
            <v>148</v>
          </cell>
          <cell r="Y384">
            <v>131</v>
          </cell>
          <cell r="Z384">
            <v>130</v>
          </cell>
          <cell r="AA384">
            <v>323.66666666666674</v>
          </cell>
          <cell r="AB384">
            <v>257</v>
          </cell>
          <cell r="AC384">
            <v>258</v>
          </cell>
          <cell r="AD384">
            <v>230</v>
          </cell>
          <cell r="AE384">
            <v>231</v>
          </cell>
          <cell r="AK384">
            <v>735.30000000000018</v>
          </cell>
          <cell r="AL384">
            <v>580.33333333333337</v>
          </cell>
          <cell r="AM384">
            <v>551.33333333333337</v>
          </cell>
        </row>
        <row r="385">
          <cell r="F385">
            <v>29</v>
          </cell>
          <cell r="G385">
            <v>21</v>
          </cell>
          <cell r="P385">
            <v>0</v>
          </cell>
          <cell r="V385">
            <v>0</v>
          </cell>
          <cell r="W385">
            <v>0</v>
          </cell>
          <cell r="X385" t="str">
            <v>ТЕЦ5</v>
          </cell>
          <cell r="Y385">
            <v>0</v>
          </cell>
          <cell r="AA385">
            <v>3.6666666666666665</v>
          </cell>
          <cell r="AB385">
            <v>3</v>
          </cell>
          <cell r="AC385" t="str">
            <v>ТЕЦ6</v>
          </cell>
          <cell r="AD385">
            <v>3</v>
          </cell>
          <cell r="AK385">
            <v>46</v>
          </cell>
          <cell r="AL385">
            <v>27</v>
          </cell>
        </row>
        <row r="386">
          <cell r="F386">
            <v>0</v>
          </cell>
          <cell r="G386">
            <v>0</v>
          </cell>
          <cell r="H386">
            <v>91</v>
          </cell>
          <cell r="P386">
            <v>0.66666666666666663</v>
          </cell>
          <cell r="S386">
            <v>14.333333333333332</v>
          </cell>
          <cell r="V386">
            <v>146.66666666666666</v>
          </cell>
          <cell r="W386">
            <v>119</v>
          </cell>
          <cell r="X386" t="str">
            <v>ПЛАН</v>
          </cell>
          <cell r="Y386">
            <v>105</v>
          </cell>
          <cell r="Z386">
            <v>120</v>
          </cell>
          <cell r="AA386">
            <v>280.66666666666669</v>
          </cell>
          <cell r="AB386">
            <v>223</v>
          </cell>
          <cell r="AC386" t="str">
            <v>ПЛАН</v>
          </cell>
          <cell r="AD386">
            <v>200</v>
          </cell>
          <cell r="AE386">
            <v>191</v>
          </cell>
          <cell r="AK386">
            <v>428</v>
          </cell>
          <cell r="AL386">
            <v>342.66666666666669</v>
          </cell>
          <cell r="AM386">
            <v>429.33333333333331</v>
          </cell>
        </row>
        <row r="387">
          <cell r="F387">
            <v>0</v>
          </cell>
          <cell r="G387">
            <v>0</v>
          </cell>
          <cell r="H387">
            <v>106</v>
          </cell>
          <cell r="P387">
            <v>2</v>
          </cell>
          <cell r="S387">
            <v>14.333333333333332</v>
          </cell>
          <cell r="V387">
            <v>0</v>
          </cell>
          <cell r="W387">
            <v>0</v>
          </cell>
          <cell r="X387">
            <v>182</v>
          </cell>
          <cell r="Y387">
            <v>134</v>
          </cell>
          <cell r="Z387">
            <v>134</v>
          </cell>
          <cell r="AA387">
            <v>25</v>
          </cell>
          <cell r="AB387">
            <v>20</v>
          </cell>
          <cell r="AC387">
            <v>323.66666666666674</v>
          </cell>
          <cell r="AD387">
            <v>18</v>
          </cell>
          <cell r="AK387">
            <v>33.666666666666671</v>
          </cell>
          <cell r="AL387">
            <v>25</v>
          </cell>
          <cell r="AM387">
            <v>266.33333333333337</v>
          </cell>
        </row>
        <row r="388">
          <cell r="F388">
            <v>0</v>
          </cell>
          <cell r="G388">
            <v>0</v>
          </cell>
          <cell r="P388">
            <v>0</v>
          </cell>
          <cell r="V388">
            <v>25.333333333333332</v>
          </cell>
          <cell r="W388">
            <v>21</v>
          </cell>
          <cell r="X388">
            <v>0</v>
          </cell>
          <cell r="Y388">
            <v>0</v>
          </cell>
          <cell r="AA388">
            <v>0.66666666666666663</v>
          </cell>
          <cell r="AB388">
            <v>1</v>
          </cell>
          <cell r="AC388">
            <v>3.6666666666666665</v>
          </cell>
          <cell r="AD388">
            <v>0</v>
          </cell>
          <cell r="AK388">
            <v>26</v>
          </cell>
          <cell r="AL388">
            <v>22</v>
          </cell>
        </row>
        <row r="389">
          <cell r="F389">
            <v>120.63333333333333</v>
          </cell>
          <cell r="G389">
            <v>88</v>
          </cell>
          <cell r="P389">
            <v>0</v>
          </cell>
          <cell r="V389">
            <v>0</v>
          </cell>
          <cell r="W389">
            <v>0</v>
          </cell>
          <cell r="X389">
            <v>146.66666666666666</v>
          </cell>
          <cell r="Y389">
            <v>108</v>
          </cell>
          <cell r="AA389">
            <v>0</v>
          </cell>
          <cell r="AB389">
            <v>0</v>
          </cell>
          <cell r="AC389">
            <v>280.66666666666669</v>
          </cell>
          <cell r="AD389">
            <v>0</v>
          </cell>
          <cell r="AK389">
            <v>120.63333333333333</v>
          </cell>
          <cell r="AL389">
            <v>90</v>
          </cell>
        </row>
        <row r="390">
          <cell r="F390">
            <v>8.6666666666666661</v>
          </cell>
          <cell r="G390">
            <v>6</v>
          </cell>
          <cell r="P390">
            <v>0</v>
          </cell>
          <cell r="V390">
            <v>0</v>
          </cell>
          <cell r="W390">
            <v>0</v>
          </cell>
          <cell r="X390">
            <v>0</v>
          </cell>
          <cell r="Y390">
            <v>0</v>
          </cell>
          <cell r="AA390">
            <v>0</v>
          </cell>
          <cell r="AB390">
            <v>0</v>
          </cell>
          <cell r="AC390">
            <v>25</v>
          </cell>
          <cell r="AD390">
            <v>0</v>
          </cell>
          <cell r="AK390">
            <v>8.6666666666666661</v>
          </cell>
          <cell r="AL390">
            <v>0</v>
          </cell>
        </row>
        <row r="391">
          <cell r="F391">
            <v>0</v>
          </cell>
          <cell r="G391">
            <v>0</v>
          </cell>
          <cell r="P391">
            <v>5.333333333333333</v>
          </cell>
          <cell r="V391">
            <v>0</v>
          </cell>
          <cell r="W391">
            <v>0</v>
          </cell>
          <cell r="X391">
            <v>25.333333333333332</v>
          </cell>
          <cell r="Y391">
            <v>19</v>
          </cell>
          <cell r="AA391">
            <v>0</v>
          </cell>
          <cell r="AB391">
            <v>0</v>
          </cell>
          <cell r="AC391">
            <v>0.66666666666666663</v>
          </cell>
          <cell r="AD391">
            <v>0</v>
          </cell>
          <cell r="AK391">
            <v>22</v>
          </cell>
          <cell r="AL391">
            <v>15.333333333333332</v>
          </cell>
        </row>
        <row r="392">
          <cell r="F392">
            <v>5.333333333333333</v>
          </cell>
          <cell r="G392">
            <v>4</v>
          </cell>
          <cell r="P392">
            <v>0</v>
          </cell>
          <cell r="V392">
            <v>0</v>
          </cell>
          <cell r="W392">
            <v>0</v>
          </cell>
          <cell r="X392">
            <v>0</v>
          </cell>
          <cell r="Y392">
            <v>0</v>
          </cell>
          <cell r="AA392">
            <v>0</v>
          </cell>
          <cell r="AB392">
            <v>0</v>
          </cell>
          <cell r="AC392">
            <v>0</v>
          </cell>
          <cell r="AD392">
            <v>0</v>
          </cell>
          <cell r="AK392">
            <v>5.333333333333333</v>
          </cell>
          <cell r="AL392">
            <v>4</v>
          </cell>
        </row>
        <row r="393">
          <cell r="F393">
            <v>0.33333333333333331</v>
          </cell>
          <cell r="G393">
            <v>0</v>
          </cell>
          <cell r="P393">
            <v>4.333333333333333</v>
          </cell>
          <cell r="V393">
            <v>0</v>
          </cell>
          <cell r="W393">
            <v>0</v>
          </cell>
          <cell r="X393">
            <v>0</v>
          </cell>
          <cell r="Y393">
            <v>0</v>
          </cell>
          <cell r="AA393">
            <v>0</v>
          </cell>
          <cell r="AB393">
            <v>0</v>
          </cell>
          <cell r="AC393">
            <v>0</v>
          </cell>
          <cell r="AD393">
            <v>0</v>
          </cell>
          <cell r="AK393">
            <v>4.6666666666666661</v>
          </cell>
          <cell r="AL393">
            <v>4.333333333333333</v>
          </cell>
        </row>
        <row r="394">
          <cell r="F394">
            <v>0.33333333333333331</v>
          </cell>
          <cell r="G394">
            <v>0</v>
          </cell>
          <cell r="P394">
            <v>2</v>
          </cell>
          <cell r="V394">
            <v>10</v>
          </cell>
          <cell r="W394">
            <v>8</v>
          </cell>
          <cell r="X394">
            <v>0</v>
          </cell>
          <cell r="Y394">
            <v>0</v>
          </cell>
          <cell r="AA394">
            <v>13.666666666666666</v>
          </cell>
          <cell r="AB394">
            <v>11</v>
          </cell>
          <cell r="AC394">
            <v>0</v>
          </cell>
          <cell r="AD394">
            <v>10</v>
          </cell>
          <cell r="AK394">
            <v>26</v>
          </cell>
          <cell r="AL394">
            <v>21</v>
          </cell>
        </row>
        <row r="395">
          <cell r="F395">
            <v>0</v>
          </cell>
          <cell r="G395">
            <v>0</v>
          </cell>
          <cell r="P395">
            <v>0</v>
          </cell>
          <cell r="V395">
            <v>0</v>
          </cell>
          <cell r="W395">
            <v>0</v>
          </cell>
          <cell r="X395">
            <v>0</v>
          </cell>
          <cell r="Y395">
            <v>0</v>
          </cell>
          <cell r="AA395">
            <v>0</v>
          </cell>
          <cell r="AB395">
            <v>0</v>
          </cell>
          <cell r="AC395">
            <v>0</v>
          </cell>
          <cell r="AD395">
            <v>0</v>
          </cell>
          <cell r="AK395">
            <v>0</v>
          </cell>
          <cell r="AL395">
            <v>3</v>
          </cell>
        </row>
        <row r="396">
          <cell r="F396">
            <v>1.1666666666666667</v>
          </cell>
          <cell r="G396">
            <v>1</v>
          </cell>
          <cell r="P396">
            <v>20.5</v>
          </cell>
          <cell r="V396">
            <v>522.33333333333337</v>
          </cell>
          <cell r="W396">
            <v>424</v>
          </cell>
          <cell r="X396">
            <v>0</v>
          </cell>
          <cell r="Y396">
            <v>0</v>
          </cell>
          <cell r="AA396">
            <v>43</v>
          </cell>
          <cell r="AB396">
            <v>34</v>
          </cell>
          <cell r="AC396">
            <v>0</v>
          </cell>
          <cell r="AD396">
            <v>31</v>
          </cell>
          <cell r="AK396">
            <v>587.33333333333337</v>
          </cell>
          <cell r="AL396">
            <v>479.5</v>
          </cell>
          <cell r="AM396">
            <v>479.83333333333337</v>
          </cell>
        </row>
        <row r="397">
          <cell r="F397">
            <v>0</v>
          </cell>
          <cell r="G397">
            <v>0</v>
          </cell>
          <cell r="P397">
            <v>0</v>
          </cell>
          <cell r="V397">
            <v>0</v>
          </cell>
          <cell r="W397">
            <v>0</v>
          </cell>
          <cell r="X397">
            <v>10</v>
          </cell>
          <cell r="Y397">
            <v>7</v>
          </cell>
          <cell r="AA397">
            <v>0</v>
          </cell>
          <cell r="AB397">
            <v>0</v>
          </cell>
          <cell r="AC397">
            <v>13.666666666666666</v>
          </cell>
          <cell r="AD397">
            <v>0</v>
          </cell>
          <cell r="AK397">
            <v>0</v>
          </cell>
          <cell r="AL397">
            <v>0</v>
          </cell>
        </row>
        <row r="398">
          <cell r="F398">
            <v>0</v>
          </cell>
          <cell r="G398">
            <v>0</v>
          </cell>
          <cell r="P398">
            <v>0</v>
          </cell>
          <cell r="V398">
            <v>480.66666666666669</v>
          </cell>
          <cell r="W398">
            <v>390</v>
          </cell>
          <cell r="X398">
            <v>0</v>
          </cell>
          <cell r="Y398">
            <v>0</v>
          </cell>
          <cell r="AA398">
            <v>11</v>
          </cell>
          <cell r="AB398">
            <v>9</v>
          </cell>
          <cell r="AC398">
            <v>0</v>
          </cell>
          <cell r="AD398">
            <v>8</v>
          </cell>
          <cell r="AK398">
            <v>491.66666666666669</v>
          </cell>
          <cell r="AL398">
            <v>399</v>
          </cell>
          <cell r="AM398">
            <v>388.83333333333337</v>
          </cell>
        </row>
        <row r="399">
          <cell r="F399">
            <v>0</v>
          </cell>
          <cell r="G399">
            <v>0</v>
          </cell>
          <cell r="P399">
            <v>0</v>
          </cell>
          <cell r="V399">
            <v>0</v>
          </cell>
          <cell r="W399">
            <v>0</v>
          </cell>
          <cell r="X399">
            <v>522.33333333333337</v>
          </cell>
          <cell r="Y399">
            <v>386</v>
          </cell>
          <cell r="AA399">
            <v>0</v>
          </cell>
          <cell r="AB399">
            <v>0</v>
          </cell>
          <cell r="AC399">
            <v>43</v>
          </cell>
          <cell r="AD399">
            <v>0</v>
          </cell>
          <cell r="AK399">
            <v>0</v>
          </cell>
          <cell r="AL399">
            <v>0</v>
          </cell>
          <cell r="AM399">
            <v>407.83333333333331</v>
          </cell>
        </row>
        <row r="400">
          <cell r="F400">
            <v>1.1666666666666667</v>
          </cell>
          <cell r="G400">
            <v>1</v>
          </cell>
          <cell r="P400">
            <v>15.833333333333334</v>
          </cell>
          <cell r="V400">
            <v>41.666666666666664</v>
          </cell>
          <cell r="W400">
            <v>34</v>
          </cell>
          <cell r="X400">
            <v>0</v>
          </cell>
          <cell r="Y400">
            <v>0</v>
          </cell>
          <cell r="AA400">
            <v>32</v>
          </cell>
          <cell r="AB400">
            <v>25</v>
          </cell>
          <cell r="AC400">
            <v>0</v>
          </cell>
          <cell r="AD400">
            <v>23</v>
          </cell>
          <cell r="AK400">
            <v>91</v>
          </cell>
          <cell r="AL400">
            <v>80.833333333333343</v>
          </cell>
        </row>
        <row r="401">
          <cell r="F401">
            <v>0</v>
          </cell>
          <cell r="G401">
            <v>0</v>
          </cell>
          <cell r="P401">
            <v>4.666666666666667</v>
          </cell>
          <cell r="V401">
            <v>0</v>
          </cell>
          <cell r="W401">
            <v>0</v>
          </cell>
          <cell r="X401">
            <v>480.66666666666669</v>
          </cell>
          <cell r="Y401">
            <v>355</v>
          </cell>
          <cell r="AA401">
            <v>0</v>
          </cell>
          <cell r="AB401">
            <v>0</v>
          </cell>
          <cell r="AC401">
            <v>11</v>
          </cell>
          <cell r="AD401">
            <v>0</v>
          </cell>
          <cell r="AK401">
            <v>4.666666666666667</v>
          </cell>
          <cell r="AL401">
            <v>0</v>
          </cell>
        </row>
        <row r="402">
          <cell r="F402">
            <v>0</v>
          </cell>
          <cell r="G402">
            <v>0</v>
          </cell>
          <cell r="P402">
            <v>0</v>
          </cell>
          <cell r="V402">
            <v>0</v>
          </cell>
          <cell r="W402">
            <v>0</v>
          </cell>
          <cell r="X402">
            <v>0</v>
          </cell>
          <cell r="Y402">
            <v>0</v>
          </cell>
          <cell r="AA402">
            <v>0</v>
          </cell>
          <cell r="AB402">
            <v>0</v>
          </cell>
          <cell r="AC402">
            <v>0</v>
          </cell>
          <cell r="AD402">
            <v>0</v>
          </cell>
          <cell r="AK402">
            <v>0</v>
          </cell>
          <cell r="AL402">
            <v>0</v>
          </cell>
        </row>
        <row r="403">
          <cell r="F403">
            <v>10</v>
          </cell>
          <cell r="G403">
            <v>7</v>
          </cell>
          <cell r="P403">
            <v>39</v>
          </cell>
          <cell r="V403">
            <v>0</v>
          </cell>
          <cell r="W403">
            <v>0</v>
          </cell>
          <cell r="X403">
            <v>41.666666666666664</v>
          </cell>
          <cell r="Y403">
            <v>31</v>
          </cell>
          <cell r="AA403">
            <v>0</v>
          </cell>
          <cell r="AB403">
            <v>0</v>
          </cell>
          <cell r="AC403">
            <v>32</v>
          </cell>
          <cell r="AD403">
            <v>0</v>
          </cell>
          <cell r="AK403">
            <v>49</v>
          </cell>
          <cell r="AL403">
            <v>46</v>
          </cell>
          <cell r="AM403">
            <v>46</v>
          </cell>
        </row>
        <row r="404">
          <cell r="F404">
            <v>2.6666666666666665</v>
          </cell>
          <cell r="G404">
            <v>2</v>
          </cell>
          <cell r="P404">
            <v>3.3333333333333335</v>
          </cell>
          <cell r="V404">
            <v>0</v>
          </cell>
          <cell r="W404">
            <v>0</v>
          </cell>
          <cell r="X404">
            <v>0</v>
          </cell>
          <cell r="Y404">
            <v>0</v>
          </cell>
          <cell r="AA404">
            <v>0</v>
          </cell>
          <cell r="AB404">
            <v>0</v>
          </cell>
          <cell r="AC404">
            <v>0</v>
          </cell>
          <cell r="AD404">
            <v>0</v>
          </cell>
          <cell r="AK404">
            <v>6</v>
          </cell>
          <cell r="AL404">
            <v>5.3333333333333339</v>
          </cell>
        </row>
        <row r="405">
          <cell r="F405">
            <v>7.333333333333333</v>
          </cell>
          <cell r="G405">
            <v>5</v>
          </cell>
          <cell r="P405">
            <v>35.666666666666664</v>
          </cell>
          <cell r="V405">
            <v>0</v>
          </cell>
          <cell r="W405">
            <v>0</v>
          </cell>
          <cell r="X405">
            <v>0</v>
          </cell>
          <cell r="Y405">
            <v>0</v>
          </cell>
          <cell r="AA405">
            <v>0</v>
          </cell>
          <cell r="AB405">
            <v>0</v>
          </cell>
          <cell r="AC405">
            <v>0</v>
          </cell>
          <cell r="AD405">
            <v>0</v>
          </cell>
          <cell r="AK405">
            <v>43</v>
          </cell>
          <cell r="AL405">
            <v>40.666666666666664</v>
          </cell>
          <cell r="AM405">
            <v>44</v>
          </cell>
        </row>
        <row r="406">
          <cell r="F406">
            <v>0</v>
          </cell>
          <cell r="G406">
            <v>0</v>
          </cell>
          <cell r="P406">
            <v>0</v>
          </cell>
          <cell r="V406">
            <v>0</v>
          </cell>
          <cell r="W406">
            <v>0</v>
          </cell>
          <cell r="X406">
            <v>0</v>
          </cell>
          <cell r="Y406">
            <v>0</v>
          </cell>
          <cell r="AA406">
            <v>0</v>
          </cell>
          <cell r="AB406">
            <v>0</v>
          </cell>
          <cell r="AC406">
            <v>0</v>
          </cell>
          <cell r="AD406">
            <v>0</v>
          </cell>
          <cell r="AK406">
            <v>0</v>
          </cell>
          <cell r="AL406">
            <v>45</v>
          </cell>
          <cell r="AM406">
            <v>46</v>
          </cell>
        </row>
        <row r="407">
          <cell r="F407">
            <v>206.33333333333329</v>
          </cell>
          <cell r="G407">
            <v>151</v>
          </cell>
          <cell r="H407">
            <v>150</v>
          </cell>
          <cell r="P407">
            <v>50.166666666666671</v>
          </cell>
          <cell r="S407">
            <v>50.166666666666671</v>
          </cell>
          <cell r="V407">
            <v>37.833333333333343</v>
          </cell>
          <cell r="W407">
            <v>31</v>
          </cell>
          <cell r="X407">
            <v>0</v>
          </cell>
          <cell r="Y407">
            <v>0</v>
          </cell>
          <cell r="AA407">
            <v>26.000000000000004</v>
          </cell>
          <cell r="AB407">
            <v>21</v>
          </cell>
          <cell r="AC407">
            <v>0</v>
          </cell>
          <cell r="AD407">
            <v>18</v>
          </cell>
          <cell r="AK407">
            <v>1965.0000000000002</v>
          </cell>
          <cell r="AL407">
            <v>513.16666666666663</v>
          </cell>
          <cell r="AM407">
            <v>513.16666666666663</v>
          </cell>
        </row>
        <row r="408">
          <cell r="F408">
            <v>0</v>
          </cell>
          <cell r="G408">
            <v>0</v>
          </cell>
          <cell r="P408">
            <v>0</v>
          </cell>
          <cell r="V408">
            <v>0</v>
          </cell>
          <cell r="W408">
            <v>0</v>
          </cell>
          <cell r="X408">
            <v>0</v>
          </cell>
          <cell r="Y408">
            <v>0</v>
          </cell>
          <cell r="AA408">
            <v>0</v>
          </cell>
          <cell r="AB408">
            <v>0</v>
          </cell>
          <cell r="AC408">
            <v>0</v>
          </cell>
          <cell r="AD408">
            <v>0</v>
          </cell>
          <cell r="AK408">
            <v>1350</v>
          </cell>
          <cell r="AL408">
            <v>0</v>
          </cell>
        </row>
        <row r="409">
          <cell r="F409">
            <v>0</v>
          </cell>
          <cell r="G409">
            <v>0</v>
          </cell>
          <cell r="H409">
            <v>114</v>
          </cell>
          <cell r="P409">
            <v>0</v>
          </cell>
          <cell r="S409">
            <v>50.166666666666671</v>
          </cell>
          <cell r="V409">
            <v>0</v>
          </cell>
          <cell r="W409">
            <v>0</v>
          </cell>
          <cell r="X409">
            <v>0</v>
          </cell>
          <cell r="Y409">
            <v>0</v>
          </cell>
          <cell r="AA409">
            <v>0</v>
          </cell>
          <cell r="AB409">
            <v>0</v>
          </cell>
          <cell r="AC409">
            <v>0</v>
          </cell>
          <cell r="AD409">
            <v>0</v>
          </cell>
          <cell r="AK409">
            <v>95</v>
          </cell>
          <cell r="AL409">
            <v>95</v>
          </cell>
          <cell r="AM409">
            <v>464.16666666666663</v>
          </cell>
        </row>
        <row r="410">
          <cell r="F410">
            <v>0</v>
          </cell>
          <cell r="G410">
            <v>0</v>
          </cell>
          <cell r="H410">
            <v>134</v>
          </cell>
          <cell r="P410">
            <v>0</v>
          </cell>
          <cell r="S410">
            <v>50.166666666666671</v>
          </cell>
          <cell r="V410">
            <v>0</v>
          </cell>
          <cell r="W410">
            <v>0</v>
          </cell>
          <cell r="X410">
            <v>37.833333333333343</v>
          </cell>
          <cell r="Y410">
            <v>28</v>
          </cell>
          <cell r="AA410">
            <v>0</v>
          </cell>
          <cell r="AB410">
            <v>0</v>
          </cell>
          <cell r="AC410">
            <v>26.000000000000004</v>
          </cell>
          <cell r="AD410">
            <v>0</v>
          </cell>
          <cell r="AK410">
            <v>0</v>
          </cell>
          <cell r="AL410">
            <v>0</v>
          </cell>
          <cell r="AM410">
            <v>469.16666666666663</v>
          </cell>
        </row>
        <row r="411">
          <cell r="F411">
            <v>0</v>
          </cell>
          <cell r="G411">
            <v>0</v>
          </cell>
          <cell r="P411">
            <v>12.333333333333334</v>
          </cell>
          <cell r="V411">
            <v>0</v>
          </cell>
          <cell r="W411">
            <v>0</v>
          </cell>
          <cell r="X411">
            <v>0</v>
          </cell>
          <cell r="Y411">
            <v>0</v>
          </cell>
          <cell r="AA411">
            <v>0</v>
          </cell>
          <cell r="AB411">
            <v>0</v>
          </cell>
          <cell r="AC411">
            <v>0</v>
          </cell>
          <cell r="AD411">
            <v>0</v>
          </cell>
          <cell r="AK411">
            <v>12.333333333333334</v>
          </cell>
          <cell r="AL411">
            <v>12.333333333333334</v>
          </cell>
        </row>
        <row r="412">
          <cell r="F412">
            <v>0</v>
          </cell>
          <cell r="G412">
            <v>0</v>
          </cell>
          <cell r="P412">
            <v>0</v>
          </cell>
          <cell r="V412">
            <v>0</v>
          </cell>
          <cell r="W412">
            <v>0</v>
          </cell>
          <cell r="X412">
            <v>0</v>
          </cell>
          <cell r="Y412">
            <v>0</v>
          </cell>
          <cell r="AA412">
            <v>0</v>
          </cell>
          <cell r="AB412">
            <v>0</v>
          </cell>
          <cell r="AC412">
            <v>0</v>
          </cell>
          <cell r="AD412">
            <v>0</v>
          </cell>
          <cell r="AK412">
            <v>0</v>
          </cell>
          <cell r="AL412">
            <v>0</v>
          </cell>
        </row>
        <row r="413">
          <cell r="F413">
            <v>1.6666666666666667</v>
          </cell>
          <cell r="G413">
            <v>1</v>
          </cell>
          <cell r="P413">
            <v>5</v>
          </cell>
          <cell r="V413">
            <v>3</v>
          </cell>
          <cell r="W413">
            <v>2</v>
          </cell>
          <cell r="X413">
            <v>0</v>
          </cell>
          <cell r="Y413">
            <v>0</v>
          </cell>
          <cell r="AA413">
            <v>3</v>
          </cell>
          <cell r="AB413">
            <v>2</v>
          </cell>
          <cell r="AC413">
            <v>0</v>
          </cell>
          <cell r="AD413">
            <v>2</v>
          </cell>
          <cell r="AK413">
            <v>57.666666666666664</v>
          </cell>
          <cell r="AL413">
            <v>50</v>
          </cell>
        </row>
        <row r="414">
          <cell r="F414">
            <v>0</v>
          </cell>
          <cell r="G414">
            <v>0</v>
          </cell>
          <cell r="P414">
            <v>0</v>
          </cell>
          <cell r="V414">
            <v>0</v>
          </cell>
          <cell r="W414">
            <v>0</v>
          </cell>
          <cell r="X414">
            <v>0</v>
          </cell>
          <cell r="Y414">
            <v>0</v>
          </cell>
          <cell r="AA414">
            <v>0</v>
          </cell>
          <cell r="AB414">
            <v>0</v>
          </cell>
          <cell r="AC414">
            <v>0</v>
          </cell>
          <cell r="AD414">
            <v>0</v>
          </cell>
          <cell r="AK414">
            <v>4</v>
          </cell>
          <cell r="AL414">
            <v>0</v>
          </cell>
        </row>
        <row r="415">
          <cell r="F415">
            <v>0</v>
          </cell>
          <cell r="G415">
            <v>0</v>
          </cell>
          <cell r="P415">
            <v>0</v>
          </cell>
          <cell r="V415">
            <v>0</v>
          </cell>
          <cell r="W415">
            <v>0</v>
          </cell>
          <cell r="X415">
            <v>0</v>
          </cell>
          <cell r="Y415">
            <v>0</v>
          </cell>
          <cell r="AA415">
            <v>0</v>
          </cell>
          <cell r="AB415">
            <v>0</v>
          </cell>
          <cell r="AC415">
            <v>0</v>
          </cell>
          <cell r="AD415">
            <v>0</v>
          </cell>
          <cell r="AK415">
            <v>0</v>
          </cell>
          <cell r="AL415">
            <v>0</v>
          </cell>
        </row>
        <row r="416">
          <cell r="F416">
            <v>0</v>
          </cell>
          <cell r="G416">
            <v>0</v>
          </cell>
          <cell r="P416">
            <v>18.5</v>
          </cell>
          <cell r="V416">
            <v>4.5</v>
          </cell>
          <cell r="W416">
            <v>4</v>
          </cell>
          <cell r="X416">
            <v>3</v>
          </cell>
          <cell r="Y416">
            <v>2</v>
          </cell>
          <cell r="AA416">
            <v>1.3333333333333333</v>
          </cell>
          <cell r="AB416">
            <v>1</v>
          </cell>
          <cell r="AC416">
            <v>3</v>
          </cell>
          <cell r="AD416">
            <v>1</v>
          </cell>
          <cell r="AK416">
            <v>28.5</v>
          </cell>
          <cell r="AL416">
            <v>27.5</v>
          </cell>
        </row>
        <row r="417">
          <cell r="F417">
            <v>0</v>
          </cell>
          <cell r="G417">
            <v>0</v>
          </cell>
          <cell r="P417">
            <v>1.3333333333333333</v>
          </cell>
          <cell r="V417">
            <v>0</v>
          </cell>
          <cell r="W417">
            <v>0</v>
          </cell>
          <cell r="X417">
            <v>0</v>
          </cell>
          <cell r="Y417">
            <v>0</v>
          </cell>
          <cell r="AA417">
            <v>1.6666666666666667</v>
          </cell>
          <cell r="AB417">
            <v>1</v>
          </cell>
          <cell r="AC417">
            <v>0</v>
          </cell>
          <cell r="AD417">
            <v>1</v>
          </cell>
          <cell r="AK417">
            <v>69</v>
          </cell>
          <cell r="AL417">
            <v>52.333333333333336</v>
          </cell>
        </row>
        <row r="418">
          <cell r="F418">
            <v>177</v>
          </cell>
          <cell r="G418">
            <v>129</v>
          </cell>
          <cell r="P418">
            <v>0</v>
          </cell>
          <cell r="V418">
            <v>0</v>
          </cell>
          <cell r="W418">
            <v>0</v>
          </cell>
          <cell r="X418">
            <v>0</v>
          </cell>
          <cell r="Y418">
            <v>0</v>
          </cell>
          <cell r="AA418">
            <v>0</v>
          </cell>
          <cell r="AB418">
            <v>0</v>
          </cell>
          <cell r="AC418">
            <v>0</v>
          </cell>
          <cell r="AD418">
            <v>0</v>
          </cell>
          <cell r="AK418">
            <v>177</v>
          </cell>
          <cell r="AL418">
            <v>129</v>
          </cell>
        </row>
        <row r="419">
          <cell r="F419">
            <v>0</v>
          </cell>
          <cell r="G419">
            <v>0</v>
          </cell>
          <cell r="P419">
            <v>0</v>
          </cell>
          <cell r="V419">
            <v>10</v>
          </cell>
          <cell r="W419">
            <v>8</v>
          </cell>
          <cell r="X419">
            <v>4.5</v>
          </cell>
          <cell r="Y419">
            <v>3</v>
          </cell>
          <cell r="AA419">
            <v>7.666666666666667</v>
          </cell>
          <cell r="AB419">
            <v>6</v>
          </cell>
          <cell r="AC419">
            <v>1.3333333333333333</v>
          </cell>
          <cell r="AD419">
            <v>5</v>
          </cell>
          <cell r="AK419">
            <v>17.666666666666668</v>
          </cell>
          <cell r="AL419">
            <v>14</v>
          </cell>
        </row>
        <row r="420">
          <cell r="F420">
            <v>0.66666666666666663</v>
          </cell>
          <cell r="G420">
            <v>0</v>
          </cell>
          <cell r="P420">
            <v>2</v>
          </cell>
          <cell r="V420">
            <v>1.3333333333333333</v>
          </cell>
          <cell r="W420">
            <v>1</v>
          </cell>
          <cell r="X420">
            <v>0</v>
          </cell>
          <cell r="Y420">
            <v>0</v>
          </cell>
          <cell r="AA420">
            <v>1</v>
          </cell>
          <cell r="AB420">
            <v>1</v>
          </cell>
          <cell r="AC420">
            <v>1.6666666666666667</v>
          </cell>
          <cell r="AD420">
            <v>1</v>
          </cell>
          <cell r="AK420">
            <v>6</v>
          </cell>
          <cell r="AL420">
            <v>4</v>
          </cell>
        </row>
        <row r="421">
          <cell r="F421">
            <v>2.6666666666666665</v>
          </cell>
          <cell r="G421">
            <v>2</v>
          </cell>
          <cell r="P421">
            <v>0.33333333333333331</v>
          </cell>
          <cell r="V421">
            <v>1</v>
          </cell>
          <cell r="W421">
            <v>1</v>
          </cell>
          <cell r="X421">
            <v>0</v>
          </cell>
          <cell r="Y421">
            <v>0</v>
          </cell>
          <cell r="AA421">
            <v>0.66666666666666663</v>
          </cell>
          <cell r="AB421">
            <v>1</v>
          </cell>
          <cell r="AC421">
            <v>0</v>
          </cell>
          <cell r="AD421">
            <v>0</v>
          </cell>
          <cell r="AK421">
            <v>9.3333333333333339</v>
          </cell>
          <cell r="AL421">
            <v>6.333333333333333</v>
          </cell>
        </row>
        <row r="422">
          <cell r="F422">
            <v>0</v>
          </cell>
          <cell r="G422">
            <v>0</v>
          </cell>
          <cell r="P422">
            <v>2.3333333333333335</v>
          </cell>
          <cell r="V422">
            <v>6</v>
          </cell>
          <cell r="W422">
            <v>5</v>
          </cell>
          <cell r="X422">
            <v>10</v>
          </cell>
          <cell r="Y422">
            <v>7</v>
          </cell>
          <cell r="AA422">
            <v>5</v>
          </cell>
          <cell r="AB422">
            <v>4</v>
          </cell>
          <cell r="AC422">
            <v>7.666666666666667</v>
          </cell>
          <cell r="AD422">
            <v>4</v>
          </cell>
          <cell r="AK422">
            <v>13.333333333333334</v>
          </cell>
          <cell r="AL422">
            <v>11.333333333333334</v>
          </cell>
        </row>
        <row r="423">
          <cell r="F423">
            <v>0</v>
          </cell>
          <cell r="G423">
            <v>0</v>
          </cell>
          <cell r="P423">
            <v>0</v>
          </cell>
          <cell r="V423">
            <v>0</v>
          </cell>
          <cell r="W423">
            <v>0</v>
          </cell>
          <cell r="X423">
            <v>1.3333333333333333</v>
          </cell>
          <cell r="Y423">
            <v>1</v>
          </cell>
          <cell r="AA423">
            <v>0</v>
          </cell>
          <cell r="AB423">
            <v>0</v>
          </cell>
          <cell r="AC423">
            <v>1</v>
          </cell>
          <cell r="AD423">
            <v>0</v>
          </cell>
          <cell r="AK423">
            <v>0</v>
          </cell>
          <cell r="AL423">
            <v>0</v>
          </cell>
        </row>
        <row r="424">
          <cell r="F424">
            <v>0</v>
          </cell>
          <cell r="G424">
            <v>0</v>
          </cell>
          <cell r="P424">
            <v>0</v>
          </cell>
          <cell r="V424">
            <v>0</v>
          </cell>
          <cell r="W424">
            <v>0</v>
          </cell>
          <cell r="X424">
            <v>1</v>
          </cell>
          <cell r="Y424">
            <v>1</v>
          </cell>
          <cell r="AA424">
            <v>0</v>
          </cell>
          <cell r="AB424">
            <v>0</v>
          </cell>
          <cell r="AC424">
            <v>0.66666666666666663</v>
          </cell>
          <cell r="AD424">
            <v>0</v>
          </cell>
          <cell r="AK424">
            <v>0</v>
          </cell>
          <cell r="AL424">
            <v>0</v>
          </cell>
        </row>
        <row r="425">
          <cell r="F425">
            <v>9.6666666666666661</v>
          </cell>
          <cell r="G425">
            <v>7</v>
          </cell>
          <cell r="P425">
            <v>1</v>
          </cell>
          <cell r="V425">
            <v>0</v>
          </cell>
          <cell r="W425">
            <v>0</v>
          </cell>
          <cell r="X425">
            <v>6</v>
          </cell>
          <cell r="Y425">
            <v>4</v>
          </cell>
          <cell r="AA425">
            <v>0</v>
          </cell>
          <cell r="AB425">
            <v>0</v>
          </cell>
          <cell r="AC425">
            <v>5</v>
          </cell>
          <cell r="AD425">
            <v>0</v>
          </cell>
          <cell r="AK425">
            <v>12</v>
          </cell>
          <cell r="AL425">
            <v>9</v>
          </cell>
        </row>
        <row r="426">
          <cell r="F426">
            <v>0</v>
          </cell>
          <cell r="G426">
            <v>0</v>
          </cell>
          <cell r="P426">
            <v>0</v>
          </cell>
          <cell r="V426">
            <v>0</v>
          </cell>
          <cell r="W426">
            <v>0</v>
          </cell>
          <cell r="X426">
            <v>0</v>
          </cell>
          <cell r="Y426">
            <v>0</v>
          </cell>
          <cell r="AA426">
            <v>0</v>
          </cell>
          <cell r="AB426">
            <v>0</v>
          </cell>
          <cell r="AC426">
            <v>0</v>
          </cell>
          <cell r="AD426">
            <v>0</v>
          </cell>
          <cell r="AK426">
            <v>0</v>
          </cell>
          <cell r="AL426">
            <v>0</v>
          </cell>
        </row>
        <row r="427">
          <cell r="F427">
            <v>2.3333333333333335</v>
          </cell>
          <cell r="G427">
            <v>2</v>
          </cell>
          <cell r="P427">
            <v>0.66666666666666663</v>
          </cell>
          <cell r="V427">
            <v>0.66666666666666663</v>
          </cell>
          <cell r="W427">
            <v>1</v>
          </cell>
          <cell r="X427">
            <v>0</v>
          </cell>
          <cell r="Y427">
            <v>0</v>
          </cell>
          <cell r="AA427">
            <v>0.66666666666666663</v>
          </cell>
          <cell r="AB427">
            <v>1</v>
          </cell>
          <cell r="AC427">
            <v>0</v>
          </cell>
          <cell r="AD427">
            <v>0</v>
          </cell>
          <cell r="AK427">
            <v>4.333333333333333</v>
          </cell>
          <cell r="AL427">
            <v>4.6666666666666661</v>
          </cell>
        </row>
        <row r="428">
          <cell r="F428">
            <v>1.6666666666666667</v>
          </cell>
          <cell r="G428">
            <v>1</v>
          </cell>
          <cell r="P428">
            <v>0.66666666666666663</v>
          </cell>
          <cell r="V428">
            <v>0.66666666666666663</v>
          </cell>
          <cell r="W428">
            <v>1</v>
          </cell>
          <cell r="X428">
            <v>0</v>
          </cell>
          <cell r="Y428">
            <v>0</v>
          </cell>
          <cell r="AA428">
            <v>0.66666666666666663</v>
          </cell>
          <cell r="AB428">
            <v>1</v>
          </cell>
          <cell r="AC428">
            <v>0</v>
          </cell>
          <cell r="AD428">
            <v>0</v>
          </cell>
          <cell r="AK428">
            <v>3.6666666666666665</v>
          </cell>
          <cell r="AL428">
            <v>3.6666666666666665</v>
          </cell>
        </row>
        <row r="429">
          <cell r="F429">
            <v>6.666666666666667</v>
          </cell>
          <cell r="G429">
            <v>5</v>
          </cell>
          <cell r="P429">
            <v>4.666666666666667</v>
          </cell>
          <cell r="V429">
            <v>3</v>
          </cell>
          <cell r="W429">
            <v>2</v>
          </cell>
          <cell r="X429">
            <v>0</v>
          </cell>
          <cell r="Y429">
            <v>0</v>
          </cell>
          <cell r="AA429">
            <v>2</v>
          </cell>
          <cell r="AB429">
            <v>2</v>
          </cell>
          <cell r="AC429">
            <v>0</v>
          </cell>
          <cell r="AD429">
            <v>1</v>
          </cell>
          <cell r="AK429">
            <v>33</v>
          </cell>
          <cell r="AL429">
            <v>23.666666666666668</v>
          </cell>
        </row>
        <row r="430">
          <cell r="F430">
            <v>0</v>
          </cell>
          <cell r="G430">
            <v>0</v>
          </cell>
          <cell r="P430">
            <v>0</v>
          </cell>
          <cell r="V430">
            <v>0</v>
          </cell>
          <cell r="W430">
            <v>0</v>
          </cell>
          <cell r="X430">
            <v>0.66666666666666663</v>
          </cell>
          <cell r="Y430">
            <v>0</v>
          </cell>
          <cell r="AA430">
            <v>0</v>
          </cell>
          <cell r="AB430">
            <v>0</v>
          </cell>
          <cell r="AC430">
            <v>0.66666666666666663</v>
          </cell>
          <cell r="AD430">
            <v>0</v>
          </cell>
          <cell r="AK430">
            <v>0</v>
          </cell>
          <cell r="AL430">
            <v>0</v>
          </cell>
        </row>
        <row r="431">
          <cell r="F431">
            <v>0</v>
          </cell>
          <cell r="G431">
            <v>0</v>
          </cell>
          <cell r="P431">
            <v>0</v>
          </cell>
          <cell r="V431">
            <v>0</v>
          </cell>
          <cell r="W431">
            <v>0</v>
          </cell>
          <cell r="X431">
            <v>0.66666666666666663</v>
          </cell>
          <cell r="Y431">
            <v>0</v>
          </cell>
          <cell r="AA431">
            <v>0</v>
          </cell>
          <cell r="AB431">
            <v>0</v>
          </cell>
          <cell r="AC431">
            <v>0.66666666666666663</v>
          </cell>
          <cell r="AD431">
            <v>0</v>
          </cell>
          <cell r="AK431">
            <v>0</v>
          </cell>
          <cell r="AL431">
            <v>53</v>
          </cell>
        </row>
        <row r="432">
          <cell r="F432">
            <v>1</v>
          </cell>
          <cell r="G432">
            <v>1</v>
          </cell>
          <cell r="P432">
            <v>0</v>
          </cell>
          <cell r="V432">
            <v>0</v>
          </cell>
          <cell r="W432">
            <v>0</v>
          </cell>
          <cell r="X432">
            <v>3</v>
          </cell>
          <cell r="Y432">
            <v>2</v>
          </cell>
          <cell r="AA432">
            <v>0</v>
          </cell>
          <cell r="AB432">
            <v>0</v>
          </cell>
          <cell r="AC432">
            <v>2</v>
          </cell>
          <cell r="AD432">
            <v>0</v>
          </cell>
          <cell r="AK432">
            <v>1</v>
          </cell>
          <cell r="AL432">
            <v>1</v>
          </cell>
        </row>
        <row r="433">
          <cell r="F433">
            <v>0</v>
          </cell>
          <cell r="G433">
            <v>0</v>
          </cell>
          <cell r="P433">
            <v>0</v>
          </cell>
          <cell r="V433">
            <v>0</v>
          </cell>
          <cell r="W433">
            <v>0</v>
          </cell>
          <cell r="X433">
            <v>0</v>
          </cell>
          <cell r="Y433">
            <v>0</v>
          </cell>
          <cell r="AA433">
            <v>0</v>
          </cell>
          <cell r="AB433">
            <v>0</v>
          </cell>
          <cell r="AC433">
            <v>0</v>
          </cell>
          <cell r="AD433">
            <v>0</v>
          </cell>
          <cell r="AK433">
            <v>0</v>
          </cell>
          <cell r="AL433">
            <v>0</v>
          </cell>
        </row>
        <row r="434">
          <cell r="F434">
            <v>0</v>
          </cell>
          <cell r="G434">
            <v>0</v>
          </cell>
          <cell r="P434">
            <v>0</v>
          </cell>
          <cell r="V434">
            <v>0</v>
          </cell>
          <cell r="W434">
            <v>0</v>
          </cell>
          <cell r="X434">
            <v>0</v>
          </cell>
          <cell r="Y434">
            <v>0</v>
          </cell>
          <cell r="AA434">
            <v>0</v>
          </cell>
          <cell r="AB434">
            <v>0</v>
          </cell>
          <cell r="AC434">
            <v>0</v>
          </cell>
          <cell r="AD434">
            <v>0</v>
          </cell>
          <cell r="AK434">
            <v>0</v>
          </cell>
          <cell r="AL434">
            <v>0</v>
          </cell>
        </row>
        <row r="435">
          <cell r="F435">
            <v>2.6666666666666665</v>
          </cell>
          <cell r="G435">
            <v>2</v>
          </cell>
          <cell r="P435">
            <v>1</v>
          </cell>
          <cell r="V435">
            <v>4</v>
          </cell>
          <cell r="W435">
            <v>3</v>
          </cell>
          <cell r="X435">
            <v>0</v>
          </cell>
          <cell r="Y435">
            <v>0</v>
          </cell>
          <cell r="AA435">
            <v>2</v>
          </cell>
          <cell r="AB435">
            <v>2</v>
          </cell>
          <cell r="AC435">
            <v>0</v>
          </cell>
          <cell r="AD435">
            <v>1</v>
          </cell>
          <cell r="AK435">
            <v>15.666666666666666</v>
          </cell>
          <cell r="AL435">
            <v>11</v>
          </cell>
        </row>
        <row r="436">
          <cell r="F436">
            <v>0</v>
          </cell>
          <cell r="G436">
            <v>0</v>
          </cell>
          <cell r="P436">
            <v>0</v>
          </cell>
          <cell r="V436">
            <v>0</v>
          </cell>
          <cell r="W436">
            <v>0</v>
          </cell>
          <cell r="X436">
            <v>0</v>
          </cell>
          <cell r="Y436">
            <v>0</v>
          </cell>
          <cell r="AA436">
            <v>0</v>
          </cell>
          <cell r="AB436">
            <v>0</v>
          </cell>
          <cell r="AC436">
            <v>0</v>
          </cell>
          <cell r="AD436">
            <v>0</v>
          </cell>
          <cell r="AK436">
            <v>0</v>
          </cell>
          <cell r="AL436">
            <v>0</v>
          </cell>
        </row>
        <row r="437">
          <cell r="F437">
            <v>0</v>
          </cell>
          <cell r="G437">
            <v>0</v>
          </cell>
          <cell r="P437">
            <v>0</v>
          </cell>
          <cell r="V437">
            <v>3.3333333333333335</v>
          </cell>
          <cell r="W437">
            <v>3</v>
          </cell>
          <cell r="X437">
            <v>0</v>
          </cell>
          <cell r="Y437">
            <v>0</v>
          </cell>
          <cell r="AA437">
            <v>0</v>
          </cell>
          <cell r="AB437">
            <v>0</v>
          </cell>
          <cell r="AC437">
            <v>0</v>
          </cell>
          <cell r="AD437">
            <v>0</v>
          </cell>
          <cell r="AK437">
            <v>3.3333333333333335</v>
          </cell>
          <cell r="AL437">
            <v>3</v>
          </cell>
        </row>
        <row r="438">
          <cell r="F438">
            <v>0.33333333333333331</v>
          </cell>
          <cell r="G438">
            <v>0</v>
          </cell>
          <cell r="P438">
            <v>0.33333333333333331</v>
          </cell>
          <cell r="V438">
            <v>0.33333333333333331</v>
          </cell>
          <cell r="W438">
            <v>0</v>
          </cell>
          <cell r="X438">
            <v>4</v>
          </cell>
          <cell r="Y438">
            <v>3</v>
          </cell>
          <cell r="AA438">
            <v>0.33333333333333331</v>
          </cell>
          <cell r="AB438">
            <v>0</v>
          </cell>
          <cell r="AC438">
            <v>2</v>
          </cell>
          <cell r="AD438">
            <v>0</v>
          </cell>
          <cell r="AK438">
            <v>1.9999999999999998</v>
          </cell>
          <cell r="AL438">
            <v>0.33333333333333331</v>
          </cell>
        </row>
        <row r="439">
          <cell r="F439">
            <v>0</v>
          </cell>
          <cell r="G439">
            <v>0</v>
          </cell>
          <cell r="P439">
            <v>0</v>
          </cell>
          <cell r="V439">
            <v>0</v>
          </cell>
          <cell r="W439">
            <v>0</v>
          </cell>
          <cell r="X439">
            <v>0</v>
          </cell>
          <cell r="Y439">
            <v>0</v>
          </cell>
          <cell r="AA439">
            <v>0</v>
          </cell>
          <cell r="AB439">
            <v>0</v>
          </cell>
          <cell r="AC439">
            <v>0</v>
          </cell>
          <cell r="AD439">
            <v>0</v>
          </cell>
          <cell r="AK439">
            <v>0</v>
          </cell>
          <cell r="AL439">
            <v>0</v>
          </cell>
        </row>
        <row r="440">
          <cell r="F440">
            <v>0</v>
          </cell>
          <cell r="G440">
            <v>0</v>
          </cell>
          <cell r="P440">
            <v>0</v>
          </cell>
          <cell r="V440">
            <v>0</v>
          </cell>
          <cell r="W440">
            <v>0</v>
          </cell>
          <cell r="X440">
            <v>3.3333333333333335</v>
          </cell>
          <cell r="Y440">
            <v>2</v>
          </cell>
          <cell r="AA440">
            <v>0</v>
          </cell>
          <cell r="AB440">
            <v>0</v>
          </cell>
          <cell r="AC440">
            <v>0</v>
          </cell>
          <cell r="AD440">
            <v>0</v>
          </cell>
          <cell r="AK440">
            <v>0</v>
          </cell>
          <cell r="AL440">
            <v>0</v>
          </cell>
        </row>
        <row r="441">
          <cell r="F441">
            <v>0</v>
          </cell>
          <cell r="G441">
            <v>0</v>
          </cell>
          <cell r="P441">
            <v>0</v>
          </cell>
          <cell r="V441">
            <v>0</v>
          </cell>
          <cell r="W441">
            <v>0</v>
          </cell>
          <cell r="X441">
            <v>0.33333333333333331</v>
          </cell>
          <cell r="Y441">
            <v>0</v>
          </cell>
          <cell r="AA441">
            <v>0</v>
          </cell>
          <cell r="AB441">
            <v>0</v>
          </cell>
          <cell r="AC441">
            <v>0.33333333333333331</v>
          </cell>
          <cell r="AD441">
            <v>0</v>
          </cell>
          <cell r="AK441">
            <v>0</v>
          </cell>
          <cell r="AL441">
            <v>0</v>
          </cell>
        </row>
        <row r="442">
          <cell r="F442">
            <v>0</v>
          </cell>
          <cell r="G442">
            <v>0</v>
          </cell>
          <cell r="P442">
            <v>0</v>
          </cell>
          <cell r="V442">
            <v>0</v>
          </cell>
          <cell r="W442">
            <v>0</v>
          </cell>
          <cell r="X442">
            <v>0</v>
          </cell>
          <cell r="Y442">
            <v>0</v>
          </cell>
          <cell r="AA442">
            <v>0</v>
          </cell>
          <cell r="AB442">
            <v>0</v>
          </cell>
          <cell r="AC442">
            <v>0</v>
          </cell>
          <cell r="AD442">
            <v>0</v>
          </cell>
          <cell r="AK442">
            <v>0</v>
          </cell>
          <cell r="AL442">
            <v>0</v>
          </cell>
        </row>
        <row r="443">
          <cell r="F443">
            <v>0</v>
          </cell>
          <cell r="G443">
            <v>0</v>
          </cell>
          <cell r="P443">
            <v>0</v>
          </cell>
          <cell r="V443">
            <v>0</v>
          </cell>
          <cell r="W443">
            <v>0</v>
          </cell>
          <cell r="X443">
            <v>0</v>
          </cell>
          <cell r="Y443">
            <v>0</v>
          </cell>
          <cell r="AA443">
            <v>0</v>
          </cell>
          <cell r="AB443">
            <v>0</v>
          </cell>
          <cell r="AC443">
            <v>0</v>
          </cell>
          <cell r="AD443">
            <v>0</v>
          </cell>
          <cell r="AK443">
            <v>0</v>
          </cell>
          <cell r="AL443">
            <v>0</v>
          </cell>
        </row>
        <row r="444">
          <cell r="F444">
            <v>0</v>
          </cell>
          <cell r="G444">
            <v>0</v>
          </cell>
          <cell r="P444">
            <v>0</v>
          </cell>
          <cell r="V444">
            <v>0</v>
          </cell>
          <cell r="W444">
            <v>0</v>
          </cell>
          <cell r="X444">
            <v>0</v>
          </cell>
          <cell r="Y444">
            <v>0</v>
          </cell>
          <cell r="AA444">
            <v>0</v>
          </cell>
          <cell r="AB444">
            <v>0</v>
          </cell>
          <cell r="AC444">
            <v>0</v>
          </cell>
          <cell r="AD444">
            <v>0</v>
          </cell>
          <cell r="AK444">
            <v>0</v>
          </cell>
          <cell r="AL444">
            <v>0</v>
          </cell>
        </row>
        <row r="445">
          <cell r="F445">
            <v>0</v>
          </cell>
          <cell r="G445">
            <v>0</v>
          </cell>
          <cell r="P445">
            <v>0</v>
          </cell>
          <cell r="V445">
            <v>0</v>
          </cell>
          <cell r="W445">
            <v>0</v>
          </cell>
          <cell r="X445">
            <v>0</v>
          </cell>
          <cell r="Y445">
            <v>0</v>
          </cell>
          <cell r="AA445">
            <v>0</v>
          </cell>
          <cell r="AB445">
            <v>0</v>
          </cell>
          <cell r="AC445">
            <v>0</v>
          </cell>
          <cell r="AD445">
            <v>0</v>
          </cell>
          <cell r="AK445">
            <v>0</v>
          </cell>
          <cell r="AL445">
            <v>2</v>
          </cell>
        </row>
        <row r="446">
          <cell r="F446">
            <v>0</v>
          </cell>
          <cell r="G446">
            <v>0</v>
          </cell>
          <cell r="P446">
            <v>0</v>
          </cell>
          <cell r="V446">
            <v>0</v>
          </cell>
          <cell r="W446">
            <v>0</v>
          </cell>
          <cell r="X446">
            <v>0</v>
          </cell>
          <cell r="Y446">
            <v>0</v>
          </cell>
          <cell r="AA446">
            <v>0</v>
          </cell>
          <cell r="AB446">
            <v>0</v>
          </cell>
          <cell r="AC446">
            <v>0</v>
          </cell>
          <cell r="AD446">
            <v>0</v>
          </cell>
          <cell r="AK446">
            <v>0</v>
          </cell>
          <cell r="AL446">
            <v>0</v>
          </cell>
        </row>
        <row r="447">
          <cell r="F447">
            <v>0</v>
          </cell>
          <cell r="G447">
            <v>0</v>
          </cell>
          <cell r="P447">
            <v>0</v>
          </cell>
          <cell r="X447">
            <v>0</v>
          </cell>
          <cell r="Y447">
            <v>0</v>
          </cell>
          <cell r="AC447">
            <v>0</v>
          </cell>
          <cell r="AD447">
            <v>0</v>
          </cell>
          <cell r="AK447">
            <v>0</v>
          </cell>
          <cell r="AL447">
            <v>0</v>
          </cell>
        </row>
        <row r="448">
          <cell r="G448">
            <v>0</v>
          </cell>
          <cell r="P448">
            <v>0</v>
          </cell>
          <cell r="X448">
            <v>0</v>
          </cell>
          <cell r="Y448">
            <v>0</v>
          </cell>
          <cell r="AC448">
            <v>0</v>
          </cell>
          <cell r="AD448">
            <v>0</v>
          </cell>
          <cell r="AK448">
            <v>0</v>
          </cell>
          <cell r="AL448">
            <v>2</v>
          </cell>
        </row>
        <row r="449">
          <cell r="P449">
            <v>0</v>
          </cell>
          <cell r="X449">
            <v>0</v>
          </cell>
          <cell r="Y449">
            <v>0</v>
          </cell>
          <cell r="AC449">
            <v>0</v>
          </cell>
          <cell r="AK449">
            <v>0</v>
          </cell>
          <cell r="AL449">
            <v>0</v>
          </cell>
        </row>
      </sheetData>
      <sheetData sheetId="14" refreshError="1">
        <row r="8">
          <cell r="S8" t="str">
            <v>ЗАТВЕРДЖУЮ</v>
          </cell>
        </row>
        <row r="23">
          <cell r="U23" t="str">
            <v>ЗАТВЕРДЖУЮ</v>
          </cell>
        </row>
        <row r="24">
          <cell r="S24" t="str">
            <v>ЗАТВЕРДЖУЮ</v>
          </cell>
        </row>
        <row r="25">
          <cell r="S25" t="str">
            <v>ГОЛОВА ПРАЛІННЯ  КЕ</v>
          </cell>
        </row>
        <row r="27">
          <cell r="U27" t="str">
            <v>ЗАТВЕРДЖУЮ</v>
          </cell>
        </row>
        <row r="28">
          <cell r="S28" t="str">
            <v xml:space="preserve">                   ПЛАЧКОВ І.В.</v>
          </cell>
          <cell r="T28" t="str">
            <v>І.В.ПЛАЧКОВ</v>
          </cell>
          <cell r="U28" t="str">
            <v>ГОЛОВА ПРАЛІННЯ АК КЕ</v>
          </cell>
        </row>
        <row r="29">
          <cell r="U29" t="str">
            <v xml:space="preserve">                      ПЛАЧКОВ І.В.</v>
          </cell>
        </row>
        <row r="31">
          <cell r="P31" t="str">
            <v>ТЕЦ-6 ВСЬОГО</v>
          </cell>
          <cell r="Q31" t="str">
            <v>Е/Е</v>
          </cell>
          <cell r="R31" t="str">
            <v xml:space="preserve"> Т/Е</v>
          </cell>
          <cell r="S31" t="str">
            <v xml:space="preserve">ДОП.ВИР. </v>
          </cell>
          <cell r="T31" t="str">
            <v>ДОП.ВИР. СТ.ОРГ.</v>
          </cell>
          <cell r="U31" t="str">
            <v>АК КЕ ВСЬОГО</v>
          </cell>
          <cell r="V31" t="str">
            <v>Е/Е</v>
          </cell>
          <cell r="W31" t="str">
            <v xml:space="preserve"> Т/Е</v>
          </cell>
          <cell r="X31" t="str">
            <v>СТАНЦІї ЕЛЕКТРО</v>
          </cell>
          <cell r="Y31" t="str">
            <v>СТАНЦІІ ТЕПЛОВІ</v>
          </cell>
          <cell r="Z31" t="str">
            <v>МЕРЕЖІ ЕЛЕКТРО</v>
          </cell>
          <cell r="AA31" t="str">
            <v>МЕРЕЖІ ТЕПЛОВІ</v>
          </cell>
        </row>
        <row r="32">
          <cell r="Q32">
            <v>248</v>
          </cell>
          <cell r="V32">
            <v>391</v>
          </cell>
        </row>
        <row r="33">
          <cell r="P33">
            <v>12306</v>
          </cell>
          <cell r="Q33">
            <v>233.6</v>
          </cell>
          <cell r="S33">
            <v>52204</v>
          </cell>
          <cell r="V33">
            <v>363.9</v>
          </cell>
          <cell r="X33">
            <v>13845</v>
          </cell>
          <cell r="AC33">
            <v>7693</v>
          </cell>
          <cell r="AF33">
            <v>19609</v>
          </cell>
        </row>
        <row r="34">
          <cell r="Q34" t="str">
            <v>КТМ</v>
          </cell>
          <cell r="V34" t="str">
            <v xml:space="preserve">ТЕЦ-5 </v>
          </cell>
          <cell r="Y34" t="str">
            <v xml:space="preserve">ТЕЦ-6 </v>
          </cell>
          <cell r="AA34" t="str">
            <v xml:space="preserve">ТЕЦ-6 </v>
          </cell>
        </row>
        <row r="35">
          <cell r="V35">
            <v>0</v>
          </cell>
        </row>
        <row r="36">
          <cell r="F36" t="str">
            <v>ВИКОН.ДИР.</v>
          </cell>
          <cell r="G36" t="str">
            <v>Е/Е</v>
          </cell>
          <cell r="H36" t="str">
            <v xml:space="preserve"> Т/Е</v>
          </cell>
          <cell r="P36" t="str">
            <v xml:space="preserve">КМ </v>
          </cell>
          <cell r="S36" t="str">
            <v xml:space="preserve">ТМ </v>
          </cell>
          <cell r="T36" t="str">
            <v>ВИРОБН</v>
          </cell>
          <cell r="U36" t="str">
            <v>ПЕРЕД</v>
          </cell>
          <cell r="V36">
            <v>3</v>
          </cell>
          <cell r="W36" t="str">
            <v>Е/Е</v>
          </cell>
          <cell r="X36" t="str">
            <v>ТЕЦ-5 ВСЬОГО</v>
          </cell>
          <cell r="Y36" t="str">
            <v>Е/Е</v>
          </cell>
          <cell r="Z36" t="str">
            <v xml:space="preserve"> Т/Е</v>
          </cell>
          <cell r="AA36" t="str">
            <v>ТЕЦ-6 ВСЬОГО</v>
          </cell>
          <cell r="AB36" t="str">
            <v>Е/Е</v>
          </cell>
          <cell r="AC36" t="str">
            <v>ТЕЦ-6 ВСЬОГО</v>
          </cell>
          <cell r="AD36" t="str">
            <v>Е/Е</v>
          </cell>
          <cell r="AE36" t="str">
            <v xml:space="preserve"> Т/Е</v>
          </cell>
          <cell r="AF36" t="str">
            <v>ТРМ ВСЬОГО</v>
          </cell>
          <cell r="AG36" t="str">
            <v>ТРМ  АК КЕ</v>
          </cell>
          <cell r="AH36" t="str">
            <v>ТРМ СТОР</v>
          </cell>
          <cell r="AK36" t="str">
            <v>АК КЕ ВСЬОГО</v>
          </cell>
          <cell r="AL36" t="str">
            <v xml:space="preserve"> Е/Е</v>
          </cell>
          <cell r="AM36" t="str">
            <v xml:space="preserve"> Т/Е</v>
          </cell>
          <cell r="AO36" t="str">
            <v>СТАНЦІї ЕЛЕКТРО</v>
          </cell>
          <cell r="AP36" t="str">
            <v>СТАНЦІІ ТЕПЛОВІ</v>
          </cell>
          <cell r="AQ36" t="str">
            <v>МЕРЕЖІ ЕЛЕКТРО</v>
          </cell>
          <cell r="AR36" t="str">
            <v>МЕРЕЖІ ТЕПЛОВІ</v>
          </cell>
        </row>
        <row r="37">
          <cell r="V37">
            <v>0</v>
          </cell>
          <cell r="AL37">
            <v>395</v>
          </cell>
        </row>
        <row r="38">
          <cell r="V38">
            <v>334</v>
          </cell>
          <cell r="AL38">
            <v>336</v>
          </cell>
        </row>
        <row r="39">
          <cell r="V39">
            <v>331</v>
          </cell>
          <cell r="AL39">
            <v>0</v>
          </cell>
        </row>
        <row r="40">
          <cell r="R40">
            <v>67</v>
          </cell>
          <cell r="W40">
            <v>261</v>
          </cell>
        </row>
        <row r="41">
          <cell r="W41">
            <v>0</v>
          </cell>
          <cell r="AL41">
            <v>0</v>
          </cell>
        </row>
        <row r="42">
          <cell r="R42">
            <v>67</v>
          </cell>
          <cell r="W42">
            <v>171</v>
          </cell>
          <cell r="AL42">
            <v>0</v>
          </cell>
        </row>
        <row r="43">
          <cell r="AL43">
            <v>395.6</v>
          </cell>
        </row>
        <row r="44">
          <cell r="P44">
            <v>0</v>
          </cell>
          <cell r="Q44" t="e">
            <v>#REF!</v>
          </cell>
          <cell r="R44" t="e">
            <v>#REF!</v>
          </cell>
          <cell r="T44">
            <v>16</v>
          </cell>
          <cell r="U44" t="e">
            <v>#REF!</v>
          </cell>
          <cell r="V44" t="e">
            <v>#REF!</v>
          </cell>
          <cell r="W44" t="e">
            <v>#REF!</v>
          </cell>
          <cell r="X44" t="e">
            <v>#REF!</v>
          </cell>
          <cell r="Y44">
            <v>0</v>
          </cell>
          <cell r="Z44" t="e">
            <v>#REF!</v>
          </cell>
          <cell r="AA44" t="e">
            <v>#REF!</v>
          </cell>
          <cell r="AL44">
            <v>395.6</v>
          </cell>
        </row>
        <row r="45">
          <cell r="P45" t="e">
            <v>#REF!</v>
          </cell>
          <cell r="Q45" t="e">
            <v>#REF!</v>
          </cell>
          <cell r="R45" t="e">
            <v>#REF!</v>
          </cell>
          <cell r="U45" t="e">
            <v>#REF!</v>
          </cell>
          <cell r="AM45">
            <v>1580</v>
          </cell>
        </row>
        <row r="46">
          <cell r="P46" t="e">
            <v>#REF!</v>
          </cell>
          <cell r="Q46" t="e">
            <v>#REF!</v>
          </cell>
          <cell r="R46" t="e">
            <v>#REF!</v>
          </cell>
          <cell r="U46" t="e">
            <v>#REF!</v>
          </cell>
          <cell r="AM46">
            <v>0</v>
          </cell>
        </row>
        <row r="47">
          <cell r="P47" t="e">
            <v>#REF!</v>
          </cell>
          <cell r="Q47" t="e">
            <v>#REF!</v>
          </cell>
          <cell r="U47" t="e">
            <v>#REF!</v>
          </cell>
          <cell r="AM47">
            <v>1580</v>
          </cell>
        </row>
        <row r="48">
          <cell r="F48">
            <v>12311.2</v>
          </cell>
          <cell r="P48">
            <v>3642.12</v>
          </cell>
          <cell r="Q48" t="e">
            <v>#REF!</v>
          </cell>
          <cell r="R48" t="e">
            <v>#REF!</v>
          </cell>
          <cell r="S48">
            <v>4914.9412121212117</v>
          </cell>
          <cell r="T48">
            <v>2221.1818606060606</v>
          </cell>
          <cell r="U48">
            <v>2612.759351515152</v>
          </cell>
          <cell r="V48" t="e">
            <v>#REF!</v>
          </cell>
          <cell r="W48" t="e">
            <v>#REF!</v>
          </cell>
          <cell r="X48">
            <v>1941.8530303030293</v>
          </cell>
          <cell r="Y48" t="e">
            <v>#REF!</v>
          </cell>
          <cell r="Z48" t="e">
            <v>#REF!</v>
          </cell>
          <cell r="AA48" t="e">
            <v>#REF!</v>
          </cell>
          <cell r="AC48">
            <v>1753.5509090909086</v>
          </cell>
          <cell r="AF48">
            <v>3698.0493939393937</v>
          </cell>
          <cell r="AG48">
            <v>3251.35</v>
          </cell>
          <cell r="AH48">
            <v>415.69939393939387</v>
          </cell>
        </row>
        <row r="49">
          <cell r="F49">
            <v>0.85</v>
          </cell>
          <cell r="P49" t="e">
            <v>#REF!</v>
          </cell>
          <cell r="Q49" t="e">
            <v>#REF!</v>
          </cell>
          <cell r="R49" t="e">
            <v>#REF!</v>
          </cell>
          <cell r="S49">
            <v>0.85</v>
          </cell>
          <cell r="U49" t="e">
            <v>#REF!</v>
          </cell>
          <cell r="V49" t="e">
            <v>#REF!</v>
          </cell>
          <cell r="W49" t="e">
            <v>#REF!</v>
          </cell>
          <cell r="X49" t="e">
            <v>#REF!</v>
          </cell>
          <cell r="Y49" t="e">
            <v>#REF!</v>
          </cell>
          <cell r="Z49" t="e">
            <v>#REF!</v>
          </cell>
          <cell r="AA49" t="e">
            <v>#REF!</v>
          </cell>
          <cell r="AC49">
            <v>0.85</v>
          </cell>
          <cell r="AF49">
            <v>0.85</v>
          </cell>
          <cell r="AG49">
            <v>0.85</v>
          </cell>
          <cell r="AH49">
            <v>0.85</v>
          </cell>
        </row>
        <row r="50">
          <cell r="P50" t="e">
            <v>#REF!</v>
          </cell>
          <cell r="Q50" t="e">
            <v>#REF!</v>
          </cell>
          <cell r="R50" t="e">
            <v>#REF!</v>
          </cell>
          <cell r="T50">
            <v>0</v>
          </cell>
          <cell r="U50" t="e">
            <v>#REF!</v>
          </cell>
          <cell r="V50" t="e">
            <v>#REF!</v>
          </cell>
          <cell r="W50" t="e">
            <v>#REF!</v>
          </cell>
          <cell r="X50" t="e">
            <v>#REF!</v>
          </cell>
          <cell r="Y50" t="e">
            <v>#REF!</v>
          </cell>
          <cell r="Z50" t="e">
            <v>#REF!</v>
          </cell>
          <cell r="AA50" t="e">
            <v>#REF!</v>
          </cell>
        </row>
        <row r="51">
          <cell r="F51">
            <v>743</v>
          </cell>
          <cell r="G51">
            <v>321</v>
          </cell>
          <cell r="H51">
            <v>422</v>
          </cell>
          <cell r="P51">
            <v>320</v>
          </cell>
          <cell r="Q51" t="e">
            <v>#REF!</v>
          </cell>
          <cell r="R51" t="e">
            <v>#REF!</v>
          </cell>
          <cell r="S51">
            <v>931.66666666666663</v>
          </cell>
          <cell r="T51">
            <v>465.83333333333331</v>
          </cell>
          <cell r="U51">
            <v>465.83333333333331</v>
          </cell>
          <cell r="V51" t="e">
            <v>#REF!</v>
          </cell>
          <cell r="W51" t="e">
            <v>#REF!</v>
          </cell>
          <cell r="X51">
            <v>184</v>
          </cell>
          <cell r="Y51">
            <v>136</v>
          </cell>
          <cell r="Z51">
            <v>48</v>
          </cell>
          <cell r="AA51" t="e">
            <v>#REF!</v>
          </cell>
          <cell r="AB51">
            <v>38</v>
          </cell>
          <cell r="AC51">
            <v>-200</v>
          </cell>
          <cell r="AD51">
            <v>-123</v>
          </cell>
          <cell r="AE51">
            <v>-77</v>
          </cell>
          <cell r="AF51">
            <v>490.33333333333331</v>
          </cell>
          <cell r="AG51">
            <v>814</v>
          </cell>
          <cell r="AH51">
            <v>-323.66666666666669</v>
          </cell>
          <cell r="AK51">
            <v>3009.6666666666665</v>
          </cell>
          <cell r="AL51">
            <v>717</v>
          </cell>
          <cell r="AM51">
            <v>2292.6666666666665</v>
          </cell>
          <cell r="AN51">
            <v>2292.6666666666665</v>
          </cell>
          <cell r="AO51">
            <v>13</v>
          </cell>
          <cell r="AP51">
            <v>288</v>
          </cell>
          <cell r="AQ51">
            <v>704</v>
          </cell>
          <cell r="AR51">
            <v>2004.6666666666665</v>
          </cell>
        </row>
        <row r="52">
          <cell r="F52">
            <v>122</v>
          </cell>
          <cell r="G52">
            <v>53</v>
          </cell>
          <cell r="H52">
            <v>69</v>
          </cell>
          <cell r="P52">
            <v>310</v>
          </cell>
          <cell r="Q52" t="e">
            <v>#REF!</v>
          </cell>
          <cell r="R52">
            <v>0</v>
          </cell>
          <cell r="S52">
            <v>750</v>
          </cell>
          <cell r="U52" t="e">
            <v>#REF!</v>
          </cell>
          <cell r="V52" t="e">
            <v>#REF!</v>
          </cell>
          <cell r="W52" t="e">
            <v>#REF!</v>
          </cell>
          <cell r="X52">
            <v>115</v>
          </cell>
          <cell r="Y52">
            <v>85</v>
          </cell>
          <cell r="Z52">
            <v>30</v>
          </cell>
          <cell r="AA52">
            <v>100</v>
          </cell>
          <cell r="AB52">
            <v>79</v>
          </cell>
          <cell r="AC52">
            <v>110</v>
          </cell>
          <cell r="AD52">
            <v>68</v>
          </cell>
          <cell r="AE52">
            <v>42</v>
          </cell>
          <cell r="AF52">
            <v>455</v>
          </cell>
          <cell r="AG52">
            <v>714</v>
          </cell>
          <cell r="AH52">
            <v>-371</v>
          </cell>
          <cell r="AK52">
            <v>2171</v>
          </cell>
          <cell r="AL52">
            <v>531</v>
          </cell>
          <cell r="AM52">
            <v>1640</v>
          </cell>
          <cell r="AN52">
            <v>1640</v>
          </cell>
        </row>
        <row r="53">
          <cell r="G53">
            <v>0</v>
          </cell>
          <cell r="P53">
            <v>0</v>
          </cell>
          <cell r="Q53" t="e">
            <v>#REF!</v>
          </cell>
          <cell r="R53" t="e">
            <v>#REF!</v>
          </cell>
          <cell r="T53">
            <v>29</v>
          </cell>
          <cell r="U53" t="e">
            <v>#REF!</v>
          </cell>
          <cell r="V53" t="e">
            <v>#REF!</v>
          </cell>
          <cell r="W53" t="e">
            <v>#REF!</v>
          </cell>
          <cell r="X53">
            <v>0</v>
          </cell>
          <cell r="Y53">
            <v>0</v>
          </cell>
          <cell r="Z53">
            <v>0</v>
          </cell>
          <cell r="AA53" t="e">
            <v>#REF!</v>
          </cell>
          <cell r="AB53">
            <v>-238</v>
          </cell>
          <cell r="AC53">
            <v>0</v>
          </cell>
          <cell r="AD53">
            <v>0</v>
          </cell>
          <cell r="AE53">
            <v>0</v>
          </cell>
          <cell r="AH53">
            <v>0</v>
          </cell>
          <cell r="AK53">
            <v>0</v>
          </cell>
          <cell r="AL53">
            <v>0</v>
          </cell>
          <cell r="AM53">
            <v>0</v>
          </cell>
          <cell r="AN53">
            <v>0</v>
          </cell>
        </row>
        <row r="54">
          <cell r="F54">
            <v>521</v>
          </cell>
          <cell r="G54">
            <v>225</v>
          </cell>
          <cell r="H54">
            <v>296</v>
          </cell>
          <cell r="P54">
            <v>9</v>
          </cell>
          <cell r="Q54" t="e">
            <v>#REF!</v>
          </cell>
          <cell r="R54" t="e">
            <v>#REF!</v>
          </cell>
          <cell r="S54">
            <v>84</v>
          </cell>
          <cell r="T54">
            <v>686</v>
          </cell>
          <cell r="U54" t="e">
            <v>#REF!</v>
          </cell>
          <cell r="V54" t="e">
            <v>#REF!</v>
          </cell>
          <cell r="W54" t="e">
            <v>#REF!</v>
          </cell>
          <cell r="X54">
            <v>57</v>
          </cell>
          <cell r="Y54">
            <v>42</v>
          </cell>
          <cell r="Z54">
            <v>15</v>
          </cell>
          <cell r="AA54" t="e">
            <v>#REF!</v>
          </cell>
          <cell r="AB54">
            <v>37</v>
          </cell>
          <cell r="AC54">
            <v>62</v>
          </cell>
          <cell r="AD54">
            <v>38</v>
          </cell>
          <cell r="AE54">
            <v>24</v>
          </cell>
          <cell r="AF54">
            <v>32</v>
          </cell>
          <cell r="AG54">
            <v>30</v>
          </cell>
          <cell r="AH54">
            <v>2</v>
          </cell>
          <cell r="AK54">
            <v>913</v>
          </cell>
          <cell r="AL54">
            <v>358</v>
          </cell>
          <cell r="AM54">
            <v>555</v>
          </cell>
          <cell r="AN54">
            <v>555</v>
          </cell>
        </row>
        <row r="55">
          <cell r="F55">
            <v>2</v>
          </cell>
          <cell r="G55">
            <v>1</v>
          </cell>
          <cell r="H55">
            <v>1</v>
          </cell>
          <cell r="P55">
            <v>42</v>
          </cell>
          <cell r="Q55" t="e">
            <v>#REF!</v>
          </cell>
          <cell r="R55" t="e">
            <v>#REF!</v>
          </cell>
          <cell r="S55">
            <v>329</v>
          </cell>
          <cell r="T55">
            <v>256.62</v>
          </cell>
          <cell r="U55">
            <v>72.38</v>
          </cell>
          <cell r="V55" t="e">
            <v>#REF!</v>
          </cell>
          <cell r="W55" t="e">
            <v>#REF!</v>
          </cell>
          <cell r="X55">
            <v>421</v>
          </cell>
          <cell r="Y55">
            <v>311</v>
          </cell>
          <cell r="Z55">
            <v>110</v>
          </cell>
          <cell r="AA55" t="e">
            <v>#REF!</v>
          </cell>
          <cell r="AB55">
            <v>67</v>
          </cell>
          <cell r="AC55">
            <v>84</v>
          </cell>
          <cell r="AD55">
            <v>52</v>
          </cell>
          <cell r="AE55">
            <v>32</v>
          </cell>
          <cell r="AF55">
            <v>196.33333333333334</v>
          </cell>
          <cell r="AG55">
            <v>135</v>
          </cell>
          <cell r="AH55">
            <v>61.333333333333343</v>
          </cell>
          <cell r="AK55">
            <v>1013</v>
          </cell>
          <cell r="AL55">
            <v>406</v>
          </cell>
          <cell r="AM55">
            <v>607</v>
          </cell>
          <cell r="AN55">
            <v>607</v>
          </cell>
          <cell r="AO55">
            <v>363</v>
          </cell>
          <cell r="AP55">
            <v>254</v>
          </cell>
          <cell r="AQ55">
            <v>43</v>
          </cell>
          <cell r="AR55">
            <v>353</v>
          </cell>
        </row>
        <row r="56">
          <cell r="F56">
            <v>0</v>
          </cell>
          <cell r="G56">
            <v>0</v>
          </cell>
          <cell r="H56">
            <v>0</v>
          </cell>
          <cell r="P56" t="e">
            <v>#REF!</v>
          </cell>
          <cell r="Q56" t="e">
            <v>#REF!</v>
          </cell>
          <cell r="R56" t="e">
            <v>#REF!</v>
          </cell>
          <cell r="S56">
            <v>10</v>
          </cell>
          <cell r="T56">
            <v>10</v>
          </cell>
          <cell r="U56">
            <v>0</v>
          </cell>
          <cell r="V56" t="e">
            <v>#REF!</v>
          </cell>
          <cell r="W56" t="e">
            <v>#REF!</v>
          </cell>
          <cell r="X56">
            <v>336</v>
          </cell>
          <cell r="Y56">
            <v>248</v>
          </cell>
          <cell r="Z56">
            <v>88</v>
          </cell>
          <cell r="AA56">
            <v>0</v>
          </cell>
          <cell r="AB56">
            <v>11</v>
          </cell>
          <cell r="AC56">
            <v>13.333333333333334</v>
          </cell>
          <cell r="AD56">
            <v>8</v>
          </cell>
          <cell r="AE56">
            <v>5.3333333333333339</v>
          </cell>
          <cell r="AF56">
            <v>2</v>
          </cell>
          <cell r="AG56">
            <v>2</v>
          </cell>
          <cell r="AH56">
            <v>0</v>
          </cell>
          <cell r="AK56">
            <v>361.33333333333331</v>
          </cell>
          <cell r="AL56">
            <v>256</v>
          </cell>
          <cell r="AM56">
            <v>105.33333333333331</v>
          </cell>
          <cell r="AN56">
            <v>105.33333333333333</v>
          </cell>
          <cell r="AO56">
            <v>256</v>
          </cell>
          <cell r="AP56">
            <v>97</v>
          </cell>
          <cell r="AQ56">
            <v>0</v>
          </cell>
          <cell r="AR56">
            <v>8.3333333333333144</v>
          </cell>
        </row>
        <row r="57">
          <cell r="F57">
            <v>0</v>
          </cell>
          <cell r="G57">
            <v>0</v>
          </cell>
          <cell r="H57">
            <v>0</v>
          </cell>
          <cell r="P57" t="e">
            <v>#REF!</v>
          </cell>
          <cell r="Q57" t="e">
            <v>#REF!</v>
          </cell>
          <cell r="R57" t="e">
            <v>#REF!</v>
          </cell>
          <cell r="S57">
            <v>1232</v>
          </cell>
          <cell r="T57">
            <v>1232</v>
          </cell>
          <cell r="U57">
            <v>0</v>
          </cell>
          <cell r="V57" t="e">
            <v>#REF!</v>
          </cell>
          <cell r="W57" t="e">
            <v>#REF!</v>
          </cell>
          <cell r="X57">
            <v>12570</v>
          </cell>
          <cell r="Y57">
            <v>9289</v>
          </cell>
          <cell r="Z57">
            <v>3281</v>
          </cell>
          <cell r="AA57" t="e">
            <v>#REF!</v>
          </cell>
          <cell r="AB57">
            <v>8403</v>
          </cell>
          <cell r="AC57">
            <v>11165</v>
          </cell>
          <cell r="AD57">
            <v>6867</v>
          </cell>
          <cell r="AE57">
            <v>4298</v>
          </cell>
          <cell r="AH57">
            <v>0</v>
          </cell>
          <cell r="AK57">
            <v>24967</v>
          </cell>
          <cell r="AL57">
            <v>16156</v>
          </cell>
          <cell r="AM57">
            <v>8811</v>
          </cell>
          <cell r="AN57">
            <v>8811</v>
          </cell>
          <cell r="AO57">
            <v>16156</v>
          </cell>
          <cell r="AP57">
            <v>8811</v>
          </cell>
          <cell r="AQ57">
            <v>0</v>
          </cell>
          <cell r="AR57">
            <v>0</v>
          </cell>
        </row>
        <row r="58">
          <cell r="F58">
            <v>0</v>
          </cell>
          <cell r="G58">
            <v>0</v>
          </cell>
          <cell r="H58">
            <v>0</v>
          </cell>
          <cell r="P58">
            <v>0</v>
          </cell>
          <cell r="Q58" t="e">
            <v>#REF!</v>
          </cell>
          <cell r="R58" t="e">
            <v>#REF!</v>
          </cell>
          <cell r="S58">
            <v>1232</v>
          </cell>
          <cell r="T58">
            <v>1232</v>
          </cell>
          <cell r="U58">
            <v>0</v>
          </cell>
          <cell r="V58" t="e">
            <v>#REF!</v>
          </cell>
          <cell r="W58" t="e">
            <v>#REF!</v>
          </cell>
          <cell r="X58">
            <v>12570</v>
          </cell>
          <cell r="Y58">
            <v>9289</v>
          </cell>
          <cell r="Z58">
            <v>3281</v>
          </cell>
          <cell r="AA58" t="e">
            <v>#REF!</v>
          </cell>
          <cell r="AB58">
            <v>8403</v>
          </cell>
          <cell r="AC58">
            <v>11165</v>
          </cell>
          <cell r="AD58">
            <v>6867</v>
          </cell>
          <cell r="AE58">
            <v>4298</v>
          </cell>
          <cell r="AF58">
            <v>0</v>
          </cell>
          <cell r="AG58">
            <v>0</v>
          </cell>
          <cell r="AH58">
            <v>0</v>
          </cell>
          <cell r="AK58">
            <v>24967</v>
          </cell>
          <cell r="AL58">
            <v>16156</v>
          </cell>
          <cell r="AM58">
            <v>8811</v>
          </cell>
          <cell r="AN58">
            <v>8811</v>
          </cell>
          <cell r="AO58">
            <v>16156</v>
          </cell>
          <cell r="AP58">
            <v>8811</v>
          </cell>
          <cell r="AQ58">
            <v>0</v>
          </cell>
          <cell r="AR58">
            <v>0</v>
          </cell>
        </row>
        <row r="59">
          <cell r="F59">
            <v>0</v>
          </cell>
          <cell r="G59">
            <v>0</v>
          </cell>
          <cell r="H59">
            <v>0</v>
          </cell>
          <cell r="P59" t="e">
            <v>#REF!</v>
          </cell>
          <cell r="Q59" t="e">
            <v>#REF!</v>
          </cell>
          <cell r="R59" t="e">
            <v>#REF!</v>
          </cell>
          <cell r="T59">
            <v>0</v>
          </cell>
          <cell r="U59">
            <v>0</v>
          </cell>
          <cell r="V59" t="e">
            <v>#REF!</v>
          </cell>
          <cell r="W59" t="e">
            <v>#REF!</v>
          </cell>
          <cell r="Y59" t="e">
            <v>#REF!</v>
          </cell>
          <cell r="AD59">
            <v>0</v>
          </cell>
          <cell r="AE59">
            <v>0</v>
          </cell>
          <cell r="AF59">
            <v>0</v>
          </cell>
          <cell r="AH59">
            <v>0</v>
          </cell>
          <cell r="AK59">
            <v>0</v>
          </cell>
          <cell r="AL59">
            <v>0</v>
          </cell>
          <cell r="AM59">
            <v>0</v>
          </cell>
          <cell r="AN59">
            <v>0</v>
          </cell>
          <cell r="AP59">
            <v>0</v>
          </cell>
        </row>
        <row r="60">
          <cell r="F60">
            <v>7</v>
          </cell>
          <cell r="G60">
            <v>3</v>
          </cell>
          <cell r="H60">
            <v>4</v>
          </cell>
          <cell r="P60">
            <v>14</v>
          </cell>
          <cell r="Q60" t="e">
            <v>#REF!</v>
          </cell>
          <cell r="R60" t="e">
            <v>#REF!</v>
          </cell>
          <cell r="S60">
            <v>420</v>
          </cell>
          <cell r="T60">
            <v>420</v>
          </cell>
          <cell r="U60">
            <v>0</v>
          </cell>
          <cell r="V60" t="e">
            <v>#REF!</v>
          </cell>
          <cell r="W60" t="e">
            <v>#REF!</v>
          </cell>
          <cell r="X60">
            <v>0</v>
          </cell>
          <cell r="Y60">
            <v>0</v>
          </cell>
          <cell r="Z60">
            <v>0</v>
          </cell>
          <cell r="AA60">
            <v>0</v>
          </cell>
          <cell r="AB60">
            <v>0</v>
          </cell>
          <cell r="AC60">
            <v>0</v>
          </cell>
          <cell r="AD60">
            <v>0</v>
          </cell>
          <cell r="AE60">
            <v>0</v>
          </cell>
          <cell r="AF60">
            <v>670</v>
          </cell>
          <cell r="AG60">
            <v>253</v>
          </cell>
          <cell r="AH60">
            <v>417</v>
          </cell>
          <cell r="AK60">
            <v>694</v>
          </cell>
          <cell r="AL60">
            <v>17</v>
          </cell>
          <cell r="AM60">
            <v>677</v>
          </cell>
          <cell r="AN60">
            <v>677</v>
          </cell>
          <cell r="AO60">
            <v>0</v>
          </cell>
          <cell r="AP60">
            <v>143</v>
          </cell>
          <cell r="AQ60">
            <v>17</v>
          </cell>
          <cell r="AR60">
            <v>534</v>
          </cell>
        </row>
        <row r="61">
          <cell r="F61">
            <v>498.2</v>
          </cell>
          <cell r="G61">
            <v>215</v>
          </cell>
          <cell r="H61">
            <v>283.2</v>
          </cell>
          <cell r="P61">
            <v>552.62</v>
          </cell>
          <cell r="Q61" t="e">
            <v>#REF!</v>
          </cell>
          <cell r="R61" t="e">
            <v>#REF!</v>
          </cell>
          <cell r="S61">
            <v>955.87454545454557</v>
          </cell>
          <cell r="T61">
            <v>468.3785272727273</v>
          </cell>
          <cell r="U61">
            <v>487.49601818181827</v>
          </cell>
          <cell r="V61" t="e">
            <v>#REF!</v>
          </cell>
          <cell r="W61" t="e">
            <v>#REF!</v>
          </cell>
          <cell r="X61">
            <v>269.38636363636363</v>
          </cell>
          <cell r="Y61">
            <v>199</v>
          </cell>
          <cell r="Z61">
            <v>70.386363636363626</v>
          </cell>
          <cell r="AA61" t="e">
            <v>#REF!</v>
          </cell>
          <cell r="AB61">
            <v>220</v>
          </cell>
          <cell r="AC61">
            <v>257.85090909090911</v>
          </cell>
          <cell r="AD61">
            <v>159</v>
          </cell>
          <cell r="AE61">
            <v>98.850909090909113</v>
          </cell>
          <cell r="AF61">
            <v>1038.0327272727272</v>
          </cell>
          <cell r="AG61">
            <v>870</v>
          </cell>
          <cell r="AH61">
            <v>168.03272727272724</v>
          </cell>
          <cell r="AK61">
            <v>3751.9318181818185</v>
          </cell>
          <cell r="AL61">
            <v>1350.62</v>
          </cell>
          <cell r="AM61">
            <v>2401.3118181818186</v>
          </cell>
          <cell r="AN61">
            <v>2401.3118181818186</v>
          </cell>
          <cell r="AO61">
            <v>358</v>
          </cell>
          <cell r="AP61">
            <v>494</v>
          </cell>
          <cell r="AQ61">
            <v>992.61999999999989</v>
          </cell>
          <cell r="AR61">
            <v>1907.3118181818186</v>
          </cell>
        </row>
        <row r="62">
          <cell r="F62">
            <v>27</v>
          </cell>
          <cell r="G62">
            <v>12</v>
          </cell>
          <cell r="H62">
            <v>15</v>
          </cell>
          <cell r="P62">
            <v>30</v>
          </cell>
          <cell r="Q62" t="e">
            <v>#REF!</v>
          </cell>
          <cell r="R62" t="e">
            <v>#REF!</v>
          </cell>
          <cell r="S62">
            <v>53</v>
          </cell>
          <cell r="T62">
            <v>26</v>
          </cell>
          <cell r="U62">
            <v>27</v>
          </cell>
          <cell r="V62" t="e">
            <v>#REF!</v>
          </cell>
          <cell r="W62" t="e">
            <v>#REF!</v>
          </cell>
          <cell r="X62">
            <v>15</v>
          </cell>
          <cell r="Y62">
            <v>11</v>
          </cell>
          <cell r="Z62">
            <v>4</v>
          </cell>
          <cell r="AA62">
            <v>15</v>
          </cell>
          <cell r="AB62">
            <v>12</v>
          </cell>
          <cell r="AC62">
            <v>14</v>
          </cell>
          <cell r="AD62">
            <v>9</v>
          </cell>
          <cell r="AE62">
            <v>5</v>
          </cell>
          <cell r="AF62">
            <v>57</v>
          </cell>
          <cell r="AG62">
            <v>48</v>
          </cell>
          <cell r="AH62">
            <v>9</v>
          </cell>
          <cell r="AK62">
            <v>206</v>
          </cell>
          <cell r="AL62">
            <v>74</v>
          </cell>
          <cell r="AM62">
            <v>132</v>
          </cell>
          <cell r="AN62">
            <v>132</v>
          </cell>
          <cell r="AO62">
            <v>20</v>
          </cell>
          <cell r="AP62">
            <v>19</v>
          </cell>
          <cell r="AQ62">
            <v>54</v>
          </cell>
          <cell r="AR62">
            <v>113</v>
          </cell>
        </row>
        <row r="63">
          <cell r="F63">
            <v>159</v>
          </cell>
          <cell r="G63">
            <v>69</v>
          </cell>
          <cell r="H63">
            <v>90</v>
          </cell>
          <cell r="P63">
            <v>177</v>
          </cell>
          <cell r="Q63" t="e">
            <v>#REF!</v>
          </cell>
          <cell r="R63" t="e">
            <v>#REF!</v>
          </cell>
          <cell r="S63">
            <v>306</v>
          </cell>
          <cell r="T63">
            <v>150</v>
          </cell>
          <cell r="U63">
            <v>156</v>
          </cell>
          <cell r="V63" t="e">
            <v>#REF!</v>
          </cell>
          <cell r="W63" t="e">
            <v>#REF!</v>
          </cell>
          <cell r="X63">
            <v>86</v>
          </cell>
          <cell r="Y63">
            <v>64</v>
          </cell>
          <cell r="Z63">
            <v>22</v>
          </cell>
          <cell r="AA63">
            <v>89</v>
          </cell>
          <cell r="AB63">
            <v>71</v>
          </cell>
          <cell r="AC63">
            <v>83</v>
          </cell>
          <cell r="AD63">
            <v>51</v>
          </cell>
          <cell r="AE63">
            <v>32</v>
          </cell>
          <cell r="AF63">
            <v>332</v>
          </cell>
          <cell r="AG63">
            <v>278</v>
          </cell>
          <cell r="AH63">
            <v>54</v>
          </cell>
          <cell r="AK63">
            <v>1200</v>
          </cell>
          <cell r="AL63">
            <v>432</v>
          </cell>
          <cell r="AM63">
            <v>768</v>
          </cell>
          <cell r="AN63">
            <v>767</v>
          </cell>
          <cell r="AO63">
            <v>0</v>
          </cell>
          <cell r="AP63">
            <v>0</v>
          </cell>
          <cell r="AQ63">
            <v>0</v>
          </cell>
          <cell r="AR63">
            <v>0</v>
          </cell>
        </row>
        <row r="64">
          <cell r="F64">
            <v>0</v>
          </cell>
          <cell r="G64">
            <v>0</v>
          </cell>
          <cell r="P64">
            <v>0</v>
          </cell>
          <cell r="Q64" t="e">
            <v>#REF!</v>
          </cell>
          <cell r="R64" t="e">
            <v>#REF!</v>
          </cell>
          <cell r="U64" t="e">
            <v>#REF!</v>
          </cell>
          <cell r="V64" t="e">
            <v>#REF!</v>
          </cell>
          <cell r="W64" t="e">
            <v>#REF!</v>
          </cell>
          <cell r="X64">
            <v>0</v>
          </cell>
          <cell r="AD64">
            <v>0</v>
          </cell>
          <cell r="AE64">
            <v>0</v>
          </cell>
          <cell r="AH64">
            <v>0</v>
          </cell>
          <cell r="AK64">
            <v>0</v>
          </cell>
          <cell r="AN64">
            <v>0</v>
          </cell>
        </row>
        <row r="65">
          <cell r="F65">
            <v>79</v>
          </cell>
          <cell r="G65">
            <v>34</v>
          </cell>
          <cell r="H65">
            <v>45</v>
          </cell>
          <cell r="P65">
            <v>464</v>
          </cell>
          <cell r="Q65" t="e">
            <v>#REF!</v>
          </cell>
          <cell r="R65" t="e">
            <v>#REF!</v>
          </cell>
          <cell r="S65">
            <v>1018</v>
          </cell>
          <cell r="T65">
            <v>162.88</v>
          </cell>
          <cell r="U65">
            <v>855.12</v>
          </cell>
          <cell r="V65" t="e">
            <v>#REF!</v>
          </cell>
          <cell r="W65" t="e">
            <v>#REF!</v>
          </cell>
          <cell r="X65">
            <v>551</v>
          </cell>
          <cell r="Y65">
            <v>407</v>
          </cell>
          <cell r="Z65">
            <v>144</v>
          </cell>
          <cell r="AA65">
            <v>573</v>
          </cell>
          <cell r="AB65">
            <v>455</v>
          </cell>
          <cell r="AC65">
            <v>583.66666666666663</v>
          </cell>
          <cell r="AD65">
            <v>359</v>
          </cell>
          <cell r="AE65">
            <v>224.66666666666663</v>
          </cell>
          <cell r="AF65">
            <v>526</v>
          </cell>
          <cell r="AG65">
            <v>526</v>
          </cell>
          <cell r="AH65">
            <v>0</v>
          </cell>
          <cell r="AK65">
            <v>3231.6666666666665</v>
          </cell>
          <cell r="AL65">
            <v>1271</v>
          </cell>
          <cell r="AM65">
            <v>1960.6666666666665</v>
          </cell>
          <cell r="AN65">
            <v>1960.6666666666665</v>
          </cell>
          <cell r="AO65">
            <v>766</v>
          </cell>
          <cell r="AP65">
            <v>715</v>
          </cell>
          <cell r="AQ65">
            <v>505</v>
          </cell>
          <cell r="AR65">
            <v>1245.6666666666665</v>
          </cell>
        </row>
        <row r="66">
          <cell r="G66">
            <v>0</v>
          </cell>
          <cell r="P66" t="e">
            <v>#REF!</v>
          </cell>
          <cell r="Q66" t="e">
            <v>#REF!</v>
          </cell>
          <cell r="R66" t="e">
            <v>#REF!</v>
          </cell>
          <cell r="T66">
            <v>16</v>
          </cell>
          <cell r="U66">
            <v>86</v>
          </cell>
          <cell r="V66" t="e">
            <v>#REF!</v>
          </cell>
          <cell r="W66" t="e">
            <v>#REF!</v>
          </cell>
          <cell r="AD66">
            <v>0</v>
          </cell>
          <cell r="AE66">
            <v>0</v>
          </cell>
          <cell r="AH66">
            <v>0</v>
          </cell>
          <cell r="AK66">
            <v>0</v>
          </cell>
          <cell r="AN66">
            <v>0</v>
          </cell>
          <cell r="AO66">
            <v>77</v>
          </cell>
          <cell r="AP66">
            <v>72</v>
          </cell>
          <cell r="AQ66">
            <v>51</v>
          </cell>
          <cell r="AR66">
            <v>125</v>
          </cell>
        </row>
        <row r="67">
          <cell r="F67">
            <v>84</v>
          </cell>
          <cell r="G67">
            <v>36</v>
          </cell>
          <cell r="H67">
            <v>48</v>
          </cell>
          <cell r="P67">
            <v>464</v>
          </cell>
          <cell r="Q67" t="e">
            <v>#REF!</v>
          </cell>
          <cell r="R67" t="e">
            <v>#REF!</v>
          </cell>
          <cell r="S67">
            <v>1018</v>
          </cell>
          <cell r="U67" t="e">
            <v>#REF!</v>
          </cell>
          <cell r="V67" t="e">
            <v>#REF!</v>
          </cell>
          <cell r="W67" t="e">
            <v>#REF!</v>
          </cell>
          <cell r="X67">
            <v>85</v>
          </cell>
          <cell r="AA67">
            <v>300</v>
          </cell>
          <cell r="AC67">
            <v>60</v>
          </cell>
          <cell r="AD67">
            <v>37</v>
          </cell>
          <cell r="AE67">
            <v>23</v>
          </cell>
          <cell r="AF67">
            <v>31</v>
          </cell>
          <cell r="AG67">
            <v>31</v>
          </cell>
          <cell r="AH67">
            <v>0</v>
          </cell>
          <cell r="AK67">
            <v>724</v>
          </cell>
          <cell r="AL67">
            <v>537</v>
          </cell>
          <cell r="AM67">
            <v>187</v>
          </cell>
          <cell r="AN67">
            <v>102</v>
          </cell>
          <cell r="AP67">
            <v>23</v>
          </cell>
        </row>
        <row r="68">
          <cell r="F68">
            <v>0</v>
          </cell>
          <cell r="G68">
            <v>0</v>
          </cell>
          <cell r="P68">
            <v>0</v>
          </cell>
          <cell r="Q68" t="e">
            <v>#REF!</v>
          </cell>
          <cell r="R68" t="e">
            <v>#REF!</v>
          </cell>
          <cell r="S68">
            <v>0</v>
          </cell>
          <cell r="T68">
            <v>12</v>
          </cell>
          <cell r="U68" t="e">
            <v>#REF!</v>
          </cell>
          <cell r="V68" t="e">
            <v>#REF!</v>
          </cell>
          <cell r="W68" t="e">
            <v>#REF!</v>
          </cell>
          <cell r="X68">
            <v>0</v>
          </cell>
          <cell r="Y68" t="e">
            <v>#REF!</v>
          </cell>
          <cell r="Z68" t="e">
            <v>#REF!</v>
          </cell>
          <cell r="AA68" t="e">
            <v>#REF!</v>
          </cell>
          <cell r="AB68">
            <v>0</v>
          </cell>
          <cell r="AC68">
            <v>0</v>
          </cell>
          <cell r="AD68">
            <v>0</v>
          </cell>
          <cell r="AE68">
            <v>0</v>
          </cell>
          <cell r="AH68">
            <v>0</v>
          </cell>
          <cell r="AK68">
            <v>0</v>
          </cell>
          <cell r="AL68">
            <v>0</v>
          </cell>
          <cell r="AM68">
            <v>0</v>
          </cell>
          <cell r="AN68">
            <v>0</v>
          </cell>
          <cell r="AP68">
            <v>0</v>
          </cell>
        </row>
        <row r="69">
          <cell r="F69">
            <v>0</v>
          </cell>
          <cell r="G69">
            <v>0</v>
          </cell>
          <cell r="H69">
            <v>-3</v>
          </cell>
          <cell r="P69">
            <v>0</v>
          </cell>
          <cell r="Q69" t="e">
            <v>#REF!</v>
          </cell>
          <cell r="S69">
            <v>1018</v>
          </cell>
          <cell r="T69">
            <v>146.88</v>
          </cell>
          <cell r="U69">
            <v>769.12</v>
          </cell>
          <cell r="V69" t="e">
            <v>#REF!</v>
          </cell>
          <cell r="W69" t="e">
            <v>#REF!</v>
          </cell>
          <cell r="X69">
            <v>466</v>
          </cell>
          <cell r="Y69">
            <v>407</v>
          </cell>
          <cell r="Z69">
            <v>144</v>
          </cell>
          <cell r="AA69" t="e">
            <v>#REF!</v>
          </cell>
          <cell r="AB69">
            <v>455</v>
          </cell>
          <cell r="AC69">
            <v>523.66666666666663</v>
          </cell>
          <cell r="AD69">
            <v>322</v>
          </cell>
          <cell r="AE69">
            <v>201.66666666666663</v>
          </cell>
          <cell r="AF69">
            <v>495</v>
          </cell>
          <cell r="AG69">
            <v>526</v>
          </cell>
          <cell r="AH69">
            <v>0</v>
          </cell>
          <cell r="AK69">
            <v>2543.6666666666665</v>
          </cell>
          <cell r="AN69">
            <v>1889.6666666666665</v>
          </cell>
          <cell r="AO69">
            <v>689</v>
          </cell>
          <cell r="AP69">
            <v>620</v>
          </cell>
          <cell r="AQ69">
            <v>454</v>
          </cell>
          <cell r="AR69">
            <v>1120.6666666666665</v>
          </cell>
        </row>
        <row r="70">
          <cell r="F70">
            <v>241</v>
          </cell>
          <cell r="G70">
            <v>104</v>
          </cell>
          <cell r="H70">
            <v>137</v>
          </cell>
          <cell r="P70">
            <v>671.5</v>
          </cell>
          <cell r="Q70" t="e">
            <v>#REF!</v>
          </cell>
          <cell r="R70" t="e">
            <v>#REF!</v>
          </cell>
          <cell r="S70">
            <v>1737.3999999999999</v>
          </cell>
          <cell r="T70">
            <v>434.34999999999997</v>
          </cell>
          <cell r="U70">
            <v>1303.05</v>
          </cell>
          <cell r="V70" t="e">
            <v>#REF!</v>
          </cell>
          <cell r="W70" t="e">
            <v>#REF!</v>
          </cell>
          <cell r="X70">
            <v>890.8</v>
          </cell>
          <cell r="Y70">
            <v>658</v>
          </cell>
          <cell r="Z70">
            <v>232.79999999999995</v>
          </cell>
          <cell r="AA70" t="e">
            <v>#REF!</v>
          </cell>
          <cell r="AB70">
            <v>1410</v>
          </cell>
          <cell r="AC70">
            <v>1354.7</v>
          </cell>
          <cell r="AD70">
            <v>833</v>
          </cell>
          <cell r="AE70">
            <v>521.70000000000005</v>
          </cell>
          <cell r="AF70">
            <v>665.35</v>
          </cell>
          <cell r="AG70">
            <v>665.35</v>
          </cell>
          <cell r="AH70">
            <v>0</v>
          </cell>
          <cell r="AK70">
            <v>5560.75</v>
          </cell>
          <cell r="AL70">
            <v>2266.5</v>
          </cell>
          <cell r="AM70">
            <v>3294.25</v>
          </cell>
          <cell r="AN70">
            <v>3294.2499999999995</v>
          </cell>
          <cell r="AO70">
            <v>1491</v>
          </cell>
          <cell r="AP70">
            <v>1345</v>
          </cell>
          <cell r="AQ70">
            <v>775.5</v>
          </cell>
          <cell r="AR70">
            <v>1949.25</v>
          </cell>
        </row>
        <row r="71">
          <cell r="G71">
            <v>0</v>
          </cell>
          <cell r="H71">
            <v>0</v>
          </cell>
          <cell r="P71">
            <v>55</v>
          </cell>
          <cell r="Q71" t="e">
            <v>#REF!</v>
          </cell>
          <cell r="R71" t="e">
            <v>#REF!</v>
          </cell>
          <cell r="S71">
            <v>422.54545454545456</v>
          </cell>
          <cell r="U71" t="e">
            <v>#REF!</v>
          </cell>
          <cell r="V71" t="e">
            <v>#REF!</v>
          </cell>
          <cell r="W71" t="e">
            <v>#REF!</v>
          </cell>
          <cell r="X71">
            <v>196.36363636363637</v>
          </cell>
          <cell r="Y71">
            <v>145</v>
          </cell>
          <cell r="Z71">
            <v>51.363636363636374</v>
          </cell>
          <cell r="AA71" t="e">
            <v>#REF!</v>
          </cell>
          <cell r="AB71">
            <v>125</v>
          </cell>
          <cell r="AC71">
            <v>130.90909090909091</v>
          </cell>
          <cell r="AD71">
            <v>81</v>
          </cell>
          <cell r="AE71">
            <v>49.909090909090907</v>
          </cell>
          <cell r="AF71">
            <v>216.72727272727272</v>
          </cell>
          <cell r="AG71">
            <v>217</v>
          </cell>
          <cell r="AH71">
            <v>-0.27272727272728048</v>
          </cell>
          <cell r="AK71">
            <v>1021.8181818181819</v>
          </cell>
          <cell r="AL71">
            <v>281</v>
          </cell>
          <cell r="AM71">
            <v>740.81818181818187</v>
          </cell>
          <cell r="AN71">
            <v>740.81818181818187</v>
          </cell>
        </row>
        <row r="72">
          <cell r="F72">
            <v>0</v>
          </cell>
          <cell r="G72">
            <v>0</v>
          </cell>
          <cell r="H72">
            <v>0</v>
          </cell>
          <cell r="P72">
            <v>3</v>
          </cell>
          <cell r="Q72" t="e">
            <v>#REF!</v>
          </cell>
          <cell r="S72">
            <v>23</v>
          </cell>
          <cell r="U72" t="e">
            <v>#REF!</v>
          </cell>
          <cell r="V72" t="e">
            <v>#REF!</v>
          </cell>
          <cell r="W72" t="e">
            <v>#REF!</v>
          </cell>
          <cell r="X72">
            <v>11</v>
          </cell>
          <cell r="Y72">
            <v>8</v>
          </cell>
          <cell r="Z72">
            <v>3</v>
          </cell>
          <cell r="AA72" t="e">
            <v>#REF!</v>
          </cell>
          <cell r="AB72">
            <v>7</v>
          </cell>
          <cell r="AC72">
            <v>7</v>
          </cell>
          <cell r="AD72">
            <v>4</v>
          </cell>
          <cell r="AE72">
            <v>3</v>
          </cell>
          <cell r="AF72">
            <v>12</v>
          </cell>
          <cell r="AG72">
            <v>12</v>
          </cell>
          <cell r="AH72">
            <v>0</v>
          </cell>
          <cell r="AK72">
            <v>56</v>
          </cell>
          <cell r="AL72">
            <v>15</v>
          </cell>
          <cell r="AM72">
            <v>41</v>
          </cell>
          <cell r="AN72">
            <v>41</v>
          </cell>
        </row>
        <row r="73">
          <cell r="F73">
            <v>0</v>
          </cell>
          <cell r="G73">
            <v>0</v>
          </cell>
          <cell r="H73">
            <v>0</v>
          </cell>
          <cell r="P73">
            <v>18</v>
          </cell>
          <cell r="Q73" t="e">
            <v>#REF!</v>
          </cell>
          <cell r="S73">
            <v>135</v>
          </cell>
          <cell r="U73" t="e">
            <v>#REF!</v>
          </cell>
          <cell r="V73" t="e">
            <v>#REF!</v>
          </cell>
          <cell r="W73" t="e">
            <v>#REF!</v>
          </cell>
          <cell r="X73">
            <v>63</v>
          </cell>
          <cell r="Y73">
            <v>47</v>
          </cell>
          <cell r="Z73">
            <v>16</v>
          </cell>
          <cell r="AA73">
            <v>50</v>
          </cell>
          <cell r="AB73">
            <v>40</v>
          </cell>
          <cell r="AC73">
            <v>42</v>
          </cell>
          <cell r="AD73">
            <v>26</v>
          </cell>
          <cell r="AE73">
            <v>16</v>
          </cell>
          <cell r="AF73">
            <v>69</v>
          </cell>
          <cell r="AG73">
            <v>69</v>
          </cell>
          <cell r="AH73">
            <v>0</v>
          </cell>
          <cell r="AK73">
            <v>327</v>
          </cell>
          <cell r="AL73">
            <v>91</v>
          </cell>
          <cell r="AM73">
            <v>236</v>
          </cell>
          <cell r="AN73">
            <v>236</v>
          </cell>
        </row>
        <row r="74">
          <cell r="F74">
            <v>0</v>
          </cell>
          <cell r="G74">
            <v>0</v>
          </cell>
          <cell r="P74">
            <v>120</v>
          </cell>
          <cell r="Q74" t="e">
            <v>#REF!</v>
          </cell>
          <cell r="R74" t="e">
            <v>#REF!</v>
          </cell>
          <cell r="U74" t="e">
            <v>#REF!</v>
          </cell>
          <cell r="V74" t="e">
            <v>#REF!</v>
          </cell>
          <cell r="W74" t="e">
            <v>#REF!</v>
          </cell>
          <cell r="X74">
            <v>0</v>
          </cell>
          <cell r="AA74">
            <v>0</v>
          </cell>
          <cell r="AC74">
            <v>0</v>
          </cell>
          <cell r="AD74">
            <v>0</v>
          </cell>
          <cell r="AE74">
            <v>0</v>
          </cell>
          <cell r="AF74">
            <v>0</v>
          </cell>
          <cell r="AG74">
            <v>0</v>
          </cell>
          <cell r="AH74">
            <v>0</v>
          </cell>
          <cell r="AK74">
            <v>120</v>
          </cell>
          <cell r="AL74">
            <v>120</v>
          </cell>
          <cell r="AM74">
            <v>0</v>
          </cell>
          <cell r="AN74">
            <v>0</v>
          </cell>
        </row>
        <row r="75">
          <cell r="G75">
            <v>0</v>
          </cell>
          <cell r="P75">
            <v>671.5</v>
          </cell>
          <cell r="Q75" t="e">
            <v>#REF!</v>
          </cell>
          <cell r="R75" t="e">
            <v>#REF!</v>
          </cell>
          <cell r="S75">
            <v>0</v>
          </cell>
          <cell r="T75">
            <v>1129</v>
          </cell>
          <cell r="U75" t="e">
            <v>#REF!</v>
          </cell>
          <cell r="V75" t="e">
            <v>#REF!</v>
          </cell>
          <cell r="W75" t="e">
            <v>#REF!</v>
          </cell>
          <cell r="X75">
            <v>0</v>
          </cell>
          <cell r="Y75">
            <v>0</v>
          </cell>
          <cell r="Z75">
            <v>0</v>
          </cell>
          <cell r="AA75" t="e">
            <v>#REF!</v>
          </cell>
          <cell r="AB75">
            <v>0</v>
          </cell>
          <cell r="AC75">
            <v>0</v>
          </cell>
          <cell r="AD75">
            <v>0</v>
          </cell>
          <cell r="AE75">
            <v>0</v>
          </cell>
          <cell r="AF75">
            <v>0</v>
          </cell>
          <cell r="AG75">
            <v>0</v>
          </cell>
          <cell r="AH75">
            <v>0</v>
          </cell>
          <cell r="AK75">
            <v>671.5</v>
          </cell>
          <cell r="AL75">
            <v>671.5</v>
          </cell>
          <cell r="AM75">
            <v>0</v>
          </cell>
          <cell r="AN75">
            <v>0</v>
          </cell>
        </row>
        <row r="76">
          <cell r="G76">
            <v>0</v>
          </cell>
          <cell r="P76">
            <v>1075</v>
          </cell>
          <cell r="S76">
            <v>0</v>
          </cell>
          <cell r="U76" t="e">
            <v>#REF!</v>
          </cell>
          <cell r="V76" t="e">
            <v>#REF!</v>
          </cell>
          <cell r="W76" t="e">
            <v>#REF!</v>
          </cell>
          <cell r="X76">
            <v>0</v>
          </cell>
          <cell r="Y76" t="e">
            <v>#VALUE!</v>
          </cell>
          <cell r="Z76">
            <v>0</v>
          </cell>
          <cell r="AA76" t="e">
            <v>#REF!</v>
          </cell>
          <cell r="AB76">
            <v>0</v>
          </cell>
          <cell r="AC76">
            <v>300</v>
          </cell>
          <cell r="AD76">
            <v>185</v>
          </cell>
          <cell r="AE76">
            <v>115</v>
          </cell>
          <cell r="AH76">
            <v>0</v>
          </cell>
          <cell r="AK76">
            <v>1375</v>
          </cell>
          <cell r="AL76">
            <v>1260</v>
          </cell>
          <cell r="AM76">
            <v>115</v>
          </cell>
          <cell r="AN76">
            <v>115</v>
          </cell>
        </row>
        <row r="77">
          <cell r="F77">
            <v>3252</v>
          </cell>
          <cell r="G77">
            <v>1406</v>
          </cell>
          <cell r="H77">
            <v>1846</v>
          </cell>
          <cell r="P77">
            <v>86</v>
          </cell>
          <cell r="S77">
            <v>101</v>
          </cell>
          <cell r="T77">
            <v>0</v>
          </cell>
          <cell r="U77">
            <v>101</v>
          </cell>
          <cell r="V77">
            <v>110</v>
          </cell>
          <cell r="W77">
            <v>89</v>
          </cell>
          <cell r="X77">
            <v>120</v>
          </cell>
          <cell r="Y77">
            <v>89</v>
          </cell>
          <cell r="Z77">
            <v>31</v>
          </cell>
          <cell r="AA77">
            <v>119</v>
          </cell>
          <cell r="AB77">
            <v>80</v>
          </cell>
          <cell r="AC77">
            <v>100</v>
          </cell>
          <cell r="AD77">
            <v>62</v>
          </cell>
          <cell r="AE77">
            <v>38</v>
          </cell>
          <cell r="AF77">
            <v>210</v>
          </cell>
          <cell r="AG77">
            <v>181</v>
          </cell>
          <cell r="AH77">
            <v>29</v>
          </cell>
          <cell r="AK77">
            <v>4541</v>
          </cell>
          <cell r="AL77">
            <v>2509</v>
          </cell>
          <cell r="AM77">
            <v>2032</v>
          </cell>
          <cell r="AN77">
            <v>2413</v>
          </cell>
          <cell r="AO77">
            <v>151</v>
          </cell>
          <cell r="AP77">
            <v>69</v>
          </cell>
          <cell r="AQ77">
            <v>1977</v>
          </cell>
          <cell r="AR77">
            <v>1963</v>
          </cell>
        </row>
        <row r="78">
          <cell r="F78">
            <v>316</v>
          </cell>
          <cell r="G78">
            <v>137</v>
          </cell>
          <cell r="H78">
            <v>179</v>
          </cell>
          <cell r="T78">
            <v>0</v>
          </cell>
          <cell r="U78">
            <v>0</v>
          </cell>
          <cell r="V78" t="e">
            <v>#REF!</v>
          </cell>
          <cell r="W78">
            <v>0</v>
          </cell>
          <cell r="X78">
            <v>0</v>
          </cell>
          <cell r="Y78">
            <v>0</v>
          </cell>
          <cell r="Z78">
            <v>0</v>
          </cell>
          <cell r="AA78">
            <v>0</v>
          </cell>
          <cell r="AC78">
            <v>18</v>
          </cell>
          <cell r="AD78">
            <v>0</v>
          </cell>
          <cell r="AE78">
            <v>0</v>
          </cell>
          <cell r="AH78">
            <v>0</v>
          </cell>
          <cell r="AK78">
            <v>316</v>
          </cell>
          <cell r="AL78">
            <v>137</v>
          </cell>
          <cell r="AM78">
            <v>179</v>
          </cell>
          <cell r="AN78">
            <v>179</v>
          </cell>
          <cell r="AO78">
            <v>0</v>
          </cell>
          <cell r="AP78">
            <v>0</v>
          </cell>
          <cell r="AQ78">
            <v>137</v>
          </cell>
          <cell r="AR78">
            <v>179</v>
          </cell>
        </row>
        <row r="79">
          <cell r="F79">
            <v>2936</v>
          </cell>
          <cell r="G79">
            <v>1269</v>
          </cell>
          <cell r="H79">
            <v>1667</v>
          </cell>
          <cell r="P79">
            <v>86</v>
          </cell>
          <cell r="Q79" t="e">
            <v>#REF!</v>
          </cell>
          <cell r="R79" t="e">
            <v>#REF!</v>
          </cell>
          <cell r="S79">
            <v>0</v>
          </cell>
          <cell r="T79">
            <v>0</v>
          </cell>
          <cell r="U79">
            <v>0</v>
          </cell>
          <cell r="V79" t="e">
            <v>#REF!</v>
          </cell>
          <cell r="W79" t="e">
            <v>#REF!</v>
          </cell>
          <cell r="X79">
            <v>120</v>
          </cell>
          <cell r="Y79">
            <v>89</v>
          </cell>
          <cell r="Z79">
            <v>31</v>
          </cell>
          <cell r="AA79" t="e">
            <v>#REF!</v>
          </cell>
          <cell r="AB79">
            <v>80</v>
          </cell>
          <cell r="AC79">
            <v>100</v>
          </cell>
          <cell r="AD79">
            <v>62</v>
          </cell>
          <cell r="AE79">
            <v>38</v>
          </cell>
          <cell r="AF79">
            <v>210</v>
          </cell>
          <cell r="AG79">
            <v>181</v>
          </cell>
          <cell r="AH79">
            <v>29</v>
          </cell>
          <cell r="AK79">
            <v>4124</v>
          </cell>
          <cell r="AL79">
            <v>1991</v>
          </cell>
          <cell r="AM79">
            <v>2133</v>
          </cell>
          <cell r="AN79">
            <v>2133</v>
          </cell>
          <cell r="AO79">
            <v>151</v>
          </cell>
          <cell r="AP79">
            <v>69</v>
          </cell>
          <cell r="AQ79">
            <v>1840</v>
          </cell>
          <cell r="AR79">
            <v>2064</v>
          </cell>
        </row>
        <row r="80">
          <cell r="F80">
            <v>191</v>
          </cell>
          <cell r="G80">
            <v>83</v>
          </cell>
          <cell r="H80">
            <v>108</v>
          </cell>
          <cell r="P80">
            <v>40</v>
          </cell>
          <cell r="S80">
            <v>0</v>
          </cell>
          <cell r="T80">
            <v>0</v>
          </cell>
          <cell r="U80">
            <v>0</v>
          </cell>
          <cell r="V80" t="e">
            <v>#REF!</v>
          </cell>
          <cell r="W80" t="e">
            <v>#REF!</v>
          </cell>
          <cell r="X80">
            <v>74</v>
          </cell>
          <cell r="Y80">
            <v>55</v>
          </cell>
          <cell r="Z80">
            <v>19</v>
          </cell>
          <cell r="AA80" t="e">
            <v>#REF!</v>
          </cell>
          <cell r="AB80">
            <v>29</v>
          </cell>
          <cell r="AC80">
            <v>36</v>
          </cell>
          <cell r="AD80">
            <v>22</v>
          </cell>
          <cell r="AE80">
            <v>14</v>
          </cell>
          <cell r="AF80">
            <v>138</v>
          </cell>
          <cell r="AG80">
            <v>96</v>
          </cell>
          <cell r="AH80">
            <v>42</v>
          </cell>
          <cell r="AK80">
            <v>770</v>
          </cell>
          <cell r="AL80">
            <v>522</v>
          </cell>
          <cell r="AM80">
            <v>248</v>
          </cell>
          <cell r="AN80">
            <v>248</v>
          </cell>
          <cell r="AR80">
            <v>248</v>
          </cell>
        </row>
        <row r="81">
          <cell r="F81">
            <v>33</v>
          </cell>
          <cell r="G81">
            <v>14</v>
          </cell>
          <cell r="H81">
            <v>19</v>
          </cell>
          <cell r="P81">
            <v>0</v>
          </cell>
          <cell r="S81">
            <v>0</v>
          </cell>
          <cell r="U81" t="e">
            <v>#REF!</v>
          </cell>
          <cell r="V81" t="e">
            <v>#REF!</v>
          </cell>
          <cell r="W81" t="e">
            <v>#REF!</v>
          </cell>
          <cell r="X81">
            <v>0</v>
          </cell>
          <cell r="Y81">
            <v>0</v>
          </cell>
          <cell r="Z81" t="e">
            <v>#REF!</v>
          </cell>
          <cell r="AA81" t="e">
            <v>#REF!</v>
          </cell>
          <cell r="AD81">
            <v>0</v>
          </cell>
          <cell r="AE81">
            <v>0</v>
          </cell>
          <cell r="AK81">
            <v>389</v>
          </cell>
          <cell r="AL81">
            <v>170</v>
          </cell>
          <cell r="AM81">
            <v>219</v>
          </cell>
          <cell r="AN81">
            <v>219</v>
          </cell>
          <cell r="AR81">
            <v>219</v>
          </cell>
        </row>
        <row r="82">
          <cell r="F82">
            <v>338</v>
          </cell>
          <cell r="G82">
            <v>146</v>
          </cell>
          <cell r="H82">
            <v>192</v>
          </cell>
          <cell r="P82">
            <v>25</v>
          </cell>
          <cell r="Q82" t="e">
            <v>#REF!</v>
          </cell>
          <cell r="R82" t="e">
            <v>#REF!</v>
          </cell>
          <cell r="S82">
            <v>50</v>
          </cell>
          <cell r="T82">
            <v>33</v>
          </cell>
          <cell r="U82">
            <v>17</v>
          </cell>
          <cell r="V82" t="e">
            <v>#REF!</v>
          </cell>
          <cell r="W82" t="e">
            <v>#REF!</v>
          </cell>
          <cell r="X82">
            <v>21</v>
          </cell>
          <cell r="Y82">
            <v>16</v>
          </cell>
          <cell r="Z82">
            <v>5</v>
          </cell>
          <cell r="AA82" t="e">
            <v>#REF!</v>
          </cell>
          <cell r="AB82">
            <v>21</v>
          </cell>
          <cell r="AC82">
            <v>25</v>
          </cell>
          <cell r="AD82">
            <v>15</v>
          </cell>
          <cell r="AE82">
            <v>10</v>
          </cell>
          <cell r="AF82">
            <v>32</v>
          </cell>
          <cell r="AG82">
            <v>55</v>
          </cell>
          <cell r="AH82">
            <v>-23</v>
          </cell>
          <cell r="AK82">
            <v>518</v>
          </cell>
          <cell r="AL82">
            <v>204</v>
          </cell>
          <cell r="AM82">
            <v>314</v>
          </cell>
          <cell r="AN82">
            <v>313</v>
          </cell>
        </row>
        <row r="83">
          <cell r="F83">
            <v>482</v>
          </cell>
          <cell r="G83">
            <v>208</v>
          </cell>
          <cell r="H83">
            <v>274</v>
          </cell>
          <cell r="P83">
            <v>21</v>
          </cell>
          <cell r="S83">
            <v>51</v>
          </cell>
          <cell r="T83">
            <v>33.660000000000004</v>
          </cell>
          <cell r="U83">
            <v>17.339999999999996</v>
          </cell>
          <cell r="V83" t="e">
            <v>#REF!</v>
          </cell>
          <cell r="W83" t="e">
            <v>#REF!</v>
          </cell>
          <cell r="X83">
            <v>25</v>
          </cell>
          <cell r="Y83">
            <v>18</v>
          </cell>
          <cell r="Z83">
            <v>7</v>
          </cell>
          <cell r="AA83" t="e">
            <v>#REF!</v>
          </cell>
          <cell r="AB83">
            <v>31</v>
          </cell>
          <cell r="AC83">
            <v>39</v>
          </cell>
          <cell r="AD83">
            <v>24</v>
          </cell>
          <cell r="AE83">
            <v>15</v>
          </cell>
          <cell r="AF83">
            <v>40</v>
          </cell>
          <cell r="AG83">
            <v>30</v>
          </cell>
          <cell r="AH83">
            <v>10</v>
          </cell>
          <cell r="AK83">
            <v>657</v>
          </cell>
          <cell r="AL83">
            <v>276</v>
          </cell>
          <cell r="AM83">
            <v>381</v>
          </cell>
          <cell r="AN83">
            <v>381</v>
          </cell>
        </row>
        <row r="84">
          <cell r="F84">
            <v>881</v>
          </cell>
          <cell r="G84">
            <v>381</v>
          </cell>
          <cell r="H84">
            <v>500</v>
          </cell>
          <cell r="P84" t="e">
            <v>#REF!</v>
          </cell>
          <cell r="Q84" t="e">
            <v>#REF!</v>
          </cell>
          <cell r="R84" t="e">
            <v>#REF!</v>
          </cell>
          <cell r="S84">
            <v>0</v>
          </cell>
          <cell r="T84">
            <v>1129</v>
          </cell>
          <cell r="U84" t="e">
            <v>#REF!</v>
          </cell>
          <cell r="V84" t="e">
            <v>#REF!</v>
          </cell>
          <cell r="W84" t="e">
            <v>#REF!</v>
          </cell>
          <cell r="X84" t="e">
            <v>#REF!</v>
          </cell>
          <cell r="Y84" t="e">
            <v>#VALUE!</v>
          </cell>
          <cell r="Z84" t="e">
            <v>#REF!</v>
          </cell>
          <cell r="AA84" t="e">
            <v>#REF!</v>
          </cell>
          <cell r="AK84">
            <v>881</v>
          </cell>
          <cell r="AL84">
            <v>381</v>
          </cell>
          <cell r="AM84">
            <v>500</v>
          </cell>
          <cell r="AN84">
            <v>500</v>
          </cell>
        </row>
        <row r="85">
          <cell r="F85">
            <v>13</v>
          </cell>
          <cell r="G85">
            <v>0</v>
          </cell>
          <cell r="H85">
            <v>0</v>
          </cell>
          <cell r="P85">
            <v>14</v>
          </cell>
          <cell r="Q85" t="e">
            <v>#REF!</v>
          </cell>
          <cell r="R85" t="e">
            <v>#REF!</v>
          </cell>
          <cell r="S85">
            <v>1</v>
          </cell>
          <cell r="T85">
            <v>1129</v>
          </cell>
          <cell r="U85" t="e">
            <v>#REF!</v>
          </cell>
          <cell r="V85" t="e">
            <v>#REF!</v>
          </cell>
          <cell r="W85" t="e">
            <v>#REF!</v>
          </cell>
          <cell r="X85" t="e">
            <v>#REF!</v>
          </cell>
          <cell r="Y85" t="e">
            <v>#VALUE!</v>
          </cell>
          <cell r="Z85" t="e">
            <v>#REF!</v>
          </cell>
          <cell r="AA85" t="e">
            <v>#REF!</v>
          </cell>
          <cell r="AC85">
            <v>10</v>
          </cell>
          <cell r="AF85">
            <v>53</v>
          </cell>
          <cell r="AG85">
            <v>51</v>
          </cell>
          <cell r="AH85">
            <v>2</v>
          </cell>
          <cell r="AK85">
            <v>76</v>
          </cell>
          <cell r="AL85">
            <v>14</v>
          </cell>
          <cell r="AM85">
            <v>62</v>
          </cell>
          <cell r="AN85">
            <v>52</v>
          </cell>
        </row>
        <row r="86">
          <cell r="F86">
            <v>5008.2</v>
          </cell>
          <cell r="G86">
            <v>2165</v>
          </cell>
          <cell r="H86">
            <v>2843.2</v>
          </cell>
          <cell r="P86">
            <v>2357.12</v>
          </cell>
          <cell r="Q86">
            <v>0</v>
          </cell>
          <cell r="R86">
            <v>0</v>
          </cell>
          <cell r="S86">
            <v>7083.9412121212117</v>
          </cell>
          <cell r="T86">
            <v>3616.0618606060607</v>
          </cell>
          <cell r="U86">
            <v>3467.8793515151519</v>
          </cell>
          <cell r="V86" t="e">
            <v>#REF!</v>
          </cell>
          <cell r="W86" t="e">
            <v>#REF!</v>
          </cell>
          <cell r="X86">
            <v>15107.186363636363</v>
          </cell>
          <cell r="Y86">
            <v>11164</v>
          </cell>
          <cell r="Z86">
            <v>3943.1863636363632</v>
          </cell>
          <cell r="AA86">
            <v>0</v>
          </cell>
          <cell r="AB86">
            <v>0</v>
          </cell>
          <cell r="AC86">
            <v>13442.217575757575</v>
          </cell>
          <cell r="AD86">
            <v>8269</v>
          </cell>
          <cell r="AE86">
            <v>5173.217575757576</v>
          </cell>
          <cell r="AF86">
            <v>4185.0493939393937</v>
          </cell>
          <cell r="AG86">
            <v>3770.35</v>
          </cell>
          <cell r="AH86">
            <v>414.69939393939387</v>
          </cell>
          <cell r="AK86">
            <v>48175.015151515152</v>
          </cell>
          <cell r="AL86">
            <v>25199.119999999999</v>
          </cell>
          <cell r="AM86">
            <v>22975.895151515153</v>
          </cell>
          <cell r="AN86">
            <v>23355.895151515149</v>
          </cell>
          <cell r="AO86">
            <v>19318</v>
          </cell>
          <cell r="AP86">
            <v>12138</v>
          </cell>
          <cell r="AQ86">
            <v>5068.12</v>
          </cell>
          <cell r="AR86">
            <v>10069.895151515151</v>
          </cell>
        </row>
        <row r="87">
          <cell r="F87">
            <v>684.2</v>
          </cell>
          <cell r="G87">
            <v>296</v>
          </cell>
          <cell r="H87">
            <v>388.2</v>
          </cell>
          <cell r="P87">
            <v>607.62</v>
          </cell>
          <cell r="Q87">
            <v>0</v>
          </cell>
          <cell r="R87">
            <v>0</v>
          </cell>
          <cell r="S87" t="e">
            <v>#REF!</v>
          </cell>
          <cell r="T87">
            <v>468.3785272727273</v>
          </cell>
          <cell r="U87">
            <v>487.49601818181827</v>
          </cell>
          <cell r="V87">
            <v>0</v>
          </cell>
          <cell r="W87">
            <v>0</v>
          </cell>
          <cell r="X87">
            <v>98.949999999999989</v>
          </cell>
          <cell r="Y87">
            <v>344</v>
          </cell>
          <cell r="Z87">
            <v>121.75</v>
          </cell>
          <cell r="AA87">
            <v>0</v>
          </cell>
          <cell r="AB87">
            <v>0</v>
          </cell>
          <cell r="AC87">
            <v>89.66</v>
          </cell>
          <cell r="AD87">
            <v>314</v>
          </cell>
          <cell r="AE87">
            <v>126.86000000000001</v>
          </cell>
          <cell r="AH87">
            <v>167.75999999999996</v>
          </cell>
          <cell r="AK87">
            <v>4773.75</v>
          </cell>
          <cell r="AL87">
            <v>1631.62</v>
          </cell>
          <cell r="AM87">
            <v>3142.1300000000006</v>
          </cell>
          <cell r="AN87">
            <v>678.95</v>
          </cell>
        </row>
        <row r="88">
          <cell r="G88">
            <v>0</v>
          </cell>
          <cell r="P88" t="e">
            <v>#REF!</v>
          </cell>
          <cell r="S88" t="e">
            <v>#REF!</v>
          </cell>
          <cell r="U88" t="e">
            <v>#REF!</v>
          </cell>
          <cell r="AL88">
            <v>24819.119999999995</v>
          </cell>
          <cell r="AN88">
            <v>0</v>
          </cell>
        </row>
        <row r="89">
          <cell r="F89">
            <v>4580</v>
          </cell>
          <cell r="G89">
            <v>4580</v>
          </cell>
          <cell r="P89" t="e">
            <v>#REF!</v>
          </cell>
          <cell r="S89" t="e">
            <v>#REF!</v>
          </cell>
          <cell r="U89" t="e">
            <v>#REF!</v>
          </cell>
          <cell r="AA89" t="str">
            <v>`</v>
          </cell>
          <cell r="AK89">
            <v>4580</v>
          </cell>
          <cell r="AL89">
            <v>4580</v>
          </cell>
          <cell r="AM89">
            <v>0</v>
          </cell>
          <cell r="AN89">
            <v>0</v>
          </cell>
          <cell r="AO89">
            <v>0</v>
          </cell>
          <cell r="AP89">
            <v>0</v>
          </cell>
          <cell r="AQ89">
            <v>0</v>
          </cell>
          <cell r="AR89">
            <v>0</v>
          </cell>
        </row>
        <row r="90">
          <cell r="F90">
            <v>9588.2000000000007</v>
          </cell>
          <cell r="G90">
            <v>6745</v>
          </cell>
          <cell r="H90">
            <v>2843.2</v>
          </cell>
          <cell r="P90">
            <v>2357.12</v>
          </cell>
          <cell r="Q90">
            <v>0</v>
          </cell>
          <cell r="R90">
            <v>0</v>
          </cell>
          <cell r="S90">
            <v>7083.9412121212117</v>
          </cell>
          <cell r="T90">
            <v>3616.0618606060607</v>
          </cell>
          <cell r="U90">
            <v>3467.8793515151519</v>
          </cell>
          <cell r="V90">
            <v>0</v>
          </cell>
          <cell r="W90">
            <v>0</v>
          </cell>
          <cell r="X90">
            <v>15107.186363636363</v>
          </cell>
          <cell r="Y90">
            <v>11164</v>
          </cell>
          <cell r="Z90">
            <v>3943.1863636363632</v>
          </cell>
          <cell r="AA90">
            <v>0</v>
          </cell>
          <cell r="AB90">
            <v>0</v>
          </cell>
          <cell r="AC90">
            <v>13442.217575757575</v>
          </cell>
          <cell r="AD90">
            <v>8269</v>
          </cell>
          <cell r="AE90">
            <v>5173.217575757576</v>
          </cell>
          <cell r="AF90">
            <v>4185.0493939393937</v>
          </cell>
          <cell r="AG90">
            <v>3770.35</v>
          </cell>
          <cell r="AH90">
            <v>414.69939393939387</v>
          </cell>
          <cell r="AK90">
            <v>52755.015151515152</v>
          </cell>
          <cell r="AL90">
            <v>29779.119999999999</v>
          </cell>
          <cell r="AM90">
            <v>22975.895151515153</v>
          </cell>
          <cell r="AN90">
            <v>23355.895151515149</v>
          </cell>
          <cell r="AO90">
            <v>19318</v>
          </cell>
          <cell r="AP90">
            <v>12138</v>
          </cell>
          <cell r="AQ90">
            <v>5068.12</v>
          </cell>
          <cell r="AR90">
            <v>10069.895151515151</v>
          </cell>
        </row>
        <row r="91">
          <cell r="F91">
            <v>0</v>
          </cell>
          <cell r="G91">
            <v>0</v>
          </cell>
          <cell r="H91">
            <v>0</v>
          </cell>
          <cell r="P91" t="e">
            <v>#REF!</v>
          </cell>
          <cell r="S91" t="e">
            <v>#REF!</v>
          </cell>
          <cell r="U91" t="e">
            <v>#REF!</v>
          </cell>
          <cell r="AH91">
            <v>0</v>
          </cell>
          <cell r="AM91">
            <v>0</v>
          </cell>
          <cell r="AN91">
            <v>0</v>
          </cell>
          <cell r="AO91">
            <v>0</v>
          </cell>
          <cell r="AP91">
            <v>0</v>
          </cell>
          <cell r="AQ91">
            <v>0</v>
          </cell>
          <cell r="AR91">
            <v>-1</v>
          </cell>
        </row>
        <row r="92">
          <cell r="F92">
            <v>443</v>
          </cell>
          <cell r="G92">
            <v>365</v>
          </cell>
          <cell r="H92">
            <v>78</v>
          </cell>
          <cell r="P92" t="e">
            <v>#REF!</v>
          </cell>
          <cell r="S92" t="e">
            <v>#REF!</v>
          </cell>
          <cell r="U92" t="e">
            <v>#REF!</v>
          </cell>
          <cell r="AH92">
            <v>0</v>
          </cell>
          <cell r="AK92">
            <v>443</v>
          </cell>
          <cell r="AL92">
            <v>365</v>
          </cell>
          <cell r="AM92">
            <v>78</v>
          </cell>
          <cell r="AN92">
            <v>78</v>
          </cell>
          <cell r="AO92">
            <v>0</v>
          </cell>
          <cell r="AP92">
            <v>0</v>
          </cell>
          <cell r="AQ92">
            <v>14.685323595390063</v>
          </cell>
          <cell r="AR92">
            <v>14.69595948716276</v>
          </cell>
        </row>
        <row r="93">
          <cell r="F93">
            <v>30</v>
          </cell>
          <cell r="G93">
            <v>19.414141414141412</v>
          </cell>
          <cell r="H93">
            <v>10.585858585858588</v>
          </cell>
          <cell r="P93" t="e">
            <v>#REF!</v>
          </cell>
          <cell r="S93">
            <v>0</v>
          </cell>
          <cell r="T93">
            <v>0</v>
          </cell>
          <cell r="U93">
            <v>0</v>
          </cell>
          <cell r="V93">
            <v>0</v>
          </cell>
          <cell r="W93">
            <v>0</v>
          </cell>
          <cell r="X93">
            <v>0</v>
          </cell>
          <cell r="Y93">
            <v>0</v>
          </cell>
          <cell r="Z93">
            <v>0</v>
          </cell>
          <cell r="AA93">
            <v>0</v>
          </cell>
          <cell r="AB93">
            <v>0</v>
          </cell>
          <cell r="AC93">
            <v>0</v>
          </cell>
          <cell r="AD93">
            <v>0</v>
          </cell>
          <cell r="AE93">
            <v>0</v>
          </cell>
          <cell r="AH93">
            <v>0</v>
          </cell>
          <cell r="AK93">
            <v>30</v>
          </cell>
          <cell r="AL93">
            <v>19.414141414141412</v>
          </cell>
          <cell r="AM93">
            <v>10.585858585858588</v>
          </cell>
          <cell r="AN93">
            <v>10.585858585858588</v>
          </cell>
          <cell r="AO93">
            <v>0</v>
          </cell>
          <cell r="AP93">
            <v>0</v>
          </cell>
          <cell r="AQ93">
            <v>0</v>
          </cell>
          <cell r="AR93">
            <v>0</v>
          </cell>
        </row>
        <row r="94">
          <cell r="F94">
            <v>37</v>
          </cell>
          <cell r="G94">
            <v>23.944107744107743</v>
          </cell>
          <cell r="H94">
            <v>13.055892255892257</v>
          </cell>
          <cell r="P94">
            <v>62</v>
          </cell>
          <cell r="S94">
            <v>81</v>
          </cell>
          <cell r="U94" t="e">
            <v>#REF!</v>
          </cell>
          <cell r="V94">
            <v>-129</v>
          </cell>
          <cell r="W94">
            <v>-105</v>
          </cell>
          <cell r="X94">
            <v>-129.33333333333334</v>
          </cell>
          <cell r="Y94">
            <v>-96</v>
          </cell>
          <cell r="Z94">
            <v>-33.333333333333343</v>
          </cell>
          <cell r="AA94">
            <v>0</v>
          </cell>
          <cell r="AB94">
            <v>0</v>
          </cell>
          <cell r="AC94">
            <v>0</v>
          </cell>
          <cell r="AD94">
            <v>0</v>
          </cell>
          <cell r="AE94">
            <v>0</v>
          </cell>
          <cell r="AF94">
            <v>8</v>
          </cell>
          <cell r="AG94">
            <v>7</v>
          </cell>
          <cell r="AH94">
            <v>1</v>
          </cell>
          <cell r="AK94">
            <v>57.666666666666657</v>
          </cell>
          <cell r="AL94">
            <v>-10.05589225589226</v>
          </cell>
          <cell r="AM94">
            <v>67.722558922558918</v>
          </cell>
          <cell r="AN94">
            <v>67.722558922558918</v>
          </cell>
          <cell r="AO94">
            <v>-96</v>
          </cell>
          <cell r="AP94">
            <v>-11</v>
          </cell>
          <cell r="AQ94">
            <v>85.94410774410774</v>
          </cell>
          <cell r="AR94">
            <v>78.722558922558918</v>
          </cell>
        </row>
        <row r="95">
          <cell r="P95" t="e">
            <v>#REF!</v>
          </cell>
          <cell r="S95" t="e">
            <v>#REF!</v>
          </cell>
          <cell r="U95" t="e">
            <v>#REF!</v>
          </cell>
          <cell r="AN95">
            <v>0</v>
          </cell>
        </row>
        <row r="96">
          <cell r="P96" t="e">
            <v>#REF!</v>
          </cell>
          <cell r="S96" t="e">
            <v>#REF!</v>
          </cell>
          <cell r="U96" t="e">
            <v>#REF!</v>
          </cell>
          <cell r="AN96">
            <v>0</v>
          </cell>
        </row>
        <row r="97">
          <cell r="F97">
            <v>10098.200000000001</v>
          </cell>
          <cell r="G97">
            <v>7153.3582491582492</v>
          </cell>
          <cell r="H97">
            <v>2944.8417508417506</v>
          </cell>
          <cell r="P97">
            <v>2419.12</v>
          </cell>
          <cell r="Q97">
            <v>0</v>
          </cell>
          <cell r="R97">
            <v>0</v>
          </cell>
          <cell r="S97">
            <v>7164.9412121212117</v>
          </cell>
          <cell r="T97">
            <v>3616.0618606060607</v>
          </cell>
          <cell r="U97">
            <v>3467.8793515151519</v>
          </cell>
          <cell r="V97">
            <v>0</v>
          </cell>
          <cell r="W97">
            <v>0</v>
          </cell>
          <cell r="X97">
            <v>14977.853030303029</v>
          </cell>
          <cell r="Y97">
            <v>11068</v>
          </cell>
          <cell r="Z97">
            <v>3909.8530303030298</v>
          </cell>
          <cell r="AA97">
            <v>0</v>
          </cell>
          <cell r="AB97">
            <v>0</v>
          </cell>
          <cell r="AC97">
            <v>13442.217575757575</v>
          </cell>
          <cell r="AD97">
            <v>8269</v>
          </cell>
          <cell r="AE97">
            <v>5173.217575757576</v>
          </cell>
          <cell r="AF97">
            <v>4193.0493939393937</v>
          </cell>
          <cell r="AG97">
            <v>3777.35</v>
          </cell>
          <cell r="AH97">
            <v>415.69939393939387</v>
          </cell>
          <cell r="AK97">
            <v>53285.681818181816</v>
          </cell>
          <cell r="AL97">
            <v>30153.478249158248</v>
          </cell>
          <cell r="AM97">
            <v>23132.203569023572</v>
          </cell>
          <cell r="AN97">
            <v>23512.203569023568</v>
          </cell>
          <cell r="AO97">
            <v>19222</v>
          </cell>
          <cell r="AP97">
            <v>12127</v>
          </cell>
          <cell r="AQ97">
            <v>5168.7494313394982</v>
          </cell>
          <cell r="AR97">
            <v>10162.313669924872</v>
          </cell>
        </row>
        <row r="98">
          <cell r="F98">
            <v>4473</v>
          </cell>
          <cell r="G98">
            <v>2317.6703910614524</v>
          </cell>
          <cell r="H98">
            <v>2155.3296089385476</v>
          </cell>
          <cell r="P98" t="e">
            <v>#REF!</v>
          </cell>
          <cell r="Q98">
            <v>0</v>
          </cell>
          <cell r="R98">
            <v>0</v>
          </cell>
          <cell r="S98" t="e">
            <v>#REF!</v>
          </cell>
          <cell r="T98">
            <v>2783.7147999999997</v>
          </cell>
          <cell r="U98" t="e">
            <v>#REF!</v>
          </cell>
          <cell r="V98">
            <v>3047.1318181818187</v>
          </cell>
          <cell r="W98">
            <v>2471</v>
          </cell>
          <cell r="X98">
            <v>576.13181818181829</v>
          </cell>
          <cell r="Y98">
            <v>0</v>
          </cell>
          <cell r="Z98">
            <v>0</v>
          </cell>
          <cell r="AA98">
            <v>2982.5690909090908</v>
          </cell>
          <cell r="AB98">
            <v>2353</v>
          </cell>
          <cell r="AC98">
            <v>629.56909090909085</v>
          </cell>
          <cell r="AD98">
            <v>1785</v>
          </cell>
          <cell r="AE98">
            <v>724.87515151515208</v>
          </cell>
          <cell r="AF98">
            <v>4438.8781818181815</v>
          </cell>
          <cell r="AG98">
            <v>3590.3</v>
          </cell>
          <cell r="AH98">
            <v>848.57818181818175</v>
          </cell>
          <cell r="AK98">
            <v>24455.140909090907</v>
          </cell>
          <cell r="AL98">
            <v>11110.290391061448</v>
          </cell>
          <cell r="AM98">
            <v>13344.850518029456</v>
          </cell>
          <cell r="AN98">
            <v>13766.850518029456</v>
          </cell>
          <cell r="AO98">
            <v>4704</v>
          </cell>
          <cell r="AP98">
            <v>3182</v>
          </cell>
          <cell r="AQ98">
            <v>5179.5709186145641</v>
          </cell>
          <cell r="AR98">
            <v>9343.4348160198533</v>
          </cell>
        </row>
        <row r="99">
          <cell r="F99">
            <v>5518.2000000000007</v>
          </cell>
          <cell r="G99">
            <v>2573.3582491582492</v>
          </cell>
          <cell r="H99">
            <v>2944.8417508417506</v>
          </cell>
          <cell r="P99">
            <v>2419.12</v>
          </cell>
          <cell r="Q99">
            <v>0</v>
          </cell>
          <cell r="R99">
            <v>0</v>
          </cell>
          <cell r="S99">
            <v>5932.9412121212117</v>
          </cell>
          <cell r="T99">
            <v>2384.0618606060607</v>
          </cell>
          <cell r="U99">
            <v>3467.8793515151519</v>
          </cell>
          <cell r="V99">
            <v>0</v>
          </cell>
          <cell r="W99">
            <v>0</v>
          </cell>
          <cell r="X99">
            <v>2407.8530303030293</v>
          </cell>
          <cell r="Y99">
            <v>1779</v>
          </cell>
          <cell r="Z99">
            <v>628.85303030302975</v>
          </cell>
          <cell r="AA99">
            <v>0</v>
          </cell>
          <cell r="AB99">
            <v>0</v>
          </cell>
          <cell r="AC99">
            <v>2277.2175757575751</v>
          </cell>
          <cell r="AD99">
            <v>1402</v>
          </cell>
          <cell r="AE99">
            <v>875.21757575757601</v>
          </cell>
          <cell r="AF99">
            <v>4193.0493939393937</v>
          </cell>
          <cell r="AG99">
            <v>3777.35</v>
          </cell>
          <cell r="AH99">
            <v>415.69939393939387</v>
          </cell>
          <cell r="AK99">
            <v>23738.681818181816</v>
          </cell>
          <cell r="AL99">
            <v>9417.4782491582482</v>
          </cell>
          <cell r="AM99">
            <v>14321.203569023572</v>
          </cell>
          <cell r="AN99">
            <v>14701.20356902357</v>
          </cell>
          <cell r="AO99">
            <v>3066</v>
          </cell>
          <cell r="AP99">
            <v>3316</v>
          </cell>
          <cell r="AQ99">
            <v>5168.7494313394982</v>
          </cell>
          <cell r="AR99">
            <v>10162.313669924872</v>
          </cell>
        </row>
        <row r="100">
          <cell r="F100">
            <v>-1308</v>
          </cell>
          <cell r="P100">
            <v>1687</v>
          </cell>
          <cell r="S100">
            <v>4262</v>
          </cell>
          <cell r="U100" t="e">
            <v>#REF!</v>
          </cell>
          <cell r="V100">
            <v>80</v>
          </cell>
          <cell r="X100">
            <v>85</v>
          </cell>
          <cell r="AA100">
            <v>300</v>
          </cell>
          <cell r="AC100">
            <v>60</v>
          </cell>
          <cell r="AF100">
            <v>-904.4</v>
          </cell>
          <cell r="AG100">
            <v>0</v>
          </cell>
          <cell r="AH100">
            <v>-904.4</v>
          </cell>
          <cell r="AK100">
            <v>4792.8</v>
          </cell>
          <cell r="AL100">
            <v>53285.681818181816</v>
          </cell>
          <cell r="AM100">
            <v>34771.290391061455</v>
          </cell>
        </row>
        <row r="101">
          <cell r="F101">
            <v>0</v>
          </cell>
          <cell r="P101">
            <v>464</v>
          </cell>
          <cell r="S101">
            <v>4262</v>
          </cell>
          <cell r="U101">
            <v>0</v>
          </cell>
          <cell r="V101">
            <v>0</v>
          </cell>
          <cell r="W101">
            <v>0</v>
          </cell>
          <cell r="X101">
            <v>100</v>
          </cell>
          <cell r="AA101">
            <v>300</v>
          </cell>
          <cell r="AC101">
            <v>60</v>
          </cell>
          <cell r="AF101">
            <v>0</v>
          </cell>
          <cell r="AG101">
            <v>0</v>
          </cell>
          <cell r="AH101">
            <v>0</v>
          </cell>
          <cell r="AK101">
            <v>4886</v>
          </cell>
          <cell r="AL101">
            <v>53285.681818181823</v>
          </cell>
          <cell r="AM101">
            <v>29773.478249158248</v>
          </cell>
        </row>
        <row r="102">
          <cell r="F102">
            <v>0</v>
          </cell>
          <cell r="P102">
            <v>900</v>
          </cell>
          <cell r="S102">
            <v>620</v>
          </cell>
          <cell r="U102" t="e">
            <v>#REF!</v>
          </cell>
          <cell r="V102">
            <v>0</v>
          </cell>
          <cell r="X102">
            <v>100</v>
          </cell>
          <cell r="AA102">
            <v>0</v>
          </cell>
          <cell r="AC102">
            <v>60</v>
          </cell>
          <cell r="AF102">
            <v>0</v>
          </cell>
          <cell r="AG102">
            <v>0</v>
          </cell>
          <cell r="AH102">
            <v>0</v>
          </cell>
          <cell r="AK102">
            <v>1680</v>
          </cell>
        </row>
        <row r="103">
          <cell r="F103">
            <v>-1308</v>
          </cell>
          <cell r="P103">
            <v>1223</v>
          </cell>
          <cell r="S103">
            <v>0</v>
          </cell>
          <cell r="U103" t="e">
            <v>#REF!</v>
          </cell>
          <cell r="X103">
            <v>0</v>
          </cell>
          <cell r="AC103">
            <v>0</v>
          </cell>
          <cell r="AF103">
            <v>-904.4</v>
          </cell>
          <cell r="AG103">
            <v>0</v>
          </cell>
          <cell r="AH103">
            <v>-904.4</v>
          </cell>
          <cell r="AK103">
            <v>-78.200000000000045</v>
          </cell>
        </row>
        <row r="104">
          <cell r="P104" t="e">
            <v>#REF!</v>
          </cell>
          <cell r="S104" t="e">
            <v>#REF!</v>
          </cell>
          <cell r="U104" t="e">
            <v>#REF!</v>
          </cell>
        </row>
        <row r="105">
          <cell r="P105">
            <v>1075</v>
          </cell>
          <cell r="S105">
            <v>0</v>
          </cell>
          <cell r="V105">
            <v>0</v>
          </cell>
          <cell r="X105">
            <v>0</v>
          </cell>
          <cell r="AC105">
            <v>300</v>
          </cell>
          <cell r="AK105">
            <v>1375</v>
          </cell>
        </row>
        <row r="106">
          <cell r="P106">
            <v>550</v>
          </cell>
          <cell r="S106">
            <v>0</v>
          </cell>
          <cell r="U106">
            <v>9142</v>
          </cell>
          <cell r="V106" t="e">
            <v>#REF!</v>
          </cell>
          <cell r="X106">
            <v>0</v>
          </cell>
        </row>
        <row r="107">
          <cell r="P107">
            <v>800</v>
          </cell>
          <cell r="U107">
            <v>0</v>
          </cell>
          <cell r="AK107">
            <v>0</v>
          </cell>
        </row>
        <row r="108">
          <cell r="P108" t="e">
            <v>#REF!</v>
          </cell>
          <cell r="Q108">
            <v>0</v>
          </cell>
          <cell r="R108">
            <v>0</v>
          </cell>
          <cell r="S108" t="e">
            <v>#REF!</v>
          </cell>
          <cell r="T108">
            <v>0</v>
          </cell>
          <cell r="U108" t="e">
            <v>#REF!</v>
          </cell>
          <cell r="V108" t="e">
            <v>#REF!</v>
          </cell>
          <cell r="X108">
            <v>0</v>
          </cell>
          <cell r="Y108">
            <v>0</v>
          </cell>
          <cell r="Z108">
            <v>0</v>
          </cell>
          <cell r="AA108">
            <v>0</v>
          </cell>
          <cell r="AK108">
            <v>0</v>
          </cell>
        </row>
        <row r="109">
          <cell r="F109">
            <v>0</v>
          </cell>
          <cell r="P109" t="e">
            <v>#REF!</v>
          </cell>
          <cell r="S109" t="e">
            <v>#REF!</v>
          </cell>
          <cell r="T109">
            <v>0</v>
          </cell>
          <cell r="U109" t="e">
            <v>#REF!</v>
          </cell>
          <cell r="V109">
            <v>0</v>
          </cell>
          <cell r="X109">
            <v>0</v>
          </cell>
          <cell r="AA109">
            <v>0</v>
          </cell>
          <cell r="AC109">
            <v>0</v>
          </cell>
          <cell r="AF109">
            <v>0</v>
          </cell>
          <cell r="AG109">
            <v>0</v>
          </cell>
          <cell r="AH109">
            <v>0</v>
          </cell>
          <cell r="AK109">
            <v>0</v>
          </cell>
        </row>
        <row r="110">
          <cell r="F110">
            <v>-1308</v>
          </cell>
          <cell r="P110">
            <v>1223</v>
          </cell>
          <cell r="S110">
            <v>0</v>
          </cell>
          <cell r="U110" t="e">
            <v>#REF!</v>
          </cell>
          <cell r="X110">
            <v>0</v>
          </cell>
          <cell r="AA110">
            <v>0</v>
          </cell>
          <cell r="AC110">
            <v>0</v>
          </cell>
          <cell r="AF110">
            <v>0</v>
          </cell>
          <cell r="AG110">
            <v>0</v>
          </cell>
          <cell r="AH110">
            <v>0</v>
          </cell>
          <cell r="AK110">
            <v>-85</v>
          </cell>
        </row>
        <row r="111">
          <cell r="F111">
            <v>-1308</v>
          </cell>
          <cell r="P111">
            <v>1223</v>
          </cell>
          <cell r="S111">
            <v>0</v>
          </cell>
          <cell r="U111" t="e">
            <v>#REF!</v>
          </cell>
          <cell r="AA111">
            <v>0</v>
          </cell>
          <cell r="AC111">
            <v>0</v>
          </cell>
          <cell r="AF111">
            <v>0</v>
          </cell>
          <cell r="AG111">
            <v>0</v>
          </cell>
          <cell r="AH111">
            <v>0</v>
          </cell>
          <cell r="AK111">
            <v>-85</v>
          </cell>
        </row>
        <row r="112">
          <cell r="F112">
            <v>0</v>
          </cell>
          <cell r="P112">
            <v>0</v>
          </cell>
          <cell r="S112">
            <v>0</v>
          </cell>
          <cell r="U112" t="e">
            <v>#REF!</v>
          </cell>
          <cell r="V112" t="e">
            <v>#REF!</v>
          </cell>
          <cell r="W112" t="e">
            <v>#REF!</v>
          </cell>
          <cell r="X112">
            <v>0</v>
          </cell>
          <cell r="AA112">
            <v>0</v>
          </cell>
          <cell r="AC112">
            <v>0</v>
          </cell>
          <cell r="AF112">
            <v>0</v>
          </cell>
          <cell r="AG112">
            <v>0</v>
          </cell>
          <cell r="AH112">
            <v>0</v>
          </cell>
          <cell r="AK112">
            <v>0</v>
          </cell>
        </row>
        <row r="113">
          <cell r="F113">
            <v>0</v>
          </cell>
          <cell r="P113">
            <v>0</v>
          </cell>
          <cell r="S113">
            <v>0</v>
          </cell>
          <cell r="V113">
            <v>0</v>
          </cell>
          <cell r="X113">
            <v>0</v>
          </cell>
          <cell r="AA113">
            <v>0</v>
          </cell>
          <cell r="AC113">
            <v>0</v>
          </cell>
          <cell r="AF113">
            <v>0</v>
          </cell>
          <cell r="AG113">
            <v>0</v>
          </cell>
          <cell r="AH113">
            <v>0</v>
          </cell>
          <cell r="AK113">
            <v>0</v>
          </cell>
        </row>
        <row r="114">
          <cell r="F114">
            <v>0</v>
          </cell>
          <cell r="P114">
            <v>0</v>
          </cell>
          <cell r="S114">
            <v>0</v>
          </cell>
          <cell r="U114">
            <v>0</v>
          </cell>
          <cell r="X114">
            <v>0</v>
          </cell>
          <cell r="AA114">
            <v>0</v>
          </cell>
          <cell r="AC114">
            <v>0</v>
          </cell>
          <cell r="AF114">
            <v>0</v>
          </cell>
          <cell r="AG114">
            <v>0</v>
          </cell>
          <cell r="AH114">
            <v>0</v>
          </cell>
          <cell r="AK114">
            <v>0</v>
          </cell>
        </row>
        <row r="115">
          <cell r="F115">
            <v>0</v>
          </cell>
          <cell r="P115">
            <v>0</v>
          </cell>
          <cell r="S115">
            <v>0</v>
          </cell>
          <cell r="V115">
            <v>0</v>
          </cell>
          <cell r="X115">
            <v>0</v>
          </cell>
          <cell r="AA115">
            <v>0</v>
          </cell>
          <cell r="AC115">
            <v>0</v>
          </cell>
          <cell r="AF115">
            <v>0</v>
          </cell>
          <cell r="AG115">
            <v>0</v>
          </cell>
          <cell r="AH115">
            <v>0</v>
          </cell>
          <cell r="AK115">
            <v>0</v>
          </cell>
        </row>
        <row r="116">
          <cell r="F116">
            <v>0</v>
          </cell>
          <cell r="P116">
            <v>0</v>
          </cell>
          <cell r="S116">
            <v>0</v>
          </cell>
          <cell r="X116">
            <v>0</v>
          </cell>
          <cell r="AA116">
            <v>0</v>
          </cell>
          <cell r="AC116">
            <v>0</v>
          </cell>
          <cell r="AF116">
            <v>0</v>
          </cell>
          <cell r="AG116">
            <v>0</v>
          </cell>
          <cell r="AH116">
            <v>0</v>
          </cell>
          <cell r="AK116">
            <v>0</v>
          </cell>
          <cell r="AM116">
            <v>0</v>
          </cell>
        </row>
        <row r="117">
          <cell r="F117">
            <v>0</v>
          </cell>
          <cell r="P117">
            <v>0</v>
          </cell>
          <cell r="S117">
            <v>0</v>
          </cell>
          <cell r="U117" t="e">
            <v>#REF!</v>
          </cell>
          <cell r="W117" t="e">
            <v>#REF!</v>
          </cell>
          <cell r="X117">
            <v>0</v>
          </cell>
          <cell r="Z117">
            <v>0</v>
          </cell>
          <cell r="AC117">
            <v>0</v>
          </cell>
          <cell r="AG117">
            <v>0</v>
          </cell>
          <cell r="AH117">
            <v>0</v>
          </cell>
          <cell r="AK117">
            <v>0</v>
          </cell>
          <cell r="AM117">
            <v>0</v>
          </cell>
        </row>
        <row r="118">
          <cell r="F118">
            <v>0</v>
          </cell>
          <cell r="P118">
            <v>0</v>
          </cell>
          <cell r="S118">
            <v>0</v>
          </cell>
          <cell r="U118" t="e">
            <v>#REF!</v>
          </cell>
          <cell r="X118">
            <v>0</v>
          </cell>
          <cell r="AA118">
            <v>0</v>
          </cell>
          <cell r="AC118">
            <v>0</v>
          </cell>
          <cell r="AG118">
            <v>0</v>
          </cell>
          <cell r="AH118">
            <v>0</v>
          </cell>
          <cell r="AK118">
            <v>0</v>
          </cell>
          <cell r="AL118">
            <v>0</v>
          </cell>
          <cell r="AM118">
            <v>0</v>
          </cell>
        </row>
        <row r="119">
          <cell r="F119">
            <v>0</v>
          </cell>
          <cell r="P119">
            <v>0</v>
          </cell>
          <cell r="S119">
            <v>0</v>
          </cell>
          <cell r="U119" t="e">
            <v>#REF!</v>
          </cell>
          <cell r="X119" t="e">
            <v>#DIV/0!</v>
          </cell>
          <cell r="AA119">
            <v>0</v>
          </cell>
          <cell r="AC119">
            <v>0</v>
          </cell>
          <cell r="AG119">
            <v>0</v>
          </cell>
          <cell r="AH119">
            <v>0</v>
          </cell>
          <cell r="AK119">
            <v>0</v>
          </cell>
          <cell r="AL119">
            <v>0</v>
          </cell>
          <cell r="AM119">
            <v>0</v>
          </cell>
        </row>
        <row r="120">
          <cell r="F120">
            <v>0</v>
          </cell>
          <cell r="P120">
            <v>0</v>
          </cell>
          <cell r="S120">
            <v>0</v>
          </cell>
          <cell r="U120" t="e">
            <v>#REF!</v>
          </cell>
          <cell r="X120" t="e">
            <v>#REF!</v>
          </cell>
          <cell r="AA120">
            <v>0</v>
          </cell>
          <cell r="AC120">
            <v>0</v>
          </cell>
          <cell r="AF120">
            <v>0</v>
          </cell>
          <cell r="AG120">
            <v>0</v>
          </cell>
          <cell r="AH120">
            <v>0</v>
          </cell>
          <cell r="AK120">
            <v>0</v>
          </cell>
        </row>
        <row r="121">
          <cell r="F121">
            <v>0</v>
          </cell>
          <cell r="P121">
            <v>0</v>
          </cell>
          <cell r="S121">
            <v>0</v>
          </cell>
          <cell r="U121">
            <v>0</v>
          </cell>
          <cell r="V121">
            <v>0</v>
          </cell>
          <cell r="X121">
            <v>0</v>
          </cell>
          <cell r="AA121">
            <v>0</v>
          </cell>
          <cell r="AC121">
            <v>0</v>
          </cell>
          <cell r="AF121">
            <v>0</v>
          </cell>
          <cell r="AG121">
            <v>0</v>
          </cell>
          <cell r="AH121">
            <v>0</v>
          </cell>
          <cell r="AK121">
            <v>0</v>
          </cell>
        </row>
        <row r="122">
          <cell r="F122">
            <v>595</v>
          </cell>
          <cell r="P122">
            <v>0</v>
          </cell>
          <cell r="S122">
            <v>0</v>
          </cell>
          <cell r="X122">
            <v>0</v>
          </cell>
          <cell r="AC122">
            <v>0</v>
          </cell>
          <cell r="AG122">
            <v>0</v>
          </cell>
          <cell r="AH122">
            <v>0</v>
          </cell>
          <cell r="AK122">
            <v>0</v>
          </cell>
        </row>
        <row r="123">
          <cell r="F123">
            <v>100</v>
          </cell>
          <cell r="S123">
            <v>0</v>
          </cell>
          <cell r="U123">
            <v>7.59</v>
          </cell>
          <cell r="V123">
            <v>0</v>
          </cell>
          <cell r="X123" t="e">
            <v>#DIV/0!</v>
          </cell>
          <cell r="AF123">
            <v>0</v>
          </cell>
          <cell r="AK123">
            <v>100</v>
          </cell>
        </row>
        <row r="124">
          <cell r="F124">
            <v>3400</v>
          </cell>
          <cell r="S124">
            <v>0</v>
          </cell>
          <cell r="U124">
            <v>0</v>
          </cell>
          <cell r="X124">
            <v>0</v>
          </cell>
          <cell r="AF124">
            <v>0</v>
          </cell>
          <cell r="AK124">
            <v>0</v>
          </cell>
        </row>
        <row r="125">
          <cell r="F125">
            <v>3500</v>
          </cell>
          <cell r="T125">
            <v>0</v>
          </cell>
          <cell r="U125" t="e">
            <v>#REF!</v>
          </cell>
          <cell r="X125" t="e">
            <v>#VALUE!</v>
          </cell>
          <cell r="AC125">
            <v>500</v>
          </cell>
          <cell r="AK125">
            <v>4000</v>
          </cell>
        </row>
        <row r="126">
          <cell r="F126">
            <v>2000</v>
          </cell>
          <cell r="U126">
            <v>25363</v>
          </cell>
          <cell r="V126">
            <v>25363</v>
          </cell>
          <cell r="AK126">
            <v>0</v>
          </cell>
          <cell r="AL126">
            <v>-16343.423636363636</v>
          </cell>
        </row>
        <row r="127">
          <cell r="F127">
            <v>1060</v>
          </cell>
          <cell r="AK127">
            <v>0</v>
          </cell>
        </row>
        <row r="128">
          <cell r="F128">
            <v>3995</v>
          </cell>
          <cell r="G128">
            <v>0</v>
          </cell>
          <cell r="H128">
            <v>0</v>
          </cell>
          <cell r="P128">
            <v>366</v>
          </cell>
          <cell r="Q128">
            <v>0</v>
          </cell>
          <cell r="R128">
            <v>0</v>
          </cell>
          <cell r="S128">
            <v>2158</v>
          </cell>
          <cell r="T128">
            <v>300</v>
          </cell>
          <cell r="U128">
            <v>300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K128">
            <v>0</v>
          </cell>
          <cell r="AO128">
            <v>0</v>
          </cell>
          <cell r="AP128">
            <v>0</v>
          </cell>
          <cell r="AQ128">
            <v>0</v>
          </cell>
          <cell r="AR128">
            <v>0</v>
          </cell>
        </row>
        <row r="129">
          <cell r="F129">
            <v>3995</v>
          </cell>
          <cell r="G129">
            <v>0</v>
          </cell>
          <cell r="H129">
            <v>0</v>
          </cell>
          <cell r="P129">
            <v>732</v>
          </cell>
          <cell r="S129">
            <v>4316</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K129">
            <v>0</v>
          </cell>
          <cell r="AL129">
            <v>-9671.302272727271</v>
          </cell>
        </row>
        <row r="130">
          <cell r="F130">
            <v>0</v>
          </cell>
          <cell r="AK130">
            <v>0</v>
          </cell>
          <cell r="AL130">
            <v>6561</v>
          </cell>
        </row>
        <row r="131">
          <cell r="F131">
            <v>2292</v>
          </cell>
          <cell r="G131">
            <v>0</v>
          </cell>
          <cell r="H131">
            <v>0</v>
          </cell>
          <cell r="P131">
            <v>1223</v>
          </cell>
          <cell r="Q131">
            <v>0</v>
          </cell>
          <cell r="R131">
            <v>0</v>
          </cell>
          <cell r="S131">
            <v>0</v>
          </cell>
          <cell r="T131">
            <v>0</v>
          </cell>
          <cell r="U131">
            <v>0</v>
          </cell>
          <cell r="V131">
            <v>0</v>
          </cell>
          <cell r="W131">
            <v>0</v>
          </cell>
          <cell r="X131">
            <v>0</v>
          </cell>
          <cell r="Y131">
            <v>0</v>
          </cell>
          <cell r="Z131">
            <v>0</v>
          </cell>
          <cell r="AA131">
            <v>0</v>
          </cell>
          <cell r="AB131">
            <v>0</v>
          </cell>
          <cell r="AC131">
            <v>0</v>
          </cell>
          <cell r="AF131">
            <v>0</v>
          </cell>
          <cell r="AG131">
            <v>0</v>
          </cell>
          <cell r="AH131">
            <v>0</v>
          </cell>
          <cell r="AK131">
            <v>4015</v>
          </cell>
          <cell r="AO131">
            <v>0</v>
          </cell>
          <cell r="AP131">
            <v>0</v>
          </cell>
          <cell r="AQ131">
            <v>0</v>
          </cell>
          <cell r="AR131">
            <v>0</v>
          </cell>
        </row>
        <row r="132">
          <cell r="F132">
            <v>2292</v>
          </cell>
          <cell r="G132">
            <v>0</v>
          </cell>
          <cell r="H132">
            <v>0</v>
          </cell>
          <cell r="P132">
            <v>2446</v>
          </cell>
          <cell r="S132">
            <v>0</v>
          </cell>
          <cell r="U132">
            <v>187.5</v>
          </cell>
          <cell r="V132">
            <v>187.5</v>
          </cell>
          <cell r="X132">
            <v>0</v>
          </cell>
          <cell r="Y132">
            <v>0</v>
          </cell>
          <cell r="Z132">
            <v>0</v>
          </cell>
          <cell r="AC132">
            <v>0</v>
          </cell>
          <cell r="AF132">
            <v>-904.4</v>
          </cell>
          <cell r="AG132">
            <v>0</v>
          </cell>
          <cell r="AH132">
            <v>-904.4</v>
          </cell>
          <cell r="AK132">
            <v>4015</v>
          </cell>
          <cell r="AL132">
            <v>35.709608938552265</v>
          </cell>
          <cell r="AM132">
            <v>-14935.850518029456</v>
          </cell>
        </row>
        <row r="133">
          <cell r="U133" t="e">
            <v>#REF!</v>
          </cell>
          <cell r="V133">
            <v>25550.5</v>
          </cell>
          <cell r="W133" t="e">
            <v>#REF!</v>
          </cell>
          <cell r="AK133">
            <v>-5656.302272727271</v>
          </cell>
          <cell r="AL133">
            <v>3521.8</v>
          </cell>
        </row>
        <row r="134">
          <cell r="X134" t="e">
            <v>#REF!</v>
          </cell>
          <cell r="Y134" t="e">
            <v>#VALUE!</v>
          </cell>
          <cell r="Z134" t="e">
            <v>#REF!</v>
          </cell>
          <cell r="AA134" t="e">
            <v>#REF!</v>
          </cell>
          <cell r="AK134">
            <v>-5656.302272727271</v>
          </cell>
          <cell r="AO134">
            <v>0</v>
          </cell>
        </row>
        <row r="135">
          <cell r="U135" t="e">
            <v>#REF!</v>
          </cell>
          <cell r="V135" t="e">
            <v>#REF!</v>
          </cell>
          <cell r="W135" t="e">
            <v>#REF!</v>
          </cell>
          <cell r="AK135">
            <v>-8080.4318181818162</v>
          </cell>
          <cell r="AL135">
            <v>6361.5217508417518</v>
          </cell>
          <cell r="AM135">
            <v>-15307.203569023572</v>
          </cell>
        </row>
        <row r="137">
          <cell r="P137">
            <v>0</v>
          </cell>
          <cell r="S137">
            <v>0</v>
          </cell>
          <cell r="T137">
            <v>142</v>
          </cell>
          <cell r="U137">
            <v>0</v>
          </cell>
          <cell r="AK137">
            <v>-2424.1295454545448</v>
          </cell>
          <cell r="AM137">
            <v>4901</v>
          </cell>
          <cell r="AO137">
            <v>0</v>
          </cell>
          <cell r="AQ137">
            <v>0</v>
          </cell>
        </row>
        <row r="138">
          <cell r="P138" t="e">
            <v>#REF!</v>
          </cell>
          <cell r="U138" t="e">
            <v>#REF!</v>
          </cell>
          <cell r="AK138">
            <v>-14935.850518029456</v>
          </cell>
          <cell r="AO138">
            <v>0</v>
          </cell>
        </row>
        <row r="139">
          <cell r="AK139">
            <v>3.1</v>
          </cell>
          <cell r="AO139" t="e">
            <v>#DIV/0!</v>
          </cell>
        </row>
        <row r="140">
          <cell r="AK140">
            <v>7825</v>
          </cell>
          <cell r="AM140">
            <v>7825</v>
          </cell>
          <cell r="AO140">
            <v>0</v>
          </cell>
          <cell r="AQ140">
            <v>0</v>
          </cell>
        </row>
        <row r="141">
          <cell r="AK141">
            <v>-15307.203569023572</v>
          </cell>
          <cell r="AO141">
            <v>0</v>
          </cell>
        </row>
        <row r="142">
          <cell r="AK142">
            <v>4.95</v>
          </cell>
          <cell r="AO142" t="e">
            <v>#DIV/0!</v>
          </cell>
        </row>
        <row r="143">
          <cell r="AK143">
            <v>14.64</v>
          </cell>
          <cell r="AO143" t="e">
            <v>#DIV/0!</v>
          </cell>
        </row>
        <row r="144">
          <cell r="AK144">
            <v>0</v>
          </cell>
          <cell r="AO144">
            <v>0</v>
          </cell>
        </row>
        <row r="145">
          <cell r="AK145">
            <v>8.9</v>
          </cell>
          <cell r="AO145" t="e">
            <v>#DIV/0!</v>
          </cell>
        </row>
        <row r="146">
          <cell r="AK146">
            <v>9.23</v>
          </cell>
          <cell r="AL146">
            <v>35229</v>
          </cell>
          <cell r="AO146" t="e">
            <v>#DIV/0!</v>
          </cell>
        </row>
        <row r="148">
          <cell r="AK148">
            <v>7.62</v>
          </cell>
          <cell r="AO148" t="e">
            <v>#DIV/0!</v>
          </cell>
        </row>
        <row r="149">
          <cell r="AK149">
            <v>36515</v>
          </cell>
          <cell r="AL149">
            <v>36515</v>
          </cell>
          <cell r="AM149">
            <v>-19836.850518029456</v>
          </cell>
        </row>
        <row r="150">
          <cell r="P150" t="e">
            <v>#REF!</v>
          </cell>
          <cell r="S150" t="e">
            <v>#REF!</v>
          </cell>
          <cell r="T150">
            <v>630</v>
          </cell>
          <cell r="U150" t="e">
            <v>#REF!</v>
          </cell>
          <cell r="AK150">
            <v>865.25</v>
          </cell>
        </row>
        <row r="152">
          <cell r="AK152">
            <v>5735.7142857142862</v>
          </cell>
          <cell r="AL152">
            <v>-30153.478249158248</v>
          </cell>
          <cell r="AM152">
            <v>-23132.203569023572</v>
          </cell>
          <cell r="AO152">
            <v>0</v>
          </cell>
        </row>
        <row r="153">
          <cell r="S153">
            <v>0</v>
          </cell>
          <cell r="AK153">
            <v>865.25</v>
          </cell>
        </row>
        <row r="154">
          <cell r="Y154">
            <v>1507.2</v>
          </cell>
          <cell r="AK154">
            <v>40130</v>
          </cell>
          <cell r="AL154">
            <v>35229</v>
          </cell>
          <cell r="AM154">
            <v>4901</v>
          </cell>
        </row>
        <row r="155">
          <cell r="X155" t="str">
            <v>ОЧИК.18.02.</v>
          </cell>
          <cell r="AK155">
            <v>44340</v>
          </cell>
          <cell r="AL155">
            <v>36515</v>
          </cell>
          <cell r="AM155">
            <v>7825</v>
          </cell>
          <cell r="AO155">
            <v>0</v>
          </cell>
          <cell r="AP155">
            <v>3182</v>
          </cell>
          <cell r="AQ155">
            <v>5179.5709186145641</v>
          </cell>
          <cell r="AR155">
            <v>9343.4348160198533</v>
          </cell>
        </row>
        <row r="156">
          <cell r="AK156">
            <v>0</v>
          </cell>
          <cell r="AL156">
            <v>0.1</v>
          </cell>
          <cell r="AM156">
            <v>-75.3</v>
          </cell>
        </row>
        <row r="157">
          <cell r="Q157" t="str">
            <v>Е/Е</v>
          </cell>
          <cell r="R157" t="str">
            <v xml:space="preserve"> Т/Е</v>
          </cell>
          <cell r="S157" t="str">
            <v xml:space="preserve">ДОП.ВИР. </v>
          </cell>
          <cell r="T157" t="str">
            <v>ДОП.ВИР. СТ.ОРГ.</v>
          </cell>
          <cell r="U157" t="str">
            <v>АК КЕ ВСЬОГО</v>
          </cell>
          <cell r="V157" t="str">
            <v>Е/Е</v>
          </cell>
          <cell r="W157" t="str">
            <v xml:space="preserve"> Т/Е</v>
          </cell>
          <cell r="X157" t="str">
            <v>СТАНЦІї ЕЛЕКТРО</v>
          </cell>
          <cell r="Y157" t="str">
            <v>СТАНЦІІ ТЕПЛОВІ</v>
          </cell>
          <cell r="Z157" t="str">
            <v>МЕРЕЖІ ЕЛЕКТРО</v>
          </cell>
          <cell r="AA157" t="str">
            <v>МЕРЕЖІ ТЕПЛОВІ</v>
          </cell>
          <cell r="AK157">
            <v>44340</v>
          </cell>
          <cell r="AL157">
            <v>36515</v>
          </cell>
          <cell r="AM157">
            <v>7825</v>
          </cell>
        </row>
        <row r="158">
          <cell r="X158">
            <v>1.954</v>
          </cell>
          <cell r="Y158">
            <v>1.954</v>
          </cell>
          <cell r="Z158">
            <v>1.954</v>
          </cell>
          <cell r="AA158">
            <v>1.905</v>
          </cell>
          <cell r="AK158">
            <v>0</v>
          </cell>
          <cell r="AL158">
            <v>0</v>
          </cell>
          <cell r="AM158">
            <v>0</v>
          </cell>
          <cell r="AO158">
            <v>3066</v>
          </cell>
          <cell r="AP158">
            <v>3316</v>
          </cell>
          <cell r="AQ158">
            <v>5168.7494313394982</v>
          </cell>
          <cell r="AR158">
            <v>10162.313669924872</v>
          </cell>
        </row>
        <row r="159">
          <cell r="AK159">
            <v>-15.2</v>
          </cell>
          <cell r="AL159">
            <v>21.1</v>
          </cell>
          <cell r="AM159">
            <v>-66.2</v>
          </cell>
        </row>
        <row r="160">
          <cell r="F160">
            <v>0</v>
          </cell>
          <cell r="P160">
            <v>0</v>
          </cell>
          <cell r="S160">
            <v>0</v>
          </cell>
          <cell r="U160" t="e">
            <v>#REF!</v>
          </cell>
          <cell r="V160">
            <v>0</v>
          </cell>
          <cell r="X160">
            <v>221.49122807017542</v>
          </cell>
          <cell r="AA160">
            <v>0</v>
          </cell>
          <cell r="AC160">
            <v>0</v>
          </cell>
          <cell r="AK160">
            <v>10.764081625689514</v>
          </cell>
          <cell r="AL160">
            <v>-100</v>
          </cell>
          <cell r="AM160">
            <v>-100</v>
          </cell>
        </row>
        <row r="161">
          <cell r="F161">
            <v>0</v>
          </cell>
          <cell r="P161">
            <v>890</v>
          </cell>
          <cell r="S161">
            <v>1440</v>
          </cell>
          <cell r="U161" t="e">
            <v>#REF!</v>
          </cell>
          <cell r="V161">
            <v>1070</v>
          </cell>
          <cell r="X161">
            <v>252.49999999999997</v>
          </cell>
          <cell r="AA161">
            <v>1777</v>
          </cell>
          <cell r="AC161">
            <v>768.7</v>
          </cell>
          <cell r="AF161">
            <v>780</v>
          </cell>
          <cell r="AG161">
            <v>780</v>
          </cell>
          <cell r="AH161">
            <v>0</v>
          </cell>
          <cell r="AK161">
            <v>5957</v>
          </cell>
          <cell r="AL161">
            <v>0</v>
          </cell>
          <cell r="AM161">
            <v>0</v>
          </cell>
        </row>
        <row r="162">
          <cell r="F162">
            <v>0</v>
          </cell>
          <cell r="P162">
            <v>700</v>
          </cell>
          <cell r="Q162">
            <v>63.33</v>
          </cell>
          <cell r="R162">
            <v>63.33</v>
          </cell>
          <cell r="S162">
            <v>63.33</v>
          </cell>
          <cell r="T162">
            <v>63.33</v>
          </cell>
          <cell r="U162">
            <v>82.5</v>
          </cell>
          <cell r="V162">
            <v>1070</v>
          </cell>
          <cell r="X162">
            <v>66</v>
          </cell>
          <cell r="AA162">
            <v>1639</v>
          </cell>
          <cell r="AF162">
            <v>730</v>
          </cell>
          <cell r="AG162">
            <v>730</v>
          </cell>
          <cell r="AH162">
            <v>0</v>
          </cell>
          <cell r="AK162">
            <v>4849</v>
          </cell>
        </row>
        <row r="163">
          <cell r="F163">
            <v>0</v>
          </cell>
          <cell r="P163">
            <v>0</v>
          </cell>
          <cell r="S163">
            <v>0</v>
          </cell>
          <cell r="U163" t="e">
            <v>#REF!</v>
          </cell>
          <cell r="V163">
            <v>0</v>
          </cell>
          <cell r="X163">
            <v>0</v>
          </cell>
          <cell r="AA163">
            <v>138</v>
          </cell>
          <cell r="AC163">
            <v>0</v>
          </cell>
          <cell r="AF163">
            <v>50</v>
          </cell>
          <cell r="AG163">
            <v>50</v>
          </cell>
          <cell r="AH163">
            <v>0</v>
          </cell>
          <cell r="AK163">
            <v>0</v>
          </cell>
        </row>
        <row r="164">
          <cell r="F164">
            <v>0</v>
          </cell>
          <cell r="P164">
            <v>671.5</v>
          </cell>
          <cell r="S164">
            <v>1737.3999999999999</v>
          </cell>
          <cell r="U164" t="e">
            <v>#REF!</v>
          </cell>
          <cell r="V164">
            <v>0</v>
          </cell>
          <cell r="X164">
            <v>890.8</v>
          </cell>
          <cell r="AA164">
            <v>12</v>
          </cell>
          <cell r="AC164">
            <v>1354.7</v>
          </cell>
          <cell r="AF164">
            <v>665.35</v>
          </cell>
          <cell r="AG164">
            <v>665.35</v>
          </cell>
          <cell r="AH164">
            <v>0</v>
          </cell>
          <cell r="AK164">
            <v>5319.75</v>
          </cell>
        </row>
        <row r="165">
          <cell r="F165">
            <v>0</v>
          </cell>
          <cell r="P165">
            <v>552.5</v>
          </cell>
          <cell r="S165">
            <v>1550.3999999999999</v>
          </cell>
          <cell r="U165" t="e">
            <v>#REF!</v>
          </cell>
          <cell r="X165">
            <v>693.59999999999991</v>
          </cell>
          <cell r="AC165">
            <v>1292.6500000000001</v>
          </cell>
          <cell r="AF165">
            <v>535.30000000000007</v>
          </cell>
          <cell r="AG165">
            <v>535.30000000000007</v>
          </cell>
          <cell r="AH165">
            <v>0</v>
          </cell>
          <cell r="AK165">
            <v>4089.1499999999996</v>
          </cell>
        </row>
        <row r="166">
          <cell r="F166">
            <v>0</v>
          </cell>
          <cell r="P166">
            <v>119</v>
          </cell>
          <cell r="S166">
            <v>187</v>
          </cell>
          <cell r="U166" t="e">
            <v>#REF!</v>
          </cell>
          <cell r="X166">
            <v>197.2</v>
          </cell>
          <cell r="AC166">
            <v>62.05</v>
          </cell>
          <cell r="AF166">
            <v>130.04999999999998</v>
          </cell>
          <cell r="AG166">
            <v>130.04999999999998</v>
          </cell>
          <cell r="AH166">
            <v>0</v>
          </cell>
          <cell r="AK166">
            <v>695.3</v>
          </cell>
        </row>
        <row r="167">
          <cell r="F167">
            <v>295</v>
          </cell>
          <cell r="P167">
            <v>140</v>
          </cell>
          <cell r="S167">
            <v>157</v>
          </cell>
          <cell r="U167" t="e">
            <v>#REF!</v>
          </cell>
          <cell r="V167">
            <v>458.81818181818181</v>
          </cell>
          <cell r="X167">
            <v>154</v>
          </cell>
          <cell r="AA167">
            <v>216.09090909090909</v>
          </cell>
          <cell r="AC167">
            <v>22</v>
          </cell>
          <cell r="AF167">
            <v>145</v>
          </cell>
          <cell r="AG167">
            <v>300</v>
          </cell>
          <cell r="AK167">
            <v>768</v>
          </cell>
        </row>
        <row r="168">
          <cell r="F168">
            <v>-459</v>
          </cell>
          <cell r="P168">
            <v>63.33</v>
          </cell>
          <cell r="S168">
            <v>800</v>
          </cell>
          <cell r="U168">
            <v>63.33</v>
          </cell>
          <cell r="V168">
            <v>611.18181818181824</v>
          </cell>
          <cell r="X168">
            <v>1433.2409090909091</v>
          </cell>
          <cell r="AA168">
            <v>1560.909090909091</v>
          </cell>
          <cell r="AC168">
            <v>561.88181818181829</v>
          </cell>
          <cell r="AK168">
            <v>0</v>
          </cell>
        </row>
        <row r="169">
          <cell r="F169">
            <v>14.170833333333334</v>
          </cell>
          <cell r="P169" t="e">
            <v>#REF!</v>
          </cell>
          <cell r="S169">
            <v>1440</v>
          </cell>
          <cell r="U169" t="e">
            <v>#REF!</v>
          </cell>
          <cell r="V169">
            <v>1070</v>
          </cell>
          <cell r="X169">
            <v>1767.15</v>
          </cell>
          <cell r="AA169">
            <v>1777</v>
          </cell>
          <cell r="AC169">
            <v>768.7</v>
          </cell>
          <cell r="AK169">
            <v>14.170833333333334</v>
          </cell>
        </row>
        <row r="170">
          <cell r="F170">
            <v>459</v>
          </cell>
          <cell r="P170">
            <v>196</v>
          </cell>
          <cell r="S170">
            <v>580.5454545454545</v>
          </cell>
          <cell r="U170" t="e">
            <v>#REF!</v>
          </cell>
          <cell r="V170">
            <v>0</v>
          </cell>
          <cell r="X170">
            <v>270.36363636363637</v>
          </cell>
          <cell r="AA170">
            <v>0</v>
          </cell>
          <cell r="AC170">
            <v>179.90909090909091</v>
          </cell>
          <cell r="AF170">
            <v>297.72727272727275</v>
          </cell>
          <cell r="AG170">
            <v>298</v>
          </cell>
          <cell r="AK170">
            <v>1226.818181818182</v>
          </cell>
        </row>
        <row r="171">
          <cell r="F171">
            <v>-459</v>
          </cell>
          <cell r="S171">
            <v>1156.8545454545454</v>
          </cell>
          <cell r="U171" t="e">
            <v>#REF!</v>
          </cell>
          <cell r="V171">
            <v>0</v>
          </cell>
          <cell r="X171">
            <v>620.43636363636358</v>
          </cell>
          <cell r="AA171">
            <v>0</v>
          </cell>
          <cell r="AC171">
            <v>1174.7909090909091</v>
          </cell>
          <cell r="AF171">
            <v>0</v>
          </cell>
          <cell r="AG171">
            <v>0</v>
          </cell>
          <cell r="AH171">
            <v>0</v>
          </cell>
          <cell r="AK171">
            <v>2493.0818181818177</v>
          </cell>
        </row>
        <row r="172">
          <cell r="F172">
            <v>0</v>
          </cell>
          <cell r="G172">
            <v>0</v>
          </cell>
          <cell r="H172">
            <v>0</v>
          </cell>
          <cell r="P172" t="e">
            <v>#REF!</v>
          </cell>
          <cell r="Q172">
            <v>0</v>
          </cell>
          <cell r="R172">
            <v>0</v>
          </cell>
          <cell r="S172">
            <v>1737.3999999999999</v>
          </cell>
          <cell r="T172">
            <v>0</v>
          </cell>
          <cell r="U172" t="e">
            <v>#REF!</v>
          </cell>
          <cell r="V172">
            <v>80</v>
          </cell>
          <cell r="W172">
            <v>14347.131818181819</v>
          </cell>
          <cell r="X172">
            <v>890.8</v>
          </cell>
          <cell r="Y172">
            <v>0</v>
          </cell>
          <cell r="Z172">
            <v>0</v>
          </cell>
          <cell r="AA172">
            <v>300</v>
          </cell>
          <cell r="AB172">
            <v>0</v>
          </cell>
          <cell r="AC172">
            <v>1354.7</v>
          </cell>
          <cell r="AD172">
            <v>12866.875151515153</v>
          </cell>
          <cell r="AE172">
            <v>0</v>
          </cell>
          <cell r="AF172">
            <v>554</v>
          </cell>
          <cell r="AG172">
            <v>554</v>
          </cell>
          <cell r="AH172">
            <v>0</v>
          </cell>
          <cell r="AK172">
            <v>4982</v>
          </cell>
        </row>
        <row r="173">
          <cell r="F173">
            <v>459</v>
          </cell>
          <cell r="G173">
            <v>0</v>
          </cell>
          <cell r="H173">
            <v>0</v>
          </cell>
          <cell r="P173">
            <v>0</v>
          </cell>
          <cell r="Q173">
            <v>0</v>
          </cell>
          <cell r="R173">
            <v>0</v>
          </cell>
          <cell r="S173">
            <v>0</v>
          </cell>
          <cell r="T173">
            <v>0</v>
          </cell>
          <cell r="U173" t="e">
            <v>#REF!</v>
          </cell>
          <cell r="V173">
            <v>80</v>
          </cell>
          <cell r="W173">
            <v>14347.131818181819</v>
          </cell>
          <cell r="X173">
            <v>0</v>
          </cell>
          <cell r="Y173">
            <v>0</v>
          </cell>
          <cell r="Z173">
            <v>0</v>
          </cell>
          <cell r="AA173">
            <v>300</v>
          </cell>
          <cell r="AB173">
            <v>0</v>
          </cell>
          <cell r="AC173">
            <v>0</v>
          </cell>
          <cell r="AD173">
            <v>12866.875151515153</v>
          </cell>
          <cell r="AE173">
            <v>0</v>
          </cell>
          <cell r="AF173">
            <v>554</v>
          </cell>
          <cell r="AG173">
            <v>554</v>
          </cell>
          <cell r="AH173">
            <v>0</v>
          </cell>
          <cell r="AK173">
            <v>459</v>
          </cell>
        </row>
        <row r="174">
          <cell r="F174">
            <v>0</v>
          </cell>
          <cell r="G174">
            <v>0</v>
          </cell>
          <cell r="H174">
            <v>0</v>
          </cell>
          <cell r="P174">
            <v>0</v>
          </cell>
          <cell r="R174">
            <v>0</v>
          </cell>
          <cell r="S174">
            <v>0</v>
          </cell>
          <cell r="T174">
            <v>0</v>
          </cell>
          <cell r="U174">
            <v>0</v>
          </cell>
          <cell r="V174">
            <v>0</v>
          </cell>
          <cell r="W174">
            <v>0</v>
          </cell>
          <cell r="X174">
            <v>0</v>
          </cell>
          <cell r="Y174">
            <v>0</v>
          </cell>
          <cell r="Z174">
            <v>0</v>
          </cell>
          <cell r="AA174">
            <v>75</v>
          </cell>
          <cell r="AB174">
            <v>0</v>
          </cell>
          <cell r="AC174">
            <v>0</v>
          </cell>
          <cell r="AE174">
            <v>0</v>
          </cell>
          <cell r="AF174">
            <v>0</v>
          </cell>
          <cell r="AG174">
            <v>0</v>
          </cell>
          <cell r="AH174">
            <v>0</v>
          </cell>
          <cell r="AK174">
            <v>0</v>
          </cell>
        </row>
        <row r="175">
          <cell r="F175">
            <v>-1308</v>
          </cell>
          <cell r="G175">
            <v>0</v>
          </cell>
          <cell r="H175">
            <v>0</v>
          </cell>
          <cell r="P175">
            <v>1687</v>
          </cell>
          <cell r="Q175">
            <v>0</v>
          </cell>
          <cell r="R175">
            <v>0</v>
          </cell>
          <cell r="S175">
            <v>4262</v>
          </cell>
          <cell r="T175">
            <v>0</v>
          </cell>
          <cell r="U175">
            <v>0</v>
          </cell>
          <cell r="V175">
            <v>0</v>
          </cell>
          <cell r="W175">
            <v>0</v>
          </cell>
          <cell r="X175">
            <v>85</v>
          </cell>
          <cell r="Y175">
            <v>0</v>
          </cell>
          <cell r="Z175">
            <v>0</v>
          </cell>
          <cell r="AA175">
            <v>0</v>
          </cell>
          <cell r="AB175">
            <v>0</v>
          </cell>
          <cell r="AC175">
            <v>60</v>
          </cell>
          <cell r="AF175">
            <v>-904.4</v>
          </cell>
          <cell r="AG175">
            <v>0</v>
          </cell>
          <cell r="AH175">
            <v>-904.4</v>
          </cell>
          <cell r="AK175">
            <v>4792.8</v>
          </cell>
        </row>
        <row r="176">
          <cell r="F176">
            <v>-1308</v>
          </cell>
          <cell r="G176">
            <v>0</v>
          </cell>
          <cell r="H176">
            <v>0</v>
          </cell>
          <cell r="P176">
            <v>1687</v>
          </cell>
          <cell r="Q176">
            <v>0</v>
          </cell>
          <cell r="R176">
            <v>0</v>
          </cell>
          <cell r="S176">
            <v>4262</v>
          </cell>
          <cell r="T176">
            <v>0</v>
          </cell>
          <cell r="U176">
            <v>0</v>
          </cell>
          <cell r="V176">
            <v>0</v>
          </cell>
          <cell r="W176">
            <v>0</v>
          </cell>
          <cell r="X176">
            <v>85</v>
          </cell>
          <cell r="Y176">
            <v>0</v>
          </cell>
          <cell r="Z176">
            <v>0</v>
          </cell>
          <cell r="AA176">
            <v>0</v>
          </cell>
          <cell r="AB176">
            <v>0</v>
          </cell>
          <cell r="AC176">
            <v>60</v>
          </cell>
          <cell r="AF176">
            <v>-904.4</v>
          </cell>
          <cell r="AG176">
            <v>0</v>
          </cell>
          <cell r="AH176">
            <v>-904.4</v>
          </cell>
          <cell r="AK176">
            <v>4792.8</v>
          </cell>
        </row>
        <row r="177">
          <cell r="F177">
            <v>0</v>
          </cell>
          <cell r="G177">
            <v>0</v>
          </cell>
          <cell r="H177">
            <v>0</v>
          </cell>
          <cell r="P177">
            <v>0</v>
          </cell>
          <cell r="R177">
            <v>0</v>
          </cell>
          <cell r="S177">
            <v>0</v>
          </cell>
          <cell r="T177">
            <v>0</v>
          </cell>
          <cell r="U177">
            <v>0</v>
          </cell>
          <cell r="V177">
            <v>0</v>
          </cell>
          <cell r="W177">
            <v>0</v>
          </cell>
          <cell r="X177">
            <v>0</v>
          </cell>
          <cell r="Y177">
            <v>0</v>
          </cell>
          <cell r="Z177">
            <v>0</v>
          </cell>
          <cell r="AA177">
            <v>0</v>
          </cell>
          <cell r="AB177">
            <v>0</v>
          </cell>
          <cell r="AC177">
            <v>0</v>
          </cell>
          <cell r="AF177">
            <v>0</v>
          </cell>
          <cell r="AG177">
            <v>0</v>
          </cell>
          <cell r="AH177">
            <v>0</v>
          </cell>
          <cell r="AK177">
            <v>0</v>
          </cell>
        </row>
        <row r="178">
          <cell r="F178">
            <v>0</v>
          </cell>
          <cell r="P178" t="e">
            <v>#REF!</v>
          </cell>
          <cell r="Q178" t="e">
            <v>#REF!</v>
          </cell>
          <cell r="R178" t="e">
            <v>#REF!</v>
          </cell>
          <cell r="S178">
            <v>2085.52</v>
          </cell>
          <cell r="T178">
            <v>707.75479999999993</v>
          </cell>
          <cell r="U178" t="e">
            <v>#REF!</v>
          </cell>
          <cell r="V178" t="e">
            <v>#REF!</v>
          </cell>
          <cell r="W178" t="e">
            <v>#REF!</v>
          </cell>
          <cell r="X178">
            <v>356.4</v>
          </cell>
          <cell r="Y178">
            <v>74.900000000000006</v>
          </cell>
          <cell r="Z178">
            <v>281.5</v>
          </cell>
          <cell r="AA178">
            <v>597.66</v>
          </cell>
          <cell r="AB178">
            <v>0</v>
          </cell>
          <cell r="AC178">
            <v>606.86</v>
          </cell>
          <cell r="AF178">
            <v>1861.06</v>
          </cell>
          <cell r="AG178">
            <v>0</v>
          </cell>
          <cell r="AH178">
            <v>228.75999999999993</v>
          </cell>
          <cell r="AK178">
            <v>0</v>
          </cell>
          <cell r="AO178">
            <v>396</v>
          </cell>
          <cell r="AP178">
            <v>467</v>
          </cell>
          <cell r="AQ178">
            <v>1039.6199999999999</v>
          </cell>
          <cell r="AR178">
            <v>2063.5209090909093</v>
          </cell>
        </row>
        <row r="179">
          <cell r="F179">
            <v>0</v>
          </cell>
          <cell r="G179">
            <v>0</v>
          </cell>
          <cell r="H179">
            <v>0</v>
          </cell>
          <cell r="P179" t="e">
            <v>#REF!</v>
          </cell>
          <cell r="Q179" t="e">
            <v>#REF!</v>
          </cell>
          <cell r="R179" t="e">
            <v>#REF!</v>
          </cell>
          <cell r="S179">
            <v>640</v>
          </cell>
          <cell r="T179">
            <v>0</v>
          </cell>
          <cell r="U179" t="e">
            <v>#REF!</v>
          </cell>
          <cell r="V179" t="e">
            <v>#REF!</v>
          </cell>
          <cell r="W179" t="e">
            <v>#REF!</v>
          </cell>
          <cell r="X179">
            <v>43374</v>
          </cell>
          <cell r="Y179">
            <v>9115.3552188552203</v>
          </cell>
          <cell r="Z179">
            <v>34258.64478114478</v>
          </cell>
          <cell r="AA179">
            <v>216.09090909090909</v>
          </cell>
          <cell r="AB179">
            <v>172</v>
          </cell>
          <cell r="AC179">
            <v>44.090909090909093</v>
          </cell>
          <cell r="AD179">
            <v>148</v>
          </cell>
          <cell r="AE179">
            <v>58.818181818181813</v>
          </cell>
          <cell r="AF179">
            <v>300.18181818181819</v>
          </cell>
          <cell r="AG179">
            <v>300</v>
          </cell>
          <cell r="AH179">
            <v>0.18181818181818699</v>
          </cell>
          <cell r="AK179">
            <v>0</v>
          </cell>
        </row>
        <row r="180">
          <cell r="F180">
            <v>3500</v>
          </cell>
          <cell r="P180" t="e">
            <v>#REF!</v>
          </cell>
          <cell r="Q180" t="e">
            <v>#REF!</v>
          </cell>
          <cell r="R180" t="e">
            <v>#REF!</v>
          </cell>
          <cell r="S180">
            <v>0</v>
          </cell>
          <cell r="T180">
            <v>0</v>
          </cell>
          <cell r="U180" t="e">
            <v>#REF!</v>
          </cell>
          <cell r="V180" t="e">
            <v>#REF!</v>
          </cell>
          <cell r="W180" t="e">
            <v>#REF!</v>
          </cell>
          <cell r="X180">
            <v>121.7</v>
          </cell>
          <cell r="Y180">
            <v>121.7</v>
          </cell>
          <cell r="Z180">
            <v>121.7</v>
          </cell>
          <cell r="AA180">
            <v>0</v>
          </cell>
          <cell r="AB180">
            <v>0</v>
          </cell>
          <cell r="AC180">
            <v>274.33333333333331</v>
          </cell>
          <cell r="AF180">
            <v>15</v>
          </cell>
          <cell r="AG180">
            <v>15</v>
          </cell>
          <cell r="AH180">
            <v>0</v>
          </cell>
          <cell r="AK180">
            <v>3500</v>
          </cell>
          <cell r="AO180">
            <v>644</v>
          </cell>
          <cell r="AP180">
            <v>156</v>
          </cell>
          <cell r="AQ180">
            <v>20.261173184357546</v>
          </cell>
          <cell r="AR180">
            <v>33.072160148975826</v>
          </cell>
        </row>
        <row r="181">
          <cell r="F181">
            <v>684.2</v>
          </cell>
          <cell r="P181">
            <v>835.62</v>
          </cell>
          <cell r="Q181">
            <v>0</v>
          </cell>
          <cell r="R181">
            <v>0</v>
          </cell>
          <cell r="S181">
            <v>1895.42</v>
          </cell>
          <cell r="T181">
            <v>644.3785272727273</v>
          </cell>
          <cell r="U181">
            <v>670.49601818181827</v>
          </cell>
          <cell r="V181">
            <v>0</v>
          </cell>
          <cell r="W181">
            <v>0</v>
          </cell>
          <cell r="X181">
            <v>640.75</v>
          </cell>
          <cell r="Y181">
            <v>52</v>
          </cell>
          <cell r="AA181">
            <v>0</v>
          </cell>
          <cell r="AB181">
            <v>0</v>
          </cell>
          <cell r="AC181">
            <v>534.76</v>
          </cell>
          <cell r="AF181">
            <v>1724.76</v>
          </cell>
          <cell r="AG181">
            <v>1494</v>
          </cell>
          <cell r="AH181">
            <v>230.75999999999996</v>
          </cell>
          <cell r="AK181">
            <v>6562.75</v>
          </cell>
          <cell r="AO181">
            <v>378</v>
          </cell>
          <cell r="AP181">
            <v>513</v>
          </cell>
          <cell r="AQ181">
            <v>1046.6199999999999</v>
          </cell>
          <cell r="AR181">
            <v>2020.3118181818186</v>
          </cell>
        </row>
        <row r="182">
          <cell r="F182">
            <v>0</v>
          </cell>
          <cell r="G182">
            <v>0</v>
          </cell>
          <cell r="H182">
            <v>0</v>
          </cell>
          <cell r="P182">
            <v>196</v>
          </cell>
          <cell r="Q182">
            <v>0</v>
          </cell>
          <cell r="R182">
            <v>0</v>
          </cell>
          <cell r="S182">
            <v>580.5454545454545</v>
          </cell>
          <cell r="T182">
            <v>0</v>
          </cell>
          <cell r="U182">
            <v>0</v>
          </cell>
          <cell r="V182">
            <v>0</v>
          </cell>
          <cell r="W182">
            <v>0</v>
          </cell>
          <cell r="X182">
            <v>270.36363636363637</v>
          </cell>
          <cell r="Y182">
            <v>200</v>
          </cell>
          <cell r="Z182">
            <v>70.363636363636374</v>
          </cell>
          <cell r="AA182">
            <v>0</v>
          </cell>
          <cell r="AB182">
            <v>0</v>
          </cell>
          <cell r="AC182">
            <v>179.90909090909091</v>
          </cell>
          <cell r="AF182">
            <v>297.72727272727275</v>
          </cell>
          <cell r="AG182">
            <v>298</v>
          </cell>
          <cell r="AH182">
            <v>-0.27272727272728048</v>
          </cell>
        </row>
        <row r="183">
          <cell r="F183">
            <v>37</v>
          </cell>
          <cell r="P183">
            <v>62</v>
          </cell>
          <cell r="Q183">
            <v>0</v>
          </cell>
          <cell r="R183">
            <v>0</v>
          </cell>
          <cell r="S183">
            <v>91</v>
          </cell>
          <cell r="T183">
            <v>10</v>
          </cell>
          <cell r="U183">
            <v>0</v>
          </cell>
          <cell r="V183">
            <v>0</v>
          </cell>
          <cell r="W183">
            <v>0</v>
          </cell>
          <cell r="X183">
            <v>206.66666666666666</v>
          </cell>
          <cell r="AA183">
            <v>0</v>
          </cell>
          <cell r="AB183">
            <v>0</v>
          </cell>
          <cell r="AC183">
            <v>13.333333333333334</v>
          </cell>
          <cell r="AF183">
            <v>10</v>
          </cell>
          <cell r="AG183">
            <v>9</v>
          </cell>
          <cell r="AH183">
            <v>1</v>
          </cell>
          <cell r="AK183">
            <v>-2005.1295454545448</v>
          </cell>
          <cell r="AO183">
            <v>160</v>
          </cell>
          <cell r="AP183">
            <v>86</v>
          </cell>
          <cell r="AQ183">
            <v>85.94410774410774</v>
          </cell>
          <cell r="AR183">
            <v>87.055892255892232</v>
          </cell>
        </row>
        <row r="184">
          <cell r="AO184" t="str">
            <v>ОЧИК.18.02.</v>
          </cell>
        </row>
        <row r="185">
          <cell r="P185" t="str">
            <v>ТЕЦ-6 ВСЬОГО</v>
          </cell>
          <cell r="Q185" t="str">
            <v>Е/Е</v>
          </cell>
          <cell r="R185" t="str">
            <v xml:space="preserve"> Т/Е</v>
          </cell>
          <cell r="U185" t="str">
            <v>АК КЕ ВСЬОГО</v>
          </cell>
          <cell r="V185" t="str">
            <v>Е/Е</v>
          </cell>
          <cell r="W185" t="str">
            <v xml:space="preserve"> Т/Е</v>
          </cell>
        </row>
        <row r="186">
          <cell r="F186">
            <v>12898</v>
          </cell>
          <cell r="P186">
            <v>461.99999999999989</v>
          </cell>
          <cell r="Q186">
            <v>233.6</v>
          </cell>
          <cell r="R186">
            <v>67</v>
          </cell>
          <cell r="S186">
            <v>-2490.3333333333335</v>
          </cell>
          <cell r="X186">
            <v>388.99999999999909</v>
          </cell>
          <cell r="AC186">
            <v>-29.333333333333883</v>
          </cell>
          <cell r="AF186">
            <v>2500.0666666666662</v>
          </cell>
          <cell r="AG186">
            <v>1381</v>
          </cell>
          <cell r="AH186">
            <v>1088.0666666666666</v>
          </cell>
          <cell r="AP186">
            <v>1507.2</v>
          </cell>
        </row>
        <row r="187">
          <cell r="F187" t="str">
            <v>АПАРАТ ВСЬОГО</v>
          </cell>
          <cell r="G187" t="str">
            <v>АПАРАТ ЕЛЕКТРО</v>
          </cell>
          <cell r="H187" t="str">
            <v>АПАРАТ ТЕПЛО</v>
          </cell>
          <cell r="P187" t="str">
            <v>ККМ</v>
          </cell>
          <cell r="Q187">
            <v>198.5</v>
          </cell>
          <cell r="R187">
            <v>163.30000000000001</v>
          </cell>
          <cell r="S187" t="str">
            <v>КТМ</v>
          </cell>
          <cell r="V187" t="str">
            <v>ТЕЦ-5 ВСЬОГО</v>
          </cell>
          <cell r="W187" t="str">
            <v>Е/Е</v>
          </cell>
          <cell r="X187" t="str">
            <v xml:space="preserve"> Т/Е</v>
          </cell>
          <cell r="Y187" t="str">
            <v>Е/Е</v>
          </cell>
          <cell r="Z187" t="str">
            <v xml:space="preserve"> Т/Е</v>
          </cell>
          <cell r="AA187" t="str">
            <v>ТЕЦ-6 ВСЬОГО</v>
          </cell>
          <cell r="AB187" t="str">
            <v>Е/Е</v>
          </cell>
          <cell r="AC187" t="str">
            <v xml:space="preserve"> Т/Е</v>
          </cell>
          <cell r="AD187" t="str">
            <v>Е/Е</v>
          </cell>
          <cell r="AE187" t="str">
            <v xml:space="preserve"> Т/Е</v>
          </cell>
          <cell r="AF187" t="str">
            <v>Е/Е</v>
          </cell>
          <cell r="AG187" t="str">
            <v xml:space="preserve"> Т/Е</v>
          </cell>
          <cell r="AK187" t="str">
            <v>АК КЕ ВСЬОГО</v>
          </cell>
          <cell r="AL187" t="str">
            <v>Е/Е</v>
          </cell>
          <cell r="AM187" t="str">
            <v xml:space="preserve"> Т/Е</v>
          </cell>
          <cell r="AO187" t="str">
            <v>ОЧИК.18.02.</v>
          </cell>
          <cell r="AP187" t="str">
            <v>СТАНЦІІ ТЕПЛОВІ</v>
          </cell>
          <cell r="AQ187" t="str">
            <v>МЕРЕЖІ ЕЛЕКТРО</v>
          </cell>
          <cell r="AR187" t="str">
            <v>МЕРЕЖІ ТЕПЛОВІ</v>
          </cell>
        </row>
        <row r="188">
          <cell r="Q188">
            <v>301.2</v>
          </cell>
          <cell r="R188">
            <v>115.6</v>
          </cell>
        </row>
        <row r="189">
          <cell r="Q189">
            <v>102.69999999999999</v>
          </cell>
          <cell r="R189">
            <v>-47.700000000000017</v>
          </cell>
        </row>
        <row r="190">
          <cell r="F190" t="str">
            <v>АПАРАТ ВСЬОГО</v>
          </cell>
          <cell r="G190" t="str">
            <v>АПАРАТ ЕЛЕКТРО</v>
          </cell>
          <cell r="H190" t="str">
            <v>АПАРАТ ТЕПЛО</v>
          </cell>
          <cell r="P190" t="str">
            <v>ККМ</v>
          </cell>
          <cell r="Q190" t="e">
            <v>#REF!</v>
          </cell>
          <cell r="R190" t="e">
            <v>#REF!</v>
          </cell>
          <cell r="S190" t="str">
            <v>КТМ</v>
          </cell>
          <cell r="V190">
            <v>58.7</v>
          </cell>
          <cell r="X190" t="str">
            <v>ТЕЦ-5 ВСЬОГО</v>
          </cell>
          <cell r="Y190" t="str">
            <v>Е/Е</v>
          </cell>
          <cell r="Z190" t="str">
            <v xml:space="preserve"> Т/Е</v>
          </cell>
          <cell r="AA190">
            <v>55</v>
          </cell>
          <cell r="AC190" t="str">
            <v>ТЕЦ-6 ВСЬОГО</v>
          </cell>
          <cell r="AF190" t="str">
            <v>Е/Е</v>
          </cell>
          <cell r="AG190" t="str">
            <v xml:space="preserve"> Т/Е</v>
          </cell>
          <cell r="AK190" t="str">
            <v>АК КЕ ВСЬОГО</v>
          </cell>
          <cell r="AL190" t="str">
            <v>Е/Е</v>
          </cell>
          <cell r="AM190" t="str">
            <v xml:space="preserve"> Т/Е</v>
          </cell>
          <cell r="AO190" t="str">
            <v>СТАНЦІї ЕЛЕКТРО</v>
          </cell>
          <cell r="AP190" t="str">
            <v>СТАНЦІІ ТЕПЛОВІ</v>
          </cell>
          <cell r="AQ190" t="str">
            <v>МЕРЕЖІ ЕЛЕКТРО</v>
          </cell>
          <cell r="AR190" t="str">
            <v>МЕРЕЖІ ТЕПЛОВІ</v>
          </cell>
        </row>
        <row r="191">
          <cell r="Q191" t="e">
            <v>#REF!</v>
          </cell>
          <cell r="R191" t="e">
            <v>#REF!</v>
          </cell>
          <cell r="S191">
            <v>12.9</v>
          </cell>
          <cell r="V191">
            <v>67.3</v>
          </cell>
          <cell r="X191">
            <v>73.5</v>
          </cell>
          <cell r="AA191">
            <v>63</v>
          </cell>
          <cell r="AC191">
            <v>61.7</v>
          </cell>
          <cell r="AK191">
            <v>143.20000000000002</v>
          </cell>
          <cell r="AO191">
            <v>252.49999999999997</v>
          </cell>
        </row>
        <row r="192">
          <cell r="P192">
            <v>0</v>
          </cell>
          <cell r="Q192" t="e">
            <v>#REF!</v>
          </cell>
          <cell r="R192" t="e">
            <v>#REF!</v>
          </cell>
          <cell r="S192">
            <v>0</v>
          </cell>
          <cell r="V192" t="e">
            <v>#REF!</v>
          </cell>
          <cell r="W192" t="e">
            <v>#REF!</v>
          </cell>
          <cell r="X192">
            <v>0</v>
          </cell>
          <cell r="AA192">
            <v>0</v>
          </cell>
          <cell r="AC192">
            <v>0</v>
          </cell>
          <cell r="AO192">
            <v>66</v>
          </cell>
        </row>
        <row r="193">
          <cell r="P193">
            <v>0</v>
          </cell>
          <cell r="S193">
            <v>6.4</v>
          </cell>
          <cell r="V193">
            <v>192.5</v>
          </cell>
          <cell r="X193">
            <v>65.3</v>
          </cell>
          <cell r="AA193">
            <v>192.5</v>
          </cell>
          <cell r="AC193">
            <v>58</v>
          </cell>
          <cell r="AK193">
            <v>129.69999999999999</v>
          </cell>
          <cell r="AO193">
            <v>221.49122807017542</v>
          </cell>
        </row>
        <row r="194">
          <cell r="S194">
            <v>7.3</v>
          </cell>
          <cell r="V194">
            <v>11300</v>
          </cell>
          <cell r="X194">
            <v>74.7</v>
          </cell>
          <cell r="AA194">
            <v>10588</v>
          </cell>
          <cell r="AC194">
            <v>66.5</v>
          </cell>
          <cell r="AK194">
            <v>148.5</v>
          </cell>
          <cell r="AO194">
            <v>252.49999999999997</v>
          </cell>
        </row>
        <row r="195">
          <cell r="P195">
            <v>0</v>
          </cell>
          <cell r="S195">
            <v>0</v>
          </cell>
          <cell r="X195">
            <v>0</v>
          </cell>
          <cell r="AC195">
            <v>0</v>
          </cell>
          <cell r="AK195">
            <v>24063</v>
          </cell>
          <cell r="AO195">
            <v>66</v>
          </cell>
        </row>
        <row r="196">
          <cell r="P196">
            <v>0</v>
          </cell>
          <cell r="S196">
            <v>192.5</v>
          </cell>
          <cell r="V196">
            <v>0</v>
          </cell>
          <cell r="X196">
            <v>192.5</v>
          </cell>
          <cell r="AA196">
            <v>0</v>
          </cell>
          <cell r="AC196">
            <v>192.5</v>
          </cell>
          <cell r="AK196">
            <v>192.5</v>
          </cell>
          <cell r="AO196">
            <v>0</v>
          </cell>
        </row>
        <row r="197">
          <cell r="S197">
            <v>1232</v>
          </cell>
          <cell r="V197">
            <v>0</v>
          </cell>
          <cell r="X197">
            <v>12570</v>
          </cell>
          <cell r="AA197">
            <v>0</v>
          </cell>
          <cell r="AC197">
            <v>11165</v>
          </cell>
          <cell r="AK197">
            <v>24967</v>
          </cell>
          <cell r="AO197">
            <v>0</v>
          </cell>
        </row>
        <row r="198">
          <cell r="V198">
            <v>82.5</v>
          </cell>
          <cell r="X198">
            <v>82.5</v>
          </cell>
          <cell r="Y198">
            <v>1507.2</v>
          </cell>
          <cell r="AA198">
            <v>82.5</v>
          </cell>
          <cell r="AC198">
            <v>82.5</v>
          </cell>
          <cell r="AK198">
            <v>24967</v>
          </cell>
        </row>
        <row r="199">
          <cell r="V199">
            <v>0</v>
          </cell>
          <cell r="X199">
            <v>0</v>
          </cell>
          <cell r="AA199">
            <v>0</v>
          </cell>
          <cell r="AC199">
            <v>0</v>
          </cell>
          <cell r="AK199">
            <v>0</v>
          </cell>
        </row>
        <row r="200">
          <cell r="S200">
            <v>0</v>
          </cell>
          <cell r="V200">
            <v>0</v>
          </cell>
          <cell r="X200">
            <v>0</v>
          </cell>
          <cell r="AA200">
            <v>0</v>
          </cell>
          <cell r="AC200">
            <v>0</v>
          </cell>
          <cell r="AK200">
            <v>0</v>
          </cell>
        </row>
        <row r="201">
          <cell r="X201">
            <v>82.5</v>
          </cell>
          <cell r="AC201">
            <v>82.5</v>
          </cell>
        </row>
        <row r="202">
          <cell r="V202">
            <v>0</v>
          </cell>
          <cell r="X202">
            <v>0</v>
          </cell>
          <cell r="AA202">
            <v>0</v>
          </cell>
          <cell r="AC202">
            <v>0</v>
          </cell>
          <cell r="AK202">
            <v>0</v>
          </cell>
          <cell r="AO202">
            <v>75.839416058394164</v>
          </cell>
        </row>
        <row r="203">
          <cell r="S203">
            <v>0</v>
          </cell>
          <cell r="V203">
            <v>0</v>
          </cell>
          <cell r="X203">
            <v>0</v>
          </cell>
          <cell r="AA203">
            <v>0</v>
          </cell>
          <cell r="AC203">
            <v>0</v>
          </cell>
          <cell r="AK203">
            <v>0</v>
          </cell>
          <cell r="AO203">
            <v>103.9</v>
          </cell>
        </row>
        <row r="204">
          <cell r="F204">
            <v>75</v>
          </cell>
          <cell r="P204">
            <v>75</v>
          </cell>
          <cell r="AO204" t="e">
            <v>#DIV/0!</v>
          </cell>
          <cell r="AR204">
            <v>75</v>
          </cell>
        </row>
        <row r="205">
          <cell r="S205">
            <v>385</v>
          </cell>
          <cell r="V205">
            <v>385</v>
          </cell>
          <cell r="X205">
            <v>0</v>
          </cell>
          <cell r="AA205">
            <v>385</v>
          </cell>
          <cell r="AC205">
            <v>0</v>
          </cell>
          <cell r="AK205">
            <v>0</v>
          </cell>
          <cell r="AO205">
            <v>75.839416058394164</v>
          </cell>
        </row>
        <row r="206">
          <cell r="S206">
            <v>0</v>
          </cell>
          <cell r="V206">
            <v>0</v>
          </cell>
          <cell r="X206">
            <v>0</v>
          </cell>
          <cell r="AA206">
            <v>0</v>
          </cell>
          <cell r="AC206">
            <v>0</v>
          </cell>
          <cell r="AK206">
            <v>0</v>
          </cell>
          <cell r="AO206">
            <v>103.9</v>
          </cell>
        </row>
        <row r="207">
          <cell r="F207">
            <v>75</v>
          </cell>
          <cell r="P207">
            <v>75</v>
          </cell>
          <cell r="AK207">
            <v>0</v>
          </cell>
          <cell r="AO207" t="e">
            <v>#DIV/0!</v>
          </cell>
          <cell r="AR207">
            <v>75</v>
          </cell>
        </row>
        <row r="208">
          <cell r="S208">
            <v>385</v>
          </cell>
          <cell r="V208">
            <v>67.3</v>
          </cell>
          <cell r="W208">
            <v>54.6</v>
          </cell>
          <cell r="X208">
            <v>385</v>
          </cell>
          <cell r="Y208">
            <v>52.8</v>
          </cell>
          <cell r="Z208">
            <v>20.700000000000003</v>
          </cell>
          <cell r="AA208">
            <v>63</v>
          </cell>
          <cell r="AB208">
            <v>50</v>
          </cell>
          <cell r="AC208">
            <v>385</v>
          </cell>
          <cell r="AD208">
            <v>43.9</v>
          </cell>
          <cell r="AE208">
            <v>17.8</v>
          </cell>
          <cell r="AK208">
            <v>385</v>
          </cell>
          <cell r="AL208">
            <v>104.6</v>
          </cell>
          <cell r="AM208">
            <v>38.599999999999994</v>
          </cell>
          <cell r="AO208">
            <v>195.28</v>
          </cell>
          <cell r="AP208">
            <v>74.900000000000006</v>
          </cell>
          <cell r="AQ208">
            <v>281.5</v>
          </cell>
        </row>
        <row r="209">
          <cell r="S209">
            <v>0</v>
          </cell>
          <cell r="V209">
            <v>11300</v>
          </cell>
          <cell r="W209">
            <v>9168</v>
          </cell>
          <cell r="X209">
            <v>0</v>
          </cell>
          <cell r="Y209">
            <v>2132</v>
          </cell>
          <cell r="Z209">
            <v>3481</v>
          </cell>
          <cell r="AA209">
            <v>10588</v>
          </cell>
          <cell r="AB209">
            <v>8403</v>
          </cell>
          <cell r="AC209">
            <v>0</v>
          </cell>
          <cell r="AD209">
            <v>7369</v>
          </cell>
          <cell r="AE209">
            <v>2988</v>
          </cell>
          <cell r="AK209">
            <v>0</v>
          </cell>
          <cell r="AL209">
            <v>17571</v>
          </cell>
          <cell r="AM209">
            <v>6492</v>
          </cell>
          <cell r="AO209">
            <v>14810</v>
          </cell>
          <cell r="AP209">
            <v>3112.427048260382</v>
          </cell>
          <cell r="AQ209">
            <v>11697.572951739618</v>
          </cell>
        </row>
        <row r="210">
          <cell r="S210">
            <v>168.6</v>
          </cell>
          <cell r="V210">
            <v>167.9</v>
          </cell>
          <cell r="W210">
            <v>167.91</v>
          </cell>
          <cell r="X210">
            <v>167.87</v>
          </cell>
          <cell r="Y210">
            <v>168.14</v>
          </cell>
          <cell r="Z210">
            <v>168.16</v>
          </cell>
          <cell r="AA210">
            <v>168.06</v>
          </cell>
          <cell r="AB210">
            <v>168.06</v>
          </cell>
          <cell r="AC210">
            <v>168.08</v>
          </cell>
          <cell r="AD210">
            <v>167.86</v>
          </cell>
          <cell r="AE210">
            <v>167.87</v>
          </cell>
          <cell r="AK210">
            <v>0</v>
          </cell>
          <cell r="AL210">
            <v>167.98</v>
          </cell>
          <cell r="AM210">
            <v>168.19</v>
          </cell>
          <cell r="AO210">
            <v>41.55</v>
          </cell>
          <cell r="AP210">
            <v>41.55</v>
          </cell>
          <cell r="AQ210">
            <v>41.55</v>
          </cell>
          <cell r="AR210">
            <v>0</v>
          </cell>
        </row>
        <row r="211">
          <cell r="S211">
            <v>7.3</v>
          </cell>
          <cell r="X211">
            <v>74.7</v>
          </cell>
          <cell r="Y211">
            <v>55.2</v>
          </cell>
          <cell r="Z211">
            <v>19.5</v>
          </cell>
          <cell r="AC211">
            <v>66.5</v>
          </cell>
          <cell r="AD211">
            <v>40.9</v>
          </cell>
          <cell r="AE211">
            <v>25.6</v>
          </cell>
          <cell r="AK211">
            <v>148.5</v>
          </cell>
          <cell r="AL211">
            <v>96.1</v>
          </cell>
          <cell r="AM211">
            <v>52.4</v>
          </cell>
          <cell r="AO211">
            <v>356.4</v>
          </cell>
          <cell r="AP211">
            <v>74.900000000000006</v>
          </cell>
          <cell r="AQ211">
            <v>281.5</v>
          </cell>
        </row>
        <row r="212">
          <cell r="S212">
            <v>1232</v>
          </cell>
          <cell r="V212">
            <v>11300</v>
          </cell>
          <cell r="X212">
            <v>12570</v>
          </cell>
          <cell r="Y212">
            <v>9289</v>
          </cell>
          <cell r="Z212">
            <v>3281</v>
          </cell>
          <cell r="AA212">
            <v>3281</v>
          </cell>
          <cell r="AC212">
            <v>11165</v>
          </cell>
          <cell r="AD212">
            <v>6867</v>
          </cell>
          <cell r="AE212">
            <v>4298</v>
          </cell>
          <cell r="AK212">
            <v>24967</v>
          </cell>
          <cell r="AL212">
            <v>16156</v>
          </cell>
          <cell r="AM212">
            <v>8811</v>
          </cell>
          <cell r="AO212">
            <v>14810</v>
          </cell>
          <cell r="AP212">
            <v>3112.427048260382</v>
          </cell>
          <cell r="AQ212">
            <v>11697.572951739618</v>
          </cell>
        </row>
        <row r="213">
          <cell r="S213">
            <v>168.77</v>
          </cell>
          <cell r="X213">
            <v>168.27</v>
          </cell>
          <cell r="Y213">
            <v>168.28</v>
          </cell>
          <cell r="Z213">
            <v>168.26</v>
          </cell>
          <cell r="AC213">
            <v>167.89</v>
          </cell>
          <cell r="AD213">
            <v>167.9</v>
          </cell>
          <cell r="AE213">
            <v>167.89</v>
          </cell>
          <cell r="AK213">
            <v>168.13</v>
          </cell>
          <cell r="AL213">
            <v>168.12</v>
          </cell>
          <cell r="AM213">
            <v>168.15</v>
          </cell>
          <cell r="AO213">
            <v>41.55</v>
          </cell>
          <cell r="AP213">
            <v>41.55</v>
          </cell>
          <cell r="AQ213">
            <v>41.55</v>
          </cell>
          <cell r="AR213">
            <v>0</v>
          </cell>
        </row>
        <row r="214">
          <cell r="AM214">
            <v>0</v>
          </cell>
          <cell r="AO214">
            <v>52</v>
          </cell>
          <cell r="AP214">
            <v>52</v>
          </cell>
        </row>
        <row r="215">
          <cell r="X215">
            <v>12570</v>
          </cell>
          <cell r="AC215">
            <v>11165</v>
          </cell>
          <cell r="AK215">
            <v>24967</v>
          </cell>
          <cell r="AL215">
            <v>16156</v>
          </cell>
          <cell r="AM215">
            <v>8811</v>
          </cell>
          <cell r="AO215">
            <v>14862</v>
          </cell>
          <cell r="AP215">
            <v>3164.427048260382</v>
          </cell>
          <cell r="AQ215">
            <v>11697.572951739618</v>
          </cell>
        </row>
        <row r="223">
          <cell r="AP223">
            <v>1507.2</v>
          </cell>
        </row>
        <row r="226">
          <cell r="AP226">
            <v>1507.2</v>
          </cell>
        </row>
        <row r="227">
          <cell r="S227" t="str">
            <v>ТИС.ГРН.</v>
          </cell>
        </row>
        <row r="228">
          <cell r="P228" t="str">
            <v>ТЕЦ-6 ВСЬОГО</v>
          </cell>
          <cell r="Q228" t="str">
            <v>Е/Е</v>
          </cell>
          <cell r="R228" t="str">
            <v xml:space="preserve"> Т/Е</v>
          </cell>
          <cell r="S228" t="str">
            <v xml:space="preserve">ДОП.ВИР. </v>
          </cell>
          <cell r="T228" t="str">
            <v>ДОП.ВИР. СТ.ОРГ.</v>
          </cell>
          <cell r="U228" t="str">
            <v>АК КЕ ВСЬОГО</v>
          </cell>
          <cell r="V228" t="str">
            <v>Е/Е</v>
          </cell>
          <cell r="W228" t="str">
            <v xml:space="preserve"> Т/Е</v>
          </cell>
          <cell r="X228" t="str">
            <v>СТАНЦІї ЕЛЕКТРО</v>
          </cell>
          <cell r="Y228" t="str">
            <v>СТАНЦІІ ТЕПЛОВІ</v>
          </cell>
          <cell r="Z228" t="str">
            <v>МЕРЕЖІ ЕЛЕКТРО</v>
          </cell>
          <cell r="AA228" t="str">
            <v>МЕРЕЖІ ТЕПЛОВІ</v>
          </cell>
        </row>
        <row r="231">
          <cell r="P231" t="e">
            <v>#REF!</v>
          </cell>
          <cell r="Q231" t="e">
            <v>#REF!</v>
          </cell>
          <cell r="R231" t="e">
            <v>#REF!</v>
          </cell>
          <cell r="S231" t="e">
            <v>#REF!</v>
          </cell>
          <cell r="T231">
            <v>1129</v>
          </cell>
          <cell r="U231" t="e">
            <v>#REF!</v>
          </cell>
          <cell r="V231" t="e">
            <v>#REF!</v>
          </cell>
          <cell r="W231" t="e">
            <v>#REF!</v>
          </cell>
        </row>
        <row r="232">
          <cell r="P232" t="e">
            <v>#REF!</v>
          </cell>
          <cell r="Q232" t="e">
            <v>#REF!</v>
          </cell>
          <cell r="R232" t="e">
            <v>#REF!</v>
          </cell>
          <cell r="S232" t="e">
            <v>#REF!</v>
          </cell>
          <cell r="T232">
            <v>117</v>
          </cell>
          <cell r="U232" t="e">
            <v>#REF!</v>
          </cell>
          <cell r="V232" t="e">
            <v>#REF!</v>
          </cell>
        </row>
        <row r="233">
          <cell r="P233" t="e">
            <v>#REF!</v>
          </cell>
          <cell r="V233" t="e">
            <v>#REF!</v>
          </cell>
        </row>
        <row r="234">
          <cell r="P234" t="e">
            <v>#REF!</v>
          </cell>
          <cell r="Q234" t="e">
            <v>#REF!</v>
          </cell>
          <cell r="R234" t="e">
            <v>#REF!</v>
          </cell>
          <cell r="S234" t="e">
            <v>#REF!</v>
          </cell>
          <cell r="T234">
            <v>1012</v>
          </cell>
          <cell r="U234" t="e">
            <v>#REF!</v>
          </cell>
          <cell r="V234" t="e">
            <v>#REF!</v>
          </cell>
        </row>
        <row r="235">
          <cell r="P235" t="e">
            <v>#REF!</v>
          </cell>
          <cell r="S235" t="e">
            <v>#REF!</v>
          </cell>
          <cell r="U235" t="e">
            <v>#REF!</v>
          </cell>
          <cell r="V235" t="e">
            <v>#REF!</v>
          </cell>
        </row>
        <row r="236">
          <cell r="P236" t="e">
            <v>#REF!</v>
          </cell>
          <cell r="Q236" t="e">
            <v>#REF!</v>
          </cell>
          <cell r="R236" t="e">
            <v>#REF!</v>
          </cell>
          <cell r="S236" t="e">
            <v>#REF!</v>
          </cell>
          <cell r="T236">
            <v>0</v>
          </cell>
          <cell r="U236" t="e">
            <v>#REF!</v>
          </cell>
          <cell r="V236" t="e">
            <v>#REF!</v>
          </cell>
        </row>
        <row r="237">
          <cell r="P237" t="e">
            <v>#REF!</v>
          </cell>
          <cell r="S237">
            <v>0</v>
          </cell>
          <cell r="U237" t="e">
            <v>#REF!</v>
          </cell>
          <cell r="V237" t="e">
            <v>#REF!</v>
          </cell>
        </row>
        <row r="238">
          <cell r="P238" t="e">
            <v>#REF!</v>
          </cell>
          <cell r="S238" t="e">
            <v>#REF!</v>
          </cell>
          <cell r="U238" t="e">
            <v>#REF!</v>
          </cell>
          <cell r="V238" t="e">
            <v>#REF!</v>
          </cell>
          <cell r="X238">
            <v>6</v>
          </cell>
          <cell r="Y238">
            <v>6</v>
          </cell>
          <cell r="Z238">
            <v>12</v>
          </cell>
          <cell r="AG238" t="str">
            <v xml:space="preserve">         Затверджую</v>
          </cell>
        </row>
        <row r="239">
          <cell r="U239">
            <v>0</v>
          </cell>
          <cell r="V239">
            <v>0</v>
          </cell>
          <cell r="AG239" t="str">
            <v xml:space="preserve"> Голова правління </v>
          </cell>
        </row>
        <row r="240">
          <cell r="U240">
            <v>2421.3333333333335</v>
          </cell>
          <cell r="V240">
            <v>2421.3333333333335</v>
          </cell>
          <cell r="AG240" t="str">
            <v xml:space="preserve">                        І.В.Плачков</v>
          </cell>
        </row>
        <row r="241">
          <cell r="P241" t="e">
            <v>#REF!</v>
          </cell>
          <cell r="Q241" t="e">
            <v>#REF!</v>
          </cell>
          <cell r="R241" t="e">
            <v>#REF!</v>
          </cell>
          <cell r="S241" t="e">
            <v>#REF!</v>
          </cell>
          <cell r="U241" t="e">
            <v>#REF!</v>
          </cell>
          <cell r="V241" t="e">
            <v>#REF!</v>
          </cell>
          <cell r="AG241" t="str">
            <v xml:space="preserve">         Затверджую</v>
          </cell>
        </row>
        <row r="242">
          <cell r="V242">
            <v>0</v>
          </cell>
          <cell r="AG242" t="str">
            <v xml:space="preserve"> Голова правління </v>
          </cell>
        </row>
        <row r="243">
          <cell r="P243" t="e">
            <v>#REF!</v>
          </cell>
          <cell r="S243" t="e">
            <v>#REF!</v>
          </cell>
          <cell r="U243" t="e">
            <v>#REF!</v>
          </cell>
          <cell r="V243" t="e">
            <v>#REF!</v>
          </cell>
          <cell r="AG243" t="str">
            <v xml:space="preserve">                        І.В.Плачков</v>
          </cell>
        </row>
        <row r="244">
          <cell r="P244">
            <v>0</v>
          </cell>
          <cell r="S244">
            <v>0</v>
          </cell>
          <cell r="U244">
            <v>0</v>
          </cell>
          <cell r="V244">
            <v>40</v>
          </cell>
          <cell r="AG244" t="str">
            <v xml:space="preserve">   "_____" ________2000 р.</v>
          </cell>
        </row>
        <row r="245">
          <cell r="F245" t="str">
            <v>РОЗРАХУНОК ФІНАНСОВИХ ПОТОКІВ НА   березень  2000 року</v>
          </cell>
          <cell r="V245">
            <v>0</v>
          </cell>
        </row>
        <row r="246">
          <cell r="F246" t="str">
            <v>ПО ФІЛІАЛАХ АК КИЇВЕНЕРГО</v>
          </cell>
          <cell r="P246">
            <v>0</v>
          </cell>
          <cell r="Q246">
            <v>0</v>
          </cell>
          <cell r="R246">
            <v>0</v>
          </cell>
          <cell r="S246">
            <v>0</v>
          </cell>
          <cell r="T246">
            <v>0</v>
          </cell>
          <cell r="U246">
            <v>0</v>
          </cell>
          <cell r="V246">
            <v>0</v>
          </cell>
        </row>
        <row r="247">
          <cell r="P247">
            <v>0</v>
          </cell>
          <cell r="Q247">
            <v>0</v>
          </cell>
          <cell r="R247">
            <v>0</v>
          </cell>
          <cell r="S247">
            <v>0</v>
          </cell>
          <cell r="T247">
            <v>0</v>
          </cell>
          <cell r="U247">
            <v>0</v>
          </cell>
          <cell r="V247">
            <v>0</v>
          </cell>
        </row>
        <row r="248">
          <cell r="F248" t="str">
            <v>РОЗРАХУНОК ФІНАНСОВИХ ПОТОКІВ НА   березень  2000 року</v>
          </cell>
          <cell r="V248">
            <v>0</v>
          </cell>
        </row>
        <row r="249">
          <cell r="F249" t="str">
            <v>ПО ФІЛІАЛАХ АК КИЇВЕНЕРГО</v>
          </cell>
          <cell r="P249" t="e">
            <v>#REF!</v>
          </cell>
          <cell r="S249">
            <v>0</v>
          </cell>
          <cell r="U249" t="e">
            <v>#REF!</v>
          </cell>
          <cell r="V249" t="e">
            <v>#REF!</v>
          </cell>
        </row>
        <row r="250">
          <cell r="P250" t="e">
            <v>#REF!</v>
          </cell>
          <cell r="S250">
            <v>0</v>
          </cell>
          <cell r="U250" t="e">
            <v>#REF!</v>
          </cell>
          <cell r="V250" t="e">
            <v>#REF!</v>
          </cell>
        </row>
        <row r="251">
          <cell r="V251">
            <v>0</v>
          </cell>
          <cell r="AK251" t="str">
            <v>тис.грн.</v>
          </cell>
        </row>
        <row r="252">
          <cell r="F252" t="str">
            <v>ВИКОН.ДИР.</v>
          </cell>
          <cell r="G252" t="str">
            <v>АПАРАТ ЕЛЕКТРО</v>
          </cell>
          <cell r="H252" t="str">
            <v>АПАРАТ ТЕПЛО</v>
          </cell>
          <cell r="P252" t="e">
            <v>#REF!</v>
          </cell>
          <cell r="Q252" t="e">
            <v>#REF!</v>
          </cell>
          <cell r="R252" t="e">
            <v>#REF!</v>
          </cell>
          <cell r="S252">
            <v>0</v>
          </cell>
          <cell r="T252">
            <v>0</v>
          </cell>
          <cell r="U252" t="e">
            <v>#REF!</v>
          </cell>
          <cell r="V252" t="e">
            <v>#REF!</v>
          </cell>
          <cell r="W252" t="str">
            <v>Е/Е</v>
          </cell>
          <cell r="X252" t="str">
            <v xml:space="preserve"> Т/Е</v>
          </cell>
          <cell r="Y252" t="str">
            <v>Е/Е</v>
          </cell>
          <cell r="Z252" t="str">
            <v xml:space="preserve"> Т/Е</v>
          </cell>
          <cell r="AA252" t="str">
            <v>ТЕЦ-6 ВСЬОГО</v>
          </cell>
          <cell r="AB252" t="str">
            <v>Е/Е</v>
          </cell>
          <cell r="AC252" t="str">
            <v xml:space="preserve"> Т/Е</v>
          </cell>
          <cell r="AD252" t="str">
            <v>Е/Е</v>
          </cell>
          <cell r="AE252" t="str">
            <v xml:space="preserve"> Т/Е</v>
          </cell>
          <cell r="AF252" t="str">
            <v>ТРМ ВСЬОГО</v>
          </cell>
          <cell r="AG252" t="str">
            <v>ТРМ  АК КЕ</v>
          </cell>
          <cell r="AH252" t="str">
            <v>ТРМ СТОР</v>
          </cell>
          <cell r="AK252" t="str">
            <v>АК КЕ осн.вир.</v>
          </cell>
          <cell r="AL252" t="str">
            <v>АК КЕ ВСЬОГО</v>
          </cell>
          <cell r="AM252" t="str">
            <v xml:space="preserve"> Т/Е</v>
          </cell>
          <cell r="AO252" t="str">
            <v>СТАНЦІї ЕЛЕКТРО</v>
          </cell>
          <cell r="AP252" t="str">
            <v>СТАНЦІІ ТЕПЛОВІ</v>
          </cell>
          <cell r="AQ252" t="str">
            <v>МЕРЕЖІ ЕЛЕКТРО</v>
          </cell>
          <cell r="AR252" t="str">
            <v>МЕРЕЖІ ТЕПЛОВІ</v>
          </cell>
        </row>
        <row r="253">
          <cell r="F253">
            <v>3652</v>
          </cell>
          <cell r="P253" t="e">
            <v>#REF!</v>
          </cell>
          <cell r="S253">
            <v>0</v>
          </cell>
          <cell r="U253" t="e">
            <v>#REF!</v>
          </cell>
          <cell r="V253" t="e">
            <v>#REF!</v>
          </cell>
          <cell r="X253">
            <v>3133.4075757575761</v>
          </cell>
          <cell r="AA253">
            <v>2709.5690909090908</v>
          </cell>
          <cell r="AC253">
            <v>2333.3751515151525</v>
          </cell>
          <cell r="AF253">
            <v>4466.8781818181815</v>
          </cell>
          <cell r="AG253">
            <v>3618.3</v>
          </cell>
          <cell r="AH253">
            <v>848.57818181818175</v>
          </cell>
          <cell r="AK253">
            <v>26332.719090909093</v>
          </cell>
        </row>
        <row r="254">
          <cell r="P254">
            <v>10</v>
          </cell>
          <cell r="U254">
            <v>202</v>
          </cell>
          <cell r="V254">
            <v>202</v>
          </cell>
          <cell r="AK254" t="str">
            <v>тис.грн.</v>
          </cell>
        </row>
        <row r="255">
          <cell r="F255" t="str">
            <v>ВИКОН.ДИР.</v>
          </cell>
          <cell r="G255" t="str">
            <v>АПАРАТ ЕЛЕКТРО</v>
          </cell>
          <cell r="H255" t="str">
            <v>АПАРАТ ТЕПЛО</v>
          </cell>
          <cell r="P255" t="str">
            <v>КМ</v>
          </cell>
          <cell r="Q255" t="str">
            <v>ТМ</v>
          </cell>
          <cell r="R255">
            <v>0</v>
          </cell>
          <cell r="S255" t="str">
            <v>КТМ</v>
          </cell>
          <cell r="T255" t="str">
            <v>ВИРОБН</v>
          </cell>
          <cell r="U255" t="str">
            <v>ПЕРЕД</v>
          </cell>
          <cell r="V255" t="e">
            <v>#REF!</v>
          </cell>
          <cell r="W255">
            <v>2024</v>
          </cell>
          <cell r="X255" t="str">
            <v>ТЕЦ-5 ВСЬОГО</v>
          </cell>
          <cell r="Y255" t="str">
            <v>Е/Е</v>
          </cell>
          <cell r="Z255" t="str">
            <v xml:space="preserve"> Т/Е</v>
          </cell>
          <cell r="AA255">
            <v>2709.5690909090908</v>
          </cell>
          <cell r="AB255">
            <v>1898</v>
          </cell>
          <cell r="AC255" t="str">
            <v>ТЕЦ-6 ВСЬОГО</v>
          </cell>
          <cell r="AD255">
            <v>1496</v>
          </cell>
          <cell r="AE255">
            <v>607.87515151515208</v>
          </cell>
          <cell r="AF255" t="str">
            <v>ТРМ ВСЬОГО</v>
          </cell>
          <cell r="AG255" t="str">
            <v>ТРМ  АК КЕ</v>
          </cell>
          <cell r="AH255" t="str">
            <v>ТРМ СТОР</v>
          </cell>
          <cell r="AK255" t="str">
            <v>АК КЕ осн.вир.</v>
          </cell>
          <cell r="AL255" t="str">
            <v>АК КЕ ВСЬОГО</v>
          </cell>
          <cell r="AM255" t="str">
            <v xml:space="preserve"> Т/Е</v>
          </cell>
          <cell r="AO255" t="str">
            <v>СТАНЦІї ЕЛЕКТРО</v>
          </cell>
          <cell r="AP255" t="str">
            <v>СТАНЦІІ ТЕПЛОВІ</v>
          </cell>
          <cell r="AQ255" t="str">
            <v>МЕРЕЖІ ЕЛЕКТРО</v>
          </cell>
          <cell r="AR255" t="str">
            <v>МЕРЕЖІ ТЕПЛОВІ</v>
          </cell>
        </row>
        <row r="256">
          <cell r="F256">
            <v>3421.2000000000007</v>
          </cell>
          <cell r="G256">
            <v>2114.6703910614524</v>
          </cell>
          <cell r="H256">
            <v>1932.3296089385476</v>
          </cell>
          <cell r="P256">
            <v>3642.12</v>
          </cell>
          <cell r="S256">
            <v>4914.9412121212117</v>
          </cell>
          <cell r="T256">
            <v>1750.1999999999996</v>
          </cell>
          <cell r="U256" t="e">
            <v>#REF!</v>
          </cell>
          <cell r="V256" t="e">
            <v>#REF!</v>
          </cell>
          <cell r="W256">
            <v>1364</v>
          </cell>
          <cell r="X256">
            <v>1941.8530303030293</v>
          </cell>
          <cell r="Y256">
            <v>1589</v>
          </cell>
          <cell r="Z256">
            <v>624.33333333333371</v>
          </cell>
          <cell r="AA256">
            <v>624</v>
          </cell>
          <cell r="AB256">
            <v>1140</v>
          </cell>
          <cell r="AC256">
            <v>1753.5509090909086</v>
          </cell>
          <cell r="AD256">
            <v>923</v>
          </cell>
          <cell r="AE256">
            <v>374.83333333333388</v>
          </cell>
          <cell r="AF256">
            <v>3698.0493939393937</v>
          </cell>
          <cell r="AG256">
            <v>3251.35</v>
          </cell>
          <cell r="AH256">
            <v>415.69939393939387</v>
          </cell>
          <cell r="AK256">
            <v>20774.514545454542</v>
          </cell>
          <cell r="AM256">
            <v>14890.138095238095</v>
          </cell>
        </row>
        <row r="257">
          <cell r="F257">
            <v>42326.804761904765</v>
          </cell>
          <cell r="P257" t="e">
            <v>#REF!</v>
          </cell>
          <cell r="Q257">
            <v>0</v>
          </cell>
          <cell r="R257">
            <v>0</v>
          </cell>
          <cell r="S257">
            <v>0</v>
          </cell>
          <cell r="T257">
            <v>0</v>
          </cell>
          <cell r="U257" t="e">
            <v>#REF!</v>
          </cell>
          <cell r="V257" t="e">
            <v>#REF!</v>
          </cell>
          <cell r="W257">
            <v>0</v>
          </cell>
          <cell r="X257">
            <v>0</v>
          </cell>
          <cell r="Y257">
            <v>0</v>
          </cell>
          <cell r="Z257">
            <v>0</v>
          </cell>
          <cell r="AA257">
            <v>18</v>
          </cell>
          <cell r="AB257">
            <v>0</v>
          </cell>
          <cell r="AC257">
            <v>0</v>
          </cell>
          <cell r="AD257">
            <v>0</v>
          </cell>
          <cell r="AE257">
            <v>0</v>
          </cell>
          <cell r="AF257">
            <v>0</v>
          </cell>
          <cell r="AG257">
            <v>0</v>
          </cell>
          <cell r="AH257">
            <v>0</v>
          </cell>
          <cell r="AK257">
            <v>42344.804761904765</v>
          </cell>
        </row>
        <row r="258">
          <cell r="F258">
            <v>12858.842857142858</v>
          </cell>
          <cell r="G258">
            <v>2573.3582491582492</v>
          </cell>
          <cell r="H258">
            <v>2947.8417508417506</v>
          </cell>
          <cell r="P258">
            <v>3642.12</v>
          </cell>
          <cell r="Q258">
            <v>0</v>
          </cell>
          <cell r="R258">
            <v>0</v>
          </cell>
          <cell r="S258">
            <v>4914.9412121212117</v>
          </cell>
          <cell r="T258">
            <v>2221.1818606060606</v>
          </cell>
          <cell r="U258">
            <v>2612.759351515152</v>
          </cell>
          <cell r="V258">
            <v>0</v>
          </cell>
          <cell r="W258">
            <v>0</v>
          </cell>
          <cell r="X258">
            <v>1941.8530303030293</v>
          </cell>
          <cell r="Y258">
            <v>1372</v>
          </cell>
          <cell r="Z258">
            <v>484.85303030302975</v>
          </cell>
          <cell r="AA258">
            <v>0</v>
          </cell>
          <cell r="AB258">
            <v>0</v>
          </cell>
          <cell r="AC258">
            <v>1753.5509090909086</v>
          </cell>
          <cell r="AF258">
            <v>3698.0493939393937</v>
          </cell>
          <cell r="AG258">
            <v>3251.35</v>
          </cell>
          <cell r="AH258">
            <v>415.69939393939387</v>
          </cell>
          <cell r="AK258">
            <v>58325.124675324674</v>
          </cell>
          <cell r="AM258">
            <v>45205.25</v>
          </cell>
        </row>
        <row r="259">
          <cell r="F259">
            <v>7317.3095238095229</v>
          </cell>
          <cell r="G259">
            <v>2277.3582491582492</v>
          </cell>
          <cell r="H259">
            <v>2559.6417508417508</v>
          </cell>
          <cell r="P259">
            <v>1403</v>
          </cell>
          <cell r="S259">
            <v>323.66666666666629</v>
          </cell>
          <cell r="T259">
            <v>1413.9233333333332</v>
          </cell>
          <cell r="U259">
            <v>1087.1433333333339</v>
          </cell>
          <cell r="V259" t="e">
            <v>#REF!</v>
          </cell>
          <cell r="X259">
            <v>474.66666666666572</v>
          </cell>
          <cell r="Y259">
            <v>691</v>
          </cell>
          <cell r="Z259">
            <v>244.46666666666613</v>
          </cell>
          <cell r="AC259">
            <v>-208.00000000000045</v>
          </cell>
          <cell r="AF259">
            <v>428.71666666666636</v>
          </cell>
          <cell r="AG259">
            <v>373.04999999999984</v>
          </cell>
          <cell r="AH259">
            <v>136.66666666666663</v>
          </cell>
          <cell r="AK259">
            <v>41034.460129870131</v>
          </cell>
          <cell r="AM259">
            <v>9679.4428571428543</v>
          </cell>
        </row>
        <row r="260">
          <cell r="F260">
            <v>39331.976190476191</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K260">
            <v>39331.976190476191</v>
          </cell>
        </row>
        <row r="261">
          <cell r="F261">
            <v>24967</v>
          </cell>
          <cell r="P261" t="e">
            <v>#REF!</v>
          </cell>
          <cell r="Q261" t="e">
            <v>#REF!</v>
          </cell>
          <cell r="R261" t="e">
            <v>#REF!</v>
          </cell>
          <cell r="S261">
            <v>0</v>
          </cell>
          <cell r="T261">
            <v>0</v>
          </cell>
          <cell r="U261" t="e">
            <v>#REF!</v>
          </cell>
          <cell r="V261" t="e">
            <v>#REF!</v>
          </cell>
          <cell r="AK261">
            <v>24967</v>
          </cell>
        </row>
        <row r="262">
          <cell r="F262">
            <v>4580</v>
          </cell>
          <cell r="P262" t="e">
            <v>#REF!</v>
          </cell>
          <cell r="Q262" t="e">
            <v>#REF!</v>
          </cell>
          <cell r="R262" t="e">
            <v>#REF!</v>
          </cell>
          <cell r="S262">
            <v>0</v>
          </cell>
          <cell r="T262">
            <v>16</v>
          </cell>
          <cell r="U262" t="e">
            <v>#REF!</v>
          </cell>
          <cell r="AK262">
            <v>4580</v>
          </cell>
        </row>
        <row r="263">
          <cell r="F263">
            <v>5868.9761904761908</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F263">
            <v>0</v>
          </cell>
          <cell r="AG263">
            <v>0</v>
          </cell>
          <cell r="AH263">
            <v>0</v>
          </cell>
          <cell r="AK263">
            <v>5868.9761904761908</v>
          </cell>
        </row>
        <row r="264">
          <cell r="F264">
            <v>347.33333333333331</v>
          </cell>
          <cell r="P264" t="e">
            <v>#REF!</v>
          </cell>
          <cell r="Q264" t="e">
            <v>#REF!</v>
          </cell>
          <cell r="R264" t="e">
            <v>#REF!</v>
          </cell>
          <cell r="S264">
            <v>0</v>
          </cell>
          <cell r="T264">
            <v>12</v>
          </cell>
          <cell r="U264" t="e">
            <v>#REF!</v>
          </cell>
          <cell r="V264" t="e">
            <v>#REF!</v>
          </cell>
          <cell r="AK264">
            <v>347.33333333333331</v>
          </cell>
        </row>
        <row r="265">
          <cell r="F265">
            <v>0</v>
          </cell>
          <cell r="P265" t="e">
            <v>#REF!</v>
          </cell>
          <cell r="Q265" t="e">
            <v>#REF!</v>
          </cell>
          <cell r="R265" t="e">
            <v>#REF!</v>
          </cell>
          <cell r="S265">
            <v>0</v>
          </cell>
          <cell r="U265">
            <v>0</v>
          </cell>
          <cell r="V265" t="e">
            <v>#REF!</v>
          </cell>
          <cell r="AK265">
            <v>0</v>
          </cell>
        </row>
        <row r="266">
          <cell r="F266">
            <v>1548.6428571428573</v>
          </cell>
          <cell r="P266">
            <v>0</v>
          </cell>
          <cell r="S266">
            <v>0</v>
          </cell>
          <cell r="V266">
            <v>0</v>
          </cell>
          <cell r="X266">
            <v>0</v>
          </cell>
          <cell r="AA266">
            <v>0</v>
          </cell>
          <cell r="AC266">
            <v>0</v>
          </cell>
          <cell r="AF266">
            <v>0</v>
          </cell>
          <cell r="AG266">
            <v>0</v>
          </cell>
          <cell r="AH266">
            <v>0</v>
          </cell>
          <cell r="AK266">
            <v>1548.6428571428573</v>
          </cell>
        </row>
        <row r="267">
          <cell r="F267">
            <v>3500</v>
          </cell>
          <cell r="AK267">
            <v>3500</v>
          </cell>
        </row>
        <row r="268">
          <cell r="F268">
            <v>0</v>
          </cell>
          <cell r="P268">
            <v>0</v>
          </cell>
          <cell r="S268">
            <v>0</v>
          </cell>
          <cell r="V268">
            <v>0</v>
          </cell>
          <cell r="X268">
            <v>0</v>
          </cell>
          <cell r="AA268">
            <v>18</v>
          </cell>
          <cell r="AC268">
            <v>0</v>
          </cell>
          <cell r="AF268">
            <v>0</v>
          </cell>
          <cell r="AG268">
            <v>0</v>
          </cell>
          <cell r="AH268">
            <v>0</v>
          </cell>
          <cell r="AK268">
            <v>0</v>
          </cell>
        </row>
        <row r="269">
          <cell r="F269">
            <v>473</v>
          </cell>
          <cell r="P269">
            <v>0</v>
          </cell>
          <cell r="Q269">
            <v>0</v>
          </cell>
          <cell r="R269">
            <v>0</v>
          </cell>
          <cell r="S269">
            <v>0</v>
          </cell>
          <cell r="T269">
            <v>0</v>
          </cell>
          <cell r="U269">
            <v>0</v>
          </cell>
          <cell r="V269">
            <v>2576.1318181818187</v>
          </cell>
          <cell r="W269">
            <v>0</v>
          </cell>
          <cell r="X269">
            <v>0</v>
          </cell>
          <cell r="Y269">
            <v>0</v>
          </cell>
          <cell r="Z269">
            <v>0</v>
          </cell>
          <cell r="AA269">
            <v>2727.5690909090908</v>
          </cell>
          <cell r="AB269">
            <v>0</v>
          </cell>
          <cell r="AC269">
            <v>0</v>
          </cell>
          <cell r="AD269">
            <v>0</v>
          </cell>
          <cell r="AE269">
            <v>0</v>
          </cell>
          <cell r="AF269">
            <v>0</v>
          </cell>
          <cell r="AG269">
            <v>0</v>
          </cell>
          <cell r="AH269">
            <v>0</v>
          </cell>
          <cell r="AK269">
            <v>473</v>
          </cell>
        </row>
        <row r="270">
          <cell r="F270">
            <v>3600</v>
          </cell>
          <cell r="P270">
            <v>1965.62</v>
          </cell>
          <cell r="Q270">
            <v>0</v>
          </cell>
          <cell r="R270">
            <v>0</v>
          </cell>
          <cell r="S270">
            <v>4127.5200000000004</v>
          </cell>
          <cell r="T270">
            <v>717.75479999999993</v>
          </cell>
          <cell r="U270">
            <v>735.76520000000005</v>
          </cell>
          <cell r="V270">
            <v>1973.95</v>
          </cell>
          <cell r="W270">
            <v>951</v>
          </cell>
          <cell r="X270">
            <v>222.13181818181818</v>
          </cell>
          <cell r="Y270">
            <v>0</v>
          </cell>
          <cell r="Z270">
            <v>0</v>
          </cell>
          <cell r="AA270">
            <v>623.99333333333334</v>
          </cell>
          <cell r="AB270">
            <v>314</v>
          </cell>
          <cell r="AC270">
            <v>80.902424242424232</v>
          </cell>
          <cell r="AD270">
            <v>293</v>
          </cell>
          <cell r="AE270">
            <v>120.37515151515153</v>
          </cell>
          <cell r="AF270">
            <v>3101.06</v>
          </cell>
          <cell r="AG270">
            <v>2417.3000000000002</v>
          </cell>
          <cell r="AH270">
            <v>690.76</v>
          </cell>
          <cell r="AK270">
            <v>3600</v>
          </cell>
        </row>
        <row r="271">
          <cell r="F271">
            <v>316</v>
          </cell>
          <cell r="G271">
            <v>203</v>
          </cell>
          <cell r="H271">
            <v>223</v>
          </cell>
          <cell r="P271">
            <v>0</v>
          </cell>
          <cell r="S271">
            <v>0</v>
          </cell>
          <cell r="T271">
            <v>707.75479999999993</v>
          </cell>
          <cell r="U271">
            <v>735.76520000000005</v>
          </cell>
          <cell r="V271">
            <v>721.95</v>
          </cell>
          <cell r="W271">
            <v>213</v>
          </cell>
          <cell r="X271">
            <v>0</v>
          </cell>
          <cell r="Y271">
            <v>295</v>
          </cell>
          <cell r="Z271">
            <v>116.2409090909091</v>
          </cell>
          <cell r="AA271">
            <v>597.66</v>
          </cell>
          <cell r="AB271">
            <v>303</v>
          </cell>
          <cell r="AC271">
            <v>0</v>
          </cell>
          <cell r="AD271">
            <v>284</v>
          </cell>
          <cell r="AE271">
            <v>116.0418181818182</v>
          </cell>
          <cell r="AF271">
            <v>0</v>
          </cell>
          <cell r="AG271">
            <v>0</v>
          </cell>
          <cell r="AH271">
            <v>0</v>
          </cell>
          <cell r="AK271">
            <v>316</v>
          </cell>
        </row>
        <row r="272">
          <cell r="F272">
            <v>42753.176190476195</v>
          </cell>
          <cell r="P272">
            <v>3642.12</v>
          </cell>
          <cell r="Q272">
            <v>0</v>
          </cell>
          <cell r="R272">
            <v>0</v>
          </cell>
          <cell r="S272">
            <v>4914.9412121212117</v>
          </cell>
          <cell r="T272">
            <v>0</v>
          </cell>
          <cell r="U272">
            <v>0</v>
          </cell>
          <cell r="V272">
            <v>0</v>
          </cell>
          <cell r="W272">
            <v>0</v>
          </cell>
          <cell r="X272">
            <v>1941.8530303030293</v>
          </cell>
          <cell r="Y272">
            <v>0</v>
          </cell>
          <cell r="Z272">
            <v>0</v>
          </cell>
          <cell r="AA272">
            <v>0</v>
          </cell>
          <cell r="AB272">
            <v>0</v>
          </cell>
          <cell r="AC272">
            <v>1753.5509090909086</v>
          </cell>
          <cell r="AD272">
            <v>9</v>
          </cell>
          <cell r="AE272">
            <v>4.3333333333333339</v>
          </cell>
          <cell r="AF272">
            <v>3698.0493939393937</v>
          </cell>
          <cell r="AG272">
            <v>3251.35</v>
          </cell>
          <cell r="AH272">
            <v>415.69939393939387</v>
          </cell>
          <cell r="AK272">
            <v>60106.490735930747</v>
          </cell>
        </row>
        <row r="273">
          <cell r="F273">
            <v>1594.2</v>
          </cell>
          <cell r="P273">
            <v>1933.62</v>
          </cell>
          <cell r="Q273">
            <v>0</v>
          </cell>
          <cell r="R273">
            <v>0</v>
          </cell>
          <cell r="S273">
            <v>3984.42</v>
          </cell>
          <cell r="T273">
            <v>654.3785272727273</v>
          </cell>
          <cell r="U273">
            <v>670.49601818181827</v>
          </cell>
          <cell r="V273">
            <v>0</v>
          </cell>
          <cell r="W273">
            <v>0</v>
          </cell>
          <cell r="X273">
            <v>1314.75</v>
          </cell>
          <cell r="Y273">
            <v>522</v>
          </cell>
          <cell r="Z273">
            <v>184.38636363636363</v>
          </cell>
          <cell r="AA273">
            <v>0</v>
          </cell>
          <cell r="AB273">
            <v>0</v>
          </cell>
          <cell r="AC273">
            <v>886.09333333333336</v>
          </cell>
          <cell r="AD273">
            <v>0</v>
          </cell>
          <cell r="AE273">
            <v>0</v>
          </cell>
          <cell r="AF273">
            <v>3163.81</v>
          </cell>
          <cell r="AG273">
            <v>2773.05</v>
          </cell>
          <cell r="AH273">
            <v>278.76</v>
          </cell>
          <cell r="AK273">
            <v>13910.893333333333</v>
          </cell>
        </row>
        <row r="274">
          <cell r="F274">
            <v>684.2</v>
          </cell>
          <cell r="G274">
            <v>296</v>
          </cell>
          <cell r="H274">
            <v>388.2</v>
          </cell>
          <cell r="P274">
            <v>955.62</v>
          </cell>
          <cell r="S274">
            <v>1895.42</v>
          </cell>
          <cell r="T274">
            <v>644.3785272727273</v>
          </cell>
          <cell r="U274">
            <v>670.49601818181827</v>
          </cell>
          <cell r="V274">
            <v>132</v>
          </cell>
          <cell r="X274">
            <v>640.75</v>
          </cell>
          <cell r="Y274">
            <v>274</v>
          </cell>
          <cell r="Z274">
            <v>96.386363636363626</v>
          </cell>
          <cell r="AA274">
            <v>100</v>
          </cell>
          <cell r="AC274">
            <v>534.76</v>
          </cell>
          <cell r="AF274">
            <v>1724.76</v>
          </cell>
          <cell r="AG274">
            <v>1494</v>
          </cell>
          <cell r="AH274">
            <v>230.75999999999996</v>
          </cell>
          <cell r="AK274">
            <v>6913.51</v>
          </cell>
        </row>
        <row r="275">
          <cell r="F275">
            <v>0</v>
          </cell>
          <cell r="P275">
            <v>0</v>
          </cell>
          <cell r="Q275">
            <v>0</v>
          </cell>
          <cell r="R275">
            <v>0</v>
          </cell>
          <cell r="S275">
            <v>10</v>
          </cell>
          <cell r="T275">
            <v>10</v>
          </cell>
          <cell r="U275">
            <v>0</v>
          </cell>
          <cell r="V275">
            <v>0</v>
          </cell>
          <cell r="W275">
            <v>0</v>
          </cell>
          <cell r="X275">
            <v>336</v>
          </cell>
          <cell r="Y275">
            <v>248</v>
          </cell>
          <cell r="Z275">
            <v>88</v>
          </cell>
          <cell r="AA275">
            <v>0</v>
          </cell>
          <cell r="AB275">
            <v>0</v>
          </cell>
          <cell r="AC275">
            <v>-0.66666666666666607</v>
          </cell>
          <cell r="AF275">
            <v>2</v>
          </cell>
          <cell r="AG275">
            <v>2</v>
          </cell>
          <cell r="AH275">
            <v>0</v>
          </cell>
          <cell r="AK275">
            <v>347.33333333333331</v>
          </cell>
        </row>
        <row r="276">
          <cell r="F276">
            <v>903</v>
          </cell>
          <cell r="P276">
            <v>964</v>
          </cell>
          <cell r="Q276">
            <v>0</v>
          </cell>
          <cell r="R276">
            <v>0</v>
          </cell>
          <cell r="S276">
            <v>1409</v>
          </cell>
          <cell r="T276">
            <v>0</v>
          </cell>
          <cell r="U276">
            <v>0</v>
          </cell>
          <cell r="V276">
            <v>0</v>
          </cell>
          <cell r="W276">
            <v>0</v>
          </cell>
          <cell r="X276">
            <v>338</v>
          </cell>
          <cell r="Y276">
            <v>0</v>
          </cell>
          <cell r="Z276">
            <v>0</v>
          </cell>
          <cell r="AA276">
            <v>0</v>
          </cell>
          <cell r="AB276">
            <v>0</v>
          </cell>
          <cell r="AC276">
            <v>352</v>
          </cell>
          <cell r="AF276">
            <v>767.05</v>
          </cell>
          <cell r="AG276">
            <v>1024.05</v>
          </cell>
          <cell r="AH276">
            <v>-369</v>
          </cell>
          <cell r="AK276">
            <v>4933.05</v>
          </cell>
        </row>
        <row r="277">
          <cell r="F277">
            <v>122</v>
          </cell>
          <cell r="P277">
            <v>310</v>
          </cell>
          <cell r="S277">
            <v>750</v>
          </cell>
          <cell r="V277">
            <v>66</v>
          </cell>
          <cell r="X277">
            <v>115</v>
          </cell>
          <cell r="AA277">
            <v>50</v>
          </cell>
          <cell r="AC277">
            <v>110</v>
          </cell>
          <cell r="AF277">
            <v>455</v>
          </cell>
          <cell r="AG277">
            <v>714</v>
          </cell>
          <cell r="AH277">
            <v>-371</v>
          </cell>
          <cell r="AK277">
            <v>1912</v>
          </cell>
        </row>
        <row r="278">
          <cell r="F278">
            <v>721</v>
          </cell>
          <cell r="P278">
            <v>9</v>
          </cell>
          <cell r="Q278">
            <v>0</v>
          </cell>
          <cell r="R278">
            <v>0</v>
          </cell>
          <cell r="S278">
            <v>84</v>
          </cell>
          <cell r="T278">
            <v>0</v>
          </cell>
          <cell r="U278">
            <v>0</v>
          </cell>
          <cell r="V278">
            <v>0</v>
          </cell>
          <cell r="W278">
            <v>0</v>
          </cell>
          <cell r="X278">
            <v>57</v>
          </cell>
          <cell r="Y278">
            <v>0</v>
          </cell>
          <cell r="Z278">
            <v>0</v>
          </cell>
          <cell r="AA278">
            <v>-300</v>
          </cell>
          <cell r="AB278">
            <v>0</v>
          </cell>
          <cell r="AC278">
            <v>62</v>
          </cell>
          <cell r="AD278">
            <v>0</v>
          </cell>
          <cell r="AE278">
            <v>0</v>
          </cell>
          <cell r="AF278">
            <v>32</v>
          </cell>
          <cell r="AG278">
            <v>30</v>
          </cell>
          <cell r="AH278">
            <v>2</v>
          </cell>
          <cell r="AK278">
            <v>1115</v>
          </cell>
        </row>
        <row r="279">
          <cell r="F279">
            <v>60</v>
          </cell>
          <cell r="P279">
            <v>500</v>
          </cell>
          <cell r="S279">
            <v>430</v>
          </cell>
          <cell r="V279">
            <v>0</v>
          </cell>
          <cell r="X279">
            <v>100</v>
          </cell>
          <cell r="AA279">
            <v>-300</v>
          </cell>
          <cell r="AC279">
            <v>130</v>
          </cell>
          <cell r="AF279">
            <v>150</v>
          </cell>
          <cell r="AG279">
            <v>150</v>
          </cell>
          <cell r="AH279">
            <v>0</v>
          </cell>
          <cell r="AK279">
            <v>1370</v>
          </cell>
        </row>
        <row r="280">
          <cell r="F280">
            <v>0</v>
          </cell>
          <cell r="P280">
            <v>145</v>
          </cell>
          <cell r="S280">
            <v>145</v>
          </cell>
          <cell r="V280">
            <v>0</v>
          </cell>
          <cell r="X280">
            <v>66</v>
          </cell>
          <cell r="AA280">
            <v>0</v>
          </cell>
          <cell r="AC280">
            <v>50</v>
          </cell>
          <cell r="AF280">
            <v>130.04999999999998</v>
          </cell>
          <cell r="AG280">
            <v>130.04999999999998</v>
          </cell>
          <cell r="AH280">
            <v>0</v>
          </cell>
          <cell r="AK280">
            <v>536.04999999999995</v>
          </cell>
        </row>
        <row r="281">
          <cell r="F281">
            <v>7</v>
          </cell>
          <cell r="P281">
            <v>14</v>
          </cell>
          <cell r="Q281">
            <v>0</v>
          </cell>
          <cell r="R281">
            <v>0</v>
          </cell>
          <cell r="S281">
            <v>420</v>
          </cell>
          <cell r="T281">
            <v>0</v>
          </cell>
          <cell r="U281">
            <v>0</v>
          </cell>
          <cell r="V281">
            <v>0</v>
          </cell>
          <cell r="W281">
            <v>0</v>
          </cell>
          <cell r="X281">
            <v>0</v>
          </cell>
          <cell r="Y281">
            <v>0</v>
          </cell>
          <cell r="Z281">
            <v>0</v>
          </cell>
          <cell r="AA281">
            <v>0</v>
          </cell>
          <cell r="AB281">
            <v>0</v>
          </cell>
          <cell r="AC281">
            <v>0</v>
          </cell>
          <cell r="AF281">
            <v>670</v>
          </cell>
          <cell r="AG281">
            <v>253</v>
          </cell>
          <cell r="AH281">
            <v>417</v>
          </cell>
          <cell r="AK281">
            <v>1467</v>
          </cell>
        </row>
        <row r="282">
          <cell r="F282">
            <v>0</v>
          </cell>
          <cell r="P282">
            <v>0</v>
          </cell>
          <cell r="S282">
            <v>0</v>
          </cell>
          <cell r="X282">
            <v>0</v>
          </cell>
          <cell r="AC282">
            <v>0</v>
          </cell>
          <cell r="AF282">
            <v>0</v>
          </cell>
          <cell r="AG282">
            <v>0</v>
          </cell>
          <cell r="AH282">
            <v>0</v>
          </cell>
          <cell r="AK282">
            <v>0</v>
          </cell>
        </row>
        <row r="283">
          <cell r="F283">
            <v>7</v>
          </cell>
          <cell r="P283">
            <v>14</v>
          </cell>
          <cell r="Q283">
            <v>0</v>
          </cell>
          <cell r="R283">
            <v>0</v>
          </cell>
          <cell r="S283">
            <v>420</v>
          </cell>
          <cell r="T283">
            <v>-717.75479999999993</v>
          </cell>
          <cell r="U283">
            <v>-735.76520000000005</v>
          </cell>
          <cell r="V283">
            <v>602.1818181818187</v>
          </cell>
          <cell r="W283">
            <v>-951</v>
          </cell>
          <cell r="X283">
            <v>0</v>
          </cell>
          <cell r="Y283">
            <v>0</v>
          </cell>
          <cell r="Z283">
            <v>0</v>
          </cell>
          <cell r="AA283">
            <v>2103.5757575757575</v>
          </cell>
          <cell r="AB283">
            <v>-314</v>
          </cell>
          <cell r="AC283">
            <v>0</v>
          </cell>
          <cell r="AD283">
            <v>-293</v>
          </cell>
          <cell r="AE283">
            <v>-120.37515151515153</v>
          </cell>
          <cell r="AF283">
            <v>670</v>
          </cell>
          <cell r="AG283">
            <v>253</v>
          </cell>
          <cell r="AH283">
            <v>417</v>
          </cell>
          <cell r="AK283">
            <v>1111</v>
          </cell>
        </row>
        <row r="284">
          <cell r="AK284">
            <v>356</v>
          </cell>
        </row>
        <row r="285">
          <cell r="F285">
            <v>2408</v>
          </cell>
          <cell r="P285">
            <v>25</v>
          </cell>
          <cell r="Q285">
            <v>0</v>
          </cell>
          <cell r="R285">
            <v>0</v>
          </cell>
          <cell r="S285">
            <v>250</v>
          </cell>
          <cell r="T285">
            <v>0</v>
          </cell>
          <cell r="U285">
            <v>0</v>
          </cell>
          <cell r="V285">
            <v>602.18181818181824</v>
          </cell>
          <cell r="W285">
            <v>0</v>
          </cell>
          <cell r="X285">
            <v>0</v>
          </cell>
          <cell r="Y285">
            <v>0</v>
          </cell>
          <cell r="Z285">
            <v>0</v>
          </cell>
          <cell r="AA285">
            <v>2066.909090909091</v>
          </cell>
          <cell r="AB285">
            <v>0</v>
          </cell>
          <cell r="AC285">
            <v>0</v>
          </cell>
          <cell r="AD285">
            <v>0</v>
          </cell>
          <cell r="AE285">
            <v>0</v>
          </cell>
          <cell r="AF285">
            <v>1365.8181818181818</v>
          </cell>
          <cell r="AG285">
            <v>1201</v>
          </cell>
          <cell r="AH285">
            <v>0</v>
          </cell>
          <cell r="AK285">
            <v>250</v>
          </cell>
        </row>
        <row r="286">
          <cell r="F286">
            <v>41158.976190476198</v>
          </cell>
          <cell r="P286">
            <v>1708.5</v>
          </cell>
          <cell r="Q286">
            <v>0</v>
          </cell>
          <cell r="R286">
            <v>0</v>
          </cell>
          <cell r="S286">
            <v>930.52121212121165</v>
          </cell>
          <cell r="T286">
            <v>-654.3785272727273</v>
          </cell>
          <cell r="U286">
            <v>-670.49601818181827</v>
          </cell>
          <cell r="V286">
            <v>0</v>
          </cell>
          <cell r="W286">
            <v>0</v>
          </cell>
          <cell r="X286">
            <v>627.1030303030293</v>
          </cell>
          <cell r="Y286">
            <v>-522</v>
          </cell>
          <cell r="Z286">
            <v>-184.38636363636363</v>
          </cell>
          <cell r="AA286">
            <v>0</v>
          </cell>
          <cell r="AB286">
            <v>0</v>
          </cell>
          <cell r="AC286">
            <v>867.45757575757523</v>
          </cell>
          <cell r="AF286">
            <v>534.23939393939372</v>
          </cell>
          <cell r="AG286">
            <v>478.29999999999973</v>
          </cell>
          <cell r="AH286">
            <v>136.93939393939388</v>
          </cell>
          <cell r="AK286">
            <v>46195.597402597406</v>
          </cell>
        </row>
        <row r="287">
          <cell r="F287">
            <v>0</v>
          </cell>
          <cell r="P287">
            <v>655</v>
          </cell>
          <cell r="Q287">
            <v>0</v>
          </cell>
          <cell r="R287">
            <v>0</v>
          </cell>
          <cell r="S287">
            <v>655</v>
          </cell>
          <cell r="T287">
            <v>0</v>
          </cell>
          <cell r="U287">
            <v>0</v>
          </cell>
          <cell r="V287">
            <v>545.18181818181824</v>
          </cell>
          <cell r="W287">
            <v>0</v>
          </cell>
          <cell r="X287">
            <v>0</v>
          </cell>
          <cell r="Y287">
            <v>0</v>
          </cell>
          <cell r="Z287">
            <v>0</v>
          </cell>
          <cell r="AA287">
            <v>1510.909090909091</v>
          </cell>
          <cell r="AB287">
            <v>0</v>
          </cell>
          <cell r="AC287">
            <v>0</v>
          </cell>
          <cell r="AD287">
            <v>0</v>
          </cell>
          <cell r="AE287">
            <v>0</v>
          </cell>
          <cell r="AF287">
            <v>429.81818181818176</v>
          </cell>
          <cell r="AG287">
            <v>430</v>
          </cell>
          <cell r="AH287">
            <v>-0.18181818181818699</v>
          </cell>
          <cell r="AK287">
            <v>0</v>
          </cell>
        </row>
        <row r="288">
          <cell r="F288">
            <v>1734</v>
          </cell>
          <cell r="P288">
            <v>1828.5</v>
          </cell>
          <cell r="Q288">
            <v>0</v>
          </cell>
          <cell r="R288">
            <v>0</v>
          </cell>
          <cell r="S288">
            <v>5192.5212121212126</v>
          </cell>
          <cell r="T288">
            <v>0</v>
          </cell>
          <cell r="U288">
            <v>0</v>
          </cell>
          <cell r="V288">
            <v>0</v>
          </cell>
          <cell r="W288">
            <v>0</v>
          </cell>
          <cell r="X288">
            <v>627.10303030303021</v>
          </cell>
          <cell r="Y288">
            <v>0</v>
          </cell>
          <cell r="Z288">
            <v>0</v>
          </cell>
          <cell r="AA288">
            <v>0</v>
          </cell>
          <cell r="AB288">
            <v>0</v>
          </cell>
          <cell r="AC288">
            <v>866.79090909090905</v>
          </cell>
          <cell r="AF288">
            <v>-401.16060606060614</v>
          </cell>
          <cell r="AG288">
            <v>478.30000000000007</v>
          </cell>
          <cell r="AH288">
            <v>-767.4606060606061</v>
          </cell>
          <cell r="AK288">
            <v>10216.554545454546</v>
          </cell>
        </row>
        <row r="289">
          <cell r="F289">
            <v>-1308</v>
          </cell>
          <cell r="P289">
            <v>1187</v>
          </cell>
          <cell r="S289">
            <v>3582</v>
          </cell>
          <cell r="V289">
            <v>0</v>
          </cell>
          <cell r="X289">
            <v>-15</v>
          </cell>
          <cell r="AA289">
            <v>0</v>
          </cell>
          <cell r="AC289">
            <v>-70</v>
          </cell>
          <cell r="AF289">
            <v>-1054.4000000000001</v>
          </cell>
          <cell r="AG289">
            <v>-150</v>
          </cell>
          <cell r="AH289">
            <v>-904.4</v>
          </cell>
          <cell r="AK289">
            <v>2328.4</v>
          </cell>
        </row>
        <row r="290">
          <cell r="F290">
            <v>0</v>
          </cell>
          <cell r="P290">
            <v>450.5</v>
          </cell>
          <cell r="Q290">
            <v>0</v>
          </cell>
          <cell r="R290">
            <v>0</v>
          </cell>
          <cell r="S290">
            <v>1011.8545454545454</v>
          </cell>
          <cell r="T290">
            <v>0</v>
          </cell>
          <cell r="U290">
            <v>0</v>
          </cell>
          <cell r="V290">
            <v>0</v>
          </cell>
          <cell r="W290">
            <v>0</v>
          </cell>
          <cell r="X290">
            <v>554.43636363636358</v>
          </cell>
          <cell r="Y290">
            <v>0</v>
          </cell>
          <cell r="Z290">
            <v>0</v>
          </cell>
          <cell r="AA290">
            <v>0</v>
          </cell>
          <cell r="AB290">
            <v>0</v>
          </cell>
          <cell r="AC290">
            <v>1124.7909090909091</v>
          </cell>
          <cell r="AD290">
            <v>0</v>
          </cell>
          <cell r="AE290">
            <v>0</v>
          </cell>
          <cell r="AF290">
            <v>237.57272727272729</v>
          </cell>
          <cell r="AG290">
            <v>237.30000000000004</v>
          </cell>
          <cell r="AH290">
            <v>0.27272727272728048</v>
          </cell>
          <cell r="AK290">
            <v>3379.1545454545449</v>
          </cell>
        </row>
        <row r="291">
          <cell r="F291">
            <v>0</v>
          </cell>
          <cell r="P291">
            <v>0</v>
          </cell>
          <cell r="S291">
            <v>0</v>
          </cell>
          <cell r="V291">
            <v>11</v>
          </cell>
          <cell r="X291">
            <v>0</v>
          </cell>
          <cell r="AA291">
            <v>201</v>
          </cell>
          <cell r="AC291">
            <v>0</v>
          </cell>
          <cell r="AF291">
            <v>0</v>
          </cell>
          <cell r="AG291">
            <v>0</v>
          </cell>
          <cell r="AH291">
            <v>0</v>
          </cell>
          <cell r="AK291">
            <v>0</v>
          </cell>
        </row>
        <row r="292">
          <cell r="F292">
            <v>0</v>
          </cell>
          <cell r="P292">
            <v>0</v>
          </cell>
          <cell r="S292">
            <v>0</v>
          </cell>
          <cell r="V292">
            <v>85</v>
          </cell>
          <cell r="X292">
            <v>0</v>
          </cell>
          <cell r="AA292">
            <v>84</v>
          </cell>
          <cell r="AC292">
            <v>0</v>
          </cell>
          <cell r="AF292">
            <v>0</v>
          </cell>
          <cell r="AG292">
            <v>0</v>
          </cell>
          <cell r="AH292">
            <v>0</v>
          </cell>
          <cell r="AK292">
            <v>0</v>
          </cell>
        </row>
        <row r="293">
          <cell r="F293">
            <v>3005</v>
          </cell>
          <cell r="P293">
            <v>129</v>
          </cell>
          <cell r="Q293">
            <v>0</v>
          </cell>
          <cell r="R293">
            <v>0</v>
          </cell>
          <cell r="S293">
            <v>517.66666666666663</v>
          </cell>
          <cell r="T293">
            <v>0</v>
          </cell>
          <cell r="U293">
            <v>0</v>
          </cell>
          <cell r="V293">
            <v>0</v>
          </cell>
          <cell r="W293">
            <v>0</v>
          </cell>
          <cell r="X293">
            <v>217</v>
          </cell>
          <cell r="Y293">
            <v>0</v>
          </cell>
          <cell r="Z293">
            <v>0</v>
          </cell>
          <cell r="AA293">
            <v>0</v>
          </cell>
          <cell r="AB293">
            <v>0</v>
          </cell>
          <cell r="AC293">
            <v>-188</v>
          </cell>
          <cell r="AF293">
            <v>407.66666666666663</v>
          </cell>
          <cell r="AG293">
            <v>384</v>
          </cell>
          <cell r="AH293">
            <v>135.66666666666666</v>
          </cell>
          <cell r="AK293">
            <v>4450.333333333333</v>
          </cell>
        </row>
        <row r="294">
          <cell r="F294">
            <v>100</v>
          </cell>
          <cell r="P294">
            <v>1</v>
          </cell>
          <cell r="S294">
            <v>97.666666666666629</v>
          </cell>
          <cell r="X294">
            <v>12</v>
          </cell>
          <cell r="AC294">
            <v>-372</v>
          </cell>
          <cell r="AF294">
            <v>3.3333333333333144</v>
          </cell>
          <cell r="AG294">
            <v>70</v>
          </cell>
          <cell r="AH294">
            <v>45.333333333333314</v>
          </cell>
          <cell r="AK294">
            <v>-141.00000000000006</v>
          </cell>
        </row>
        <row r="295">
          <cell r="F295">
            <v>2</v>
          </cell>
          <cell r="P295">
            <v>42</v>
          </cell>
          <cell r="S295">
            <v>319</v>
          </cell>
          <cell r="V295">
            <v>-129</v>
          </cell>
          <cell r="X295">
            <v>85</v>
          </cell>
          <cell r="AA295">
            <v>0</v>
          </cell>
          <cell r="AC295">
            <v>84</v>
          </cell>
          <cell r="AF295">
            <v>194.33333333333334</v>
          </cell>
          <cell r="AG295">
            <v>133</v>
          </cell>
          <cell r="AH295">
            <v>61.333333333333343</v>
          </cell>
          <cell r="AK295">
            <v>726.33333333333337</v>
          </cell>
        </row>
        <row r="296">
          <cell r="F296">
            <v>2903</v>
          </cell>
          <cell r="P296">
            <v>86</v>
          </cell>
          <cell r="Q296">
            <v>0</v>
          </cell>
          <cell r="R296">
            <v>0</v>
          </cell>
          <cell r="S296">
            <v>101</v>
          </cell>
          <cell r="T296">
            <v>-717.75479999999993</v>
          </cell>
          <cell r="U296">
            <v>-735.76520000000005</v>
          </cell>
          <cell r="V296">
            <v>602.1818181818187</v>
          </cell>
          <cell r="W296">
            <v>-951</v>
          </cell>
          <cell r="X296">
            <v>120</v>
          </cell>
          <cell r="Y296">
            <v>0</v>
          </cell>
          <cell r="Z296">
            <v>0</v>
          </cell>
          <cell r="AA296">
            <v>2103.5757575757575</v>
          </cell>
          <cell r="AB296">
            <v>-314</v>
          </cell>
          <cell r="AC296">
            <v>100</v>
          </cell>
          <cell r="AD296">
            <v>-293</v>
          </cell>
          <cell r="AE296">
            <v>-120.37515151515153</v>
          </cell>
          <cell r="AF296">
            <v>210</v>
          </cell>
          <cell r="AG296">
            <v>181</v>
          </cell>
          <cell r="AH296">
            <v>29</v>
          </cell>
          <cell r="AK296">
            <v>3865</v>
          </cell>
        </row>
        <row r="297">
          <cell r="P297">
            <v>0</v>
          </cell>
          <cell r="AF297">
            <v>0</v>
          </cell>
          <cell r="AG297">
            <v>0</v>
          </cell>
          <cell r="AH297">
            <v>0</v>
          </cell>
          <cell r="AK297">
            <v>0</v>
          </cell>
        </row>
        <row r="298">
          <cell r="F298">
            <v>37</v>
          </cell>
          <cell r="P298">
            <v>62</v>
          </cell>
          <cell r="S298">
            <v>81</v>
          </cell>
          <cell r="X298">
            <v>-129.33333333333334</v>
          </cell>
          <cell r="AC298">
            <v>0</v>
          </cell>
          <cell r="AF298">
            <v>8</v>
          </cell>
          <cell r="AG298">
            <v>7</v>
          </cell>
          <cell r="AH298">
            <v>1</v>
          </cell>
          <cell r="AK298">
            <v>58.666666666666657</v>
          </cell>
        </row>
        <row r="299">
          <cell r="F299">
            <v>41158.976190476198</v>
          </cell>
          <cell r="G299">
            <v>0</v>
          </cell>
          <cell r="H299">
            <v>0</v>
          </cell>
          <cell r="P299">
            <v>1708.5</v>
          </cell>
          <cell r="Q299">
            <v>0</v>
          </cell>
          <cell r="R299">
            <v>0</v>
          </cell>
          <cell r="S299">
            <v>930.52121212121165</v>
          </cell>
          <cell r="T299">
            <v>-654.3785272727273</v>
          </cell>
          <cell r="U299">
            <v>-670.49601818181827</v>
          </cell>
          <cell r="V299">
            <v>0</v>
          </cell>
          <cell r="W299">
            <v>0</v>
          </cell>
          <cell r="X299">
            <v>627.1030303030293</v>
          </cell>
          <cell r="Y299">
            <v>-522</v>
          </cell>
          <cell r="Z299">
            <v>-184.38636363636363</v>
          </cell>
          <cell r="AA299">
            <v>0</v>
          </cell>
          <cell r="AB299">
            <v>0</v>
          </cell>
          <cell r="AC299">
            <v>867.45757575757523</v>
          </cell>
          <cell r="AF299">
            <v>534.23939393939372</v>
          </cell>
          <cell r="AG299">
            <v>478.29999999999973</v>
          </cell>
          <cell r="AH299">
            <v>136.93939393939388</v>
          </cell>
          <cell r="AK299">
            <v>46195.597402597406</v>
          </cell>
        </row>
        <row r="300">
          <cell r="F300">
            <v>0</v>
          </cell>
          <cell r="AH300">
            <v>191</v>
          </cell>
          <cell r="AK300">
            <v>0</v>
          </cell>
        </row>
        <row r="301">
          <cell r="F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K301">
            <v>0</v>
          </cell>
        </row>
        <row r="302">
          <cell r="F302">
            <v>41158.976190476198</v>
          </cell>
          <cell r="G302">
            <v>0</v>
          </cell>
          <cell r="H302">
            <v>0</v>
          </cell>
          <cell r="P302">
            <v>1708.5</v>
          </cell>
          <cell r="Q302">
            <v>0</v>
          </cell>
          <cell r="R302">
            <v>0</v>
          </cell>
          <cell r="S302">
            <v>930.52121212121165</v>
          </cell>
          <cell r="T302">
            <v>-654.3785272727273</v>
          </cell>
          <cell r="U302">
            <v>-670.49601818181827</v>
          </cell>
          <cell r="V302">
            <v>0</v>
          </cell>
          <cell r="W302">
            <v>0</v>
          </cell>
          <cell r="X302">
            <v>627.1030303030293</v>
          </cell>
          <cell r="Y302">
            <v>-522</v>
          </cell>
          <cell r="Z302">
            <v>-184.38636363636363</v>
          </cell>
          <cell r="AA302">
            <v>0</v>
          </cell>
          <cell r="AB302">
            <v>0</v>
          </cell>
          <cell r="AC302">
            <v>867.45757575757523</v>
          </cell>
          <cell r="AF302">
            <v>534.23939393939372</v>
          </cell>
          <cell r="AG302">
            <v>206.29999999999984</v>
          </cell>
          <cell r="AH302">
            <v>327.93939393939388</v>
          </cell>
          <cell r="AK302">
            <v>46195.597402597406</v>
          </cell>
        </row>
        <row r="303">
          <cell r="F303">
            <v>0</v>
          </cell>
          <cell r="AK303">
            <v>0</v>
          </cell>
        </row>
        <row r="304">
          <cell r="F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-293</v>
          </cell>
          <cell r="AE304">
            <v>-120.37515151515153</v>
          </cell>
          <cell r="AF304">
            <v>0</v>
          </cell>
          <cell r="AG304">
            <v>0</v>
          </cell>
          <cell r="AH304">
            <v>0</v>
          </cell>
          <cell r="AK304">
            <v>0</v>
          </cell>
        </row>
        <row r="305">
          <cell r="F305">
            <v>0</v>
          </cell>
          <cell r="P305">
            <v>0</v>
          </cell>
          <cell r="S305">
            <v>0</v>
          </cell>
          <cell r="X305">
            <v>0</v>
          </cell>
          <cell r="AC305">
            <v>0</v>
          </cell>
          <cell r="AF305">
            <v>0</v>
          </cell>
          <cell r="AG305">
            <v>0</v>
          </cell>
          <cell r="AH305">
            <v>0</v>
          </cell>
          <cell r="AK305">
            <v>0</v>
          </cell>
        </row>
        <row r="306">
          <cell r="P306">
            <v>0</v>
          </cell>
          <cell r="AK306">
            <v>0</v>
          </cell>
        </row>
        <row r="307">
          <cell r="F307">
            <v>41158.976190476198</v>
          </cell>
          <cell r="P307">
            <v>1708.5</v>
          </cell>
          <cell r="Q307">
            <v>0</v>
          </cell>
          <cell r="R307">
            <v>0</v>
          </cell>
          <cell r="S307">
            <v>930.52121212121165</v>
          </cell>
          <cell r="T307">
            <v>-654.3785272727273</v>
          </cell>
          <cell r="U307">
            <v>-670.49601818181827</v>
          </cell>
          <cell r="V307">
            <v>0</v>
          </cell>
          <cell r="W307">
            <v>0</v>
          </cell>
          <cell r="X307">
            <v>627.1030303030293</v>
          </cell>
          <cell r="Y307">
            <v>-522</v>
          </cell>
          <cell r="Z307">
            <v>-184.38636363636363</v>
          </cell>
          <cell r="AA307">
            <v>0</v>
          </cell>
          <cell r="AB307">
            <v>0</v>
          </cell>
          <cell r="AC307">
            <v>867.45757575757523</v>
          </cell>
          <cell r="AF307">
            <v>534.23939393939372</v>
          </cell>
          <cell r="AG307">
            <v>206.29999999999984</v>
          </cell>
          <cell r="AH307">
            <v>327.93939393939388</v>
          </cell>
          <cell r="AK307">
            <v>46195.597402597406</v>
          </cell>
        </row>
        <row r="308">
          <cell r="F308">
            <v>3400</v>
          </cell>
          <cell r="AK308">
            <v>0</v>
          </cell>
        </row>
        <row r="309">
          <cell r="P309">
            <v>0</v>
          </cell>
          <cell r="S309">
            <v>0</v>
          </cell>
          <cell r="AK309">
            <v>0</v>
          </cell>
        </row>
        <row r="310">
          <cell r="F310">
            <v>0</v>
          </cell>
          <cell r="S310">
            <v>0</v>
          </cell>
          <cell r="AK310">
            <v>0</v>
          </cell>
        </row>
        <row r="311">
          <cell r="F311">
            <v>3500</v>
          </cell>
          <cell r="AK311">
            <v>3500</v>
          </cell>
        </row>
        <row r="312">
          <cell r="S312">
            <v>0</v>
          </cell>
        </row>
        <row r="313">
          <cell r="F313">
            <v>0</v>
          </cell>
          <cell r="AK313">
            <v>0</v>
          </cell>
        </row>
        <row r="314">
          <cell r="S314">
            <v>0</v>
          </cell>
          <cell r="AK314">
            <v>0</v>
          </cell>
        </row>
        <row r="315">
          <cell r="F315">
            <v>44586.804761904765</v>
          </cell>
          <cell r="P315">
            <v>1115</v>
          </cell>
          <cell r="Q315">
            <v>0</v>
          </cell>
          <cell r="R315">
            <v>0</v>
          </cell>
          <cell r="S315">
            <v>4296</v>
          </cell>
          <cell r="T315">
            <v>-717.75479999999993</v>
          </cell>
          <cell r="U315">
            <v>-735.76520000000005</v>
          </cell>
          <cell r="V315">
            <v>602.1818181818187</v>
          </cell>
          <cell r="W315">
            <v>-951</v>
          </cell>
          <cell r="X315">
            <v>-222.13181818181818</v>
          </cell>
          <cell r="Y315">
            <v>0</v>
          </cell>
          <cell r="Z315">
            <v>0</v>
          </cell>
          <cell r="AA315">
            <v>2103.5757575757575</v>
          </cell>
          <cell r="AB315">
            <v>-314</v>
          </cell>
          <cell r="AC315">
            <v>-80.902424242424232</v>
          </cell>
          <cell r="AD315">
            <v>-293</v>
          </cell>
          <cell r="AE315">
            <v>-120.37515151515153</v>
          </cell>
          <cell r="AF315">
            <v>1365.8181818181815</v>
          </cell>
          <cell r="AG315">
            <v>1016.9999999999998</v>
          </cell>
          <cell r="AH315">
            <v>348.81818181818176</v>
          </cell>
          <cell r="AK315">
            <v>54477.380519480525</v>
          </cell>
        </row>
        <row r="316">
          <cell r="AK316">
            <v>0</v>
          </cell>
        </row>
        <row r="317">
          <cell r="S317">
            <v>0</v>
          </cell>
        </row>
        <row r="318">
          <cell r="F318">
            <v>41158.976190476198</v>
          </cell>
          <cell r="P318">
            <v>1708.5</v>
          </cell>
          <cell r="Q318">
            <v>0</v>
          </cell>
          <cell r="R318">
            <v>0</v>
          </cell>
          <cell r="S318">
            <v>930.52121212121165</v>
          </cell>
          <cell r="T318">
            <v>-654.3785272727273</v>
          </cell>
          <cell r="U318">
            <v>-670.49601818181827</v>
          </cell>
          <cell r="V318">
            <v>0</v>
          </cell>
          <cell r="W318">
            <v>0</v>
          </cell>
          <cell r="X318">
            <v>627.1030303030293</v>
          </cell>
          <cell r="Y318">
            <v>-522</v>
          </cell>
          <cell r="Z318">
            <v>-184.38636363636363</v>
          </cell>
          <cell r="AA318">
            <v>0</v>
          </cell>
          <cell r="AB318">
            <v>0</v>
          </cell>
          <cell r="AC318">
            <v>867.45757575757523</v>
          </cell>
          <cell r="AF318">
            <v>534.23939393939372</v>
          </cell>
          <cell r="AG318">
            <v>206.29999999999984</v>
          </cell>
          <cell r="AH318">
            <v>327.93939393939388</v>
          </cell>
          <cell r="AK318">
            <v>46195.597402597406</v>
          </cell>
        </row>
        <row r="324">
          <cell r="AK324">
            <v>7180.8099999999995</v>
          </cell>
          <cell r="AM324">
            <v>5319.75</v>
          </cell>
        </row>
        <row r="325">
          <cell r="F325">
            <v>116</v>
          </cell>
          <cell r="P325">
            <v>329</v>
          </cell>
          <cell r="S325">
            <v>570</v>
          </cell>
          <cell r="V325">
            <v>197</v>
          </cell>
          <cell r="X325">
            <v>203</v>
          </cell>
          <cell r="AA325">
            <v>163</v>
          </cell>
          <cell r="AC325">
            <v>166</v>
          </cell>
          <cell r="AF325">
            <v>507</v>
          </cell>
          <cell r="AG325">
            <v>445</v>
          </cell>
          <cell r="AH325">
            <v>62</v>
          </cell>
          <cell r="AK325">
            <v>2016</v>
          </cell>
          <cell r="AM325">
            <v>1509</v>
          </cell>
        </row>
        <row r="326">
          <cell r="AK326">
            <v>7379.804761904762</v>
          </cell>
          <cell r="AM326">
            <v>7379.804761904762</v>
          </cell>
        </row>
        <row r="327">
          <cell r="AK327">
            <v>6913.51</v>
          </cell>
          <cell r="AM327">
            <v>5188.75</v>
          </cell>
        </row>
        <row r="328">
          <cell r="F328">
            <v>186</v>
          </cell>
          <cell r="P328">
            <v>348</v>
          </cell>
          <cell r="S328">
            <v>517</v>
          </cell>
          <cell r="X328">
            <v>175</v>
          </cell>
          <cell r="AC328">
            <v>146</v>
          </cell>
          <cell r="AF328">
            <v>470</v>
          </cell>
          <cell r="AG328">
            <v>407</v>
          </cell>
          <cell r="AH328">
            <v>63</v>
          </cell>
          <cell r="AK328">
            <v>1972</v>
          </cell>
          <cell r="AM328">
            <v>1502</v>
          </cell>
        </row>
        <row r="329">
          <cell r="AK329">
            <v>5868.9761904761908</v>
          </cell>
          <cell r="AM329">
            <v>5868.9761904761908</v>
          </cell>
        </row>
        <row r="330">
          <cell r="AK330">
            <v>347.33333333333331</v>
          </cell>
          <cell r="AM330">
            <v>347.33333333333331</v>
          </cell>
        </row>
        <row r="331">
          <cell r="AK331">
            <v>58.666666666666657</v>
          </cell>
          <cell r="AM331">
            <v>50.666666666666657</v>
          </cell>
        </row>
        <row r="332">
          <cell r="AK332">
            <v>1548.6428571428573</v>
          </cell>
          <cell r="AM332">
            <v>1548.6428571428573</v>
          </cell>
        </row>
        <row r="333">
          <cell r="AK333">
            <v>3500</v>
          </cell>
          <cell r="AM333">
            <v>3500</v>
          </cell>
        </row>
        <row r="334">
          <cell r="AK334">
            <v>0</v>
          </cell>
          <cell r="AM334">
            <v>0</v>
          </cell>
        </row>
        <row r="335">
          <cell r="AK335">
            <v>473</v>
          </cell>
          <cell r="AM335">
            <v>473</v>
          </cell>
        </row>
        <row r="336">
          <cell r="AK336">
            <v>3600</v>
          </cell>
          <cell r="AM336">
            <v>3366.090909090909</v>
          </cell>
        </row>
        <row r="337">
          <cell r="AK337">
            <v>0</v>
          </cell>
          <cell r="AM337">
            <v>0</v>
          </cell>
        </row>
        <row r="338">
          <cell r="AK338">
            <v>2328.4</v>
          </cell>
          <cell r="AM338">
            <v>3382.8</v>
          </cell>
        </row>
        <row r="339">
          <cell r="AK339">
            <v>3379.1545454545449</v>
          </cell>
          <cell r="AM339">
            <v>3141.5818181818177</v>
          </cell>
        </row>
        <row r="340">
          <cell r="AK340">
            <v>0</v>
          </cell>
          <cell r="AM340">
            <v>0</v>
          </cell>
        </row>
        <row r="341">
          <cell r="AK341">
            <v>0</v>
          </cell>
          <cell r="AM341">
            <v>0</v>
          </cell>
        </row>
        <row r="342">
          <cell r="AK342">
            <v>0</v>
          </cell>
          <cell r="AM342">
            <v>0</v>
          </cell>
        </row>
        <row r="343">
          <cell r="AK343">
            <v>4933.05</v>
          </cell>
          <cell r="AM343">
            <v>4166</v>
          </cell>
        </row>
        <row r="344">
          <cell r="AK344">
            <v>1912</v>
          </cell>
          <cell r="AM344">
            <v>1457</v>
          </cell>
        </row>
        <row r="345">
          <cell r="AK345">
            <v>1115</v>
          </cell>
          <cell r="AM345">
            <v>1083</v>
          </cell>
        </row>
        <row r="346">
          <cell r="AK346">
            <v>1370</v>
          </cell>
          <cell r="AM346">
            <v>-300</v>
          </cell>
        </row>
        <row r="347">
          <cell r="AK347">
            <v>536.04999999999995</v>
          </cell>
          <cell r="AM347">
            <v>527</v>
          </cell>
        </row>
        <row r="348">
          <cell r="P348">
            <v>225</v>
          </cell>
          <cell r="S348">
            <v>296</v>
          </cell>
          <cell r="V348">
            <v>56</v>
          </cell>
          <cell r="X348">
            <v>56</v>
          </cell>
          <cell r="AA348">
            <v>-78.090909090909093</v>
          </cell>
          <cell r="AC348">
            <v>561.88181818181829</v>
          </cell>
          <cell r="AF348">
            <v>-250.18181818181819</v>
          </cell>
          <cell r="AG348">
            <v>-250</v>
          </cell>
          <cell r="AH348">
            <v>-0.18181818181818699</v>
          </cell>
          <cell r="AK348">
            <v>0</v>
          </cell>
          <cell r="AM348">
            <v>0</v>
          </cell>
        </row>
        <row r="349">
          <cell r="AK349">
            <v>0</v>
          </cell>
          <cell r="AM349">
            <v>0</v>
          </cell>
        </row>
        <row r="350">
          <cell r="F350">
            <v>33</v>
          </cell>
          <cell r="P350">
            <v>0</v>
          </cell>
          <cell r="S350">
            <v>0</v>
          </cell>
          <cell r="V350">
            <v>0</v>
          </cell>
          <cell r="X350">
            <v>0</v>
          </cell>
          <cell r="AA350">
            <v>0</v>
          </cell>
          <cell r="AC350">
            <v>0</v>
          </cell>
          <cell r="AF350">
            <v>0</v>
          </cell>
          <cell r="AG350">
            <v>0</v>
          </cell>
          <cell r="AH350">
            <v>0</v>
          </cell>
          <cell r="AK350">
            <v>1111</v>
          </cell>
          <cell r="AM350">
            <v>441</v>
          </cell>
        </row>
        <row r="351">
          <cell r="P351">
            <v>225</v>
          </cell>
          <cell r="S351">
            <v>296</v>
          </cell>
          <cell r="X351">
            <v>56</v>
          </cell>
          <cell r="AC351">
            <v>-117.85909090909095</v>
          </cell>
          <cell r="AF351">
            <v>-167.67727272727276</v>
          </cell>
          <cell r="AG351">
            <v>-167.95000000000005</v>
          </cell>
          <cell r="AH351">
            <v>0.27272727272728048</v>
          </cell>
          <cell r="AK351">
            <v>291.46363636363628</v>
          </cell>
          <cell r="AM351">
            <v>395</v>
          </cell>
        </row>
        <row r="352">
          <cell r="AK352">
            <v>0</v>
          </cell>
          <cell r="AM352">
            <v>0</v>
          </cell>
        </row>
        <row r="353">
          <cell r="F353">
            <v>33</v>
          </cell>
          <cell r="P353">
            <v>0</v>
          </cell>
          <cell r="S353">
            <v>0</v>
          </cell>
          <cell r="X353">
            <v>0</v>
          </cell>
          <cell r="AC353">
            <v>0</v>
          </cell>
          <cell r="AF353">
            <v>0</v>
          </cell>
          <cell r="AG353">
            <v>0</v>
          </cell>
          <cell r="AH353">
            <v>0</v>
          </cell>
          <cell r="AK353">
            <v>389</v>
          </cell>
          <cell r="AM353">
            <v>389</v>
          </cell>
        </row>
        <row r="354">
          <cell r="AK354">
            <v>316</v>
          </cell>
          <cell r="AM354">
            <v>316</v>
          </cell>
        </row>
        <row r="355">
          <cell r="AK355">
            <v>0</v>
          </cell>
          <cell r="AM355">
            <v>0</v>
          </cell>
        </row>
        <row r="356">
          <cell r="AK356">
            <v>0</v>
          </cell>
          <cell r="AM356">
            <v>0</v>
          </cell>
        </row>
        <row r="357">
          <cell r="AK357">
            <v>4450.333333333333</v>
          </cell>
          <cell r="AM357" t="e">
            <v>#REF!</v>
          </cell>
        </row>
        <row r="358">
          <cell r="F358">
            <v>0</v>
          </cell>
          <cell r="P358">
            <v>0</v>
          </cell>
          <cell r="S358">
            <v>0</v>
          </cell>
          <cell r="T358">
            <v>162.88</v>
          </cell>
          <cell r="U358">
            <v>855.12</v>
          </cell>
          <cell r="V358">
            <v>471</v>
          </cell>
          <cell r="W358">
            <v>447</v>
          </cell>
          <cell r="X358">
            <v>104</v>
          </cell>
          <cell r="Y358">
            <v>359</v>
          </cell>
          <cell r="Z358">
            <v>141.33333333333337</v>
          </cell>
          <cell r="AA358">
            <v>273</v>
          </cell>
          <cell r="AB358">
            <v>455</v>
          </cell>
          <cell r="AC358">
            <v>118</v>
          </cell>
          <cell r="AD358">
            <v>289</v>
          </cell>
          <cell r="AE358">
            <v>117</v>
          </cell>
          <cell r="AF358">
            <v>-28</v>
          </cell>
          <cell r="AG358">
            <v>-28</v>
          </cell>
          <cell r="AH358">
            <v>0</v>
          </cell>
          <cell r="AK358">
            <v>-141.00000000000006</v>
          </cell>
          <cell r="AM358">
            <v>744</v>
          </cell>
        </row>
        <row r="359">
          <cell r="AK359">
            <v>726.33333333333337</v>
          </cell>
        </row>
        <row r="360">
          <cell r="AK360">
            <v>3865</v>
          </cell>
        </row>
        <row r="361">
          <cell r="F361">
            <v>0</v>
          </cell>
          <cell r="P361">
            <v>0</v>
          </cell>
          <cell r="S361">
            <v>1018</v>
          </cell>
          <cell r="T361">
            <v>162.88</v>
          </cell>
          <cell r="U361">
            <v>855.12</v>
          </cell>
          <cell r="X361">
            <v>466</v>
          </cell>
          <cell r="Y361">
            <v>407</v>
          </cell>
          <cell r="Z361">
            <v>144</v>
          </cell>
          <cell r="AC361">
            <v>523.66666666666663</v>
          </cell>
          <cell r="AF361">
            <v>495</v>
          </cell>
          <cell r="AG361">
            <v>526</v>
          </cell>
          <cell r="AH361">
            <v>0</v>
          </cell>
          <cell r="AK361">
            <v>2512.6666666666665</v>
          </cell>
          <cell r="AM361">
            <v>2017.6666666666665</v>
          </cell>
        </row>
        <row r="367">
          <cell r="F367">
            <v>0</v>
          </cell>
        </row>
        <row r="370">
          <cell r="F370">
            <v>0</v>
          </cell>
        </row>
        <row r="381">
          <cell r="F381" t="str">
            <v>лютий</v>
          </cell>
          <cell r="P381" t="str">
            <v>лютий</v>
          </cell>
          <cell r="V381" t="str">
            <v>лютий</v>
          </cell>
          <cell r="X381" t="str">
            <v>лютий</v>
          </cell>
          <cell r="AA381" t="str">
            <v>лютий</v>
          </cell>
          <cell r="AC381" t="str">
            <v>лютий</v>
          </cell>
        </row>
        <row r="382">
          <cell r="F382" t="str">
            <v>АППАРАТ</v>
          </cell>
          <cell r="P382" t="str">
            <v>ККМ</v>
          </cell>
          <cell r="V382" t="str">
            <v>ТЕЦ5</v>
          </cell>
          <cell r="X382" t="str">
            <v>ТЕЦ5</v>
          </cell>
          <cell r="AA382" t="str">
            <v>ТЕЦ6</v>
          </cell>
          <cell r="AC382" t="str">
            <v>ТЕЦ6</v>
          </cell>
          <cell r="AK382" t="str">
            <v>АК "КЕ"</v>
          </cell>
          <cell r="AL382" t="str">
            <v>Е/Е</v>
          </cell>
        </row>
        <row r="383">
          <cell r="F383" t="str">
            <v>ПЛАН</v>
          </cell>
          <cell r="P383" t="str">
            <v>ПЛАН</v>
          </cell>
          <cell r="V383" t="str">
            <v>ПЛАН</v>
          </cell>
          <cell r="X383" t="str">
            <v>ПЛАН</v>
          </cell>
          <cell r="AA383" t="str">
            <v>ПЛАН</v>
          </cell>
          <cell r="AC383" t="str">
            <v>ПЛАН</v>
          </cell>
          <cell r="AK383" t="str">
            <v>ПЛАН</v>
          </cell>
          <cell r="AL383" t="str">
            <v>ПЛАН</v>
          </cell>
        </row>
        <row r="384">
          <cell r="F384" t="str">
            <v>лютий</v>
          </cell>
          <cell r="G384">
            <v>120</v>
          </cell>
          <cell r="H384">
            <v>119</v>
          </cell>
          <cell r="P384" t="str">
            <v>лютий</v>
          </cell>
          <cell r="S384">
            <v>14.333333333333332</v>
          </cell>
          <cell r="V384">
            <v>182</v>
          </cell>
          <cell r="W384">
            <v>148</v>
          </cell>
          <cell r="X384" t="str">
            <v>лютий</v>
          </cell>
          <cell r="Y384">
            <v>131</v>
          </cell>
          <cell r="Z384">
            <v>130</v>
          </cell>
          <cell r="AA384">
            <v>323.66666666666674</v>
          </cell>
          <cell r="AB384">
            <v>257</v>
          </cell>
          <cell r="AC384" t="str">
            <v>лютий</v>
          </cell>
          <cell r="AD384">
            <v>230</v>
          </cell>
          <cell r="AE384">
            <v>231</v>
          </cell>
          <cell r="AK384">
            <v>735.30000000000018</v>
          </cell>
          <cell r="AL384">
            <v>580.33333333333337</v>
          </cell>
          <cell r="AM384">
            <v>551.33333333333337</v>
          </cell>
        </row>
        <row r="385">
          <cell r="F385" t="str">
            <v>АППАРАТ</v>
          </cell>
          <cell r="G385">
            <v>21</v>
          </cell>
          <cell r="P385" t="str">
            <v>ККМ</v>
          </cell>
          <cell r="V385">
            <v>0</v>
          </cell>
          <cell r="W385">
            <v>0</v>
          </cell>
          <cell r="X385" t="str">
            <v>ТЕЦ5</v>
          </cell>
          <cell r="Y385">
            <v>0</v>
          </cell>
          <cell r="AA385">
            <v>3.6666666666666665</v>
          </cell>
          <cell r="AB385">
            <v>3</v>
          </cell>
          <cell r="AC385" t="str">
            <v>ТЕЦ6</v>
          </cell>
          <cell r="AD385">
            <v>3</v>
          </cell>
          <cell r="AK385" t="str">
            <v>АК "КЕ"</v>
          </cell>
          <cell r="AL385" t="str">
            <v>Е/Е</v>
          </cell>
        </row>
        <row r="386">
          <cell r="F386" t="str">
            <v>ПЛАН</v>
          </cell>
          <cell r="G386">
            <v>0</v>
          </cell>
          <cell r="P386" t="str">
            <v>ПЛАН</v>
          </cell>
          <cell r="V386">
            <v>146.66666666666666</v>
          </cell>
          <cell r="W386">
            <v>119</v>
          </cell>
          <cell r="X386" t="str">
            <v>ПЛАН</v>
          </cell>
          <cell r="Y386">
            <v>105</v>
          </cell>
          <cell r="AA386">
            <v>280.66666666666669</v>
          </cell>
          <cell r="AB386">
            <v>223</v>
          </cell>
          <cell r="AC386" t="str">
            <v>ПЛАН</v>
          </cell>
          <cell r="AD386">
            <v>200</v>
          </cell>
          <cell r="AK386" t="str">
            <v>ПЛАН</v>
          </cell>
          <cell r="AL386" t="str">
            <v>ПЛАН</v>
          </cell>
        </row>
        <row r="387">
          <cell r="F387">
            <v>164.3</v>
          </cell>
          <cell r="G387">
            <v>106</v>
          </cell>
          <cell r="H387">
            <v>106</v>
          </cell>
          <cell r="P387">
            <v>14.333333333333332</v>
          </cell>
          <cell r="S387">
            <v>14.333333333333332</v>
          </cell>
          <cell r="V387">
            <v>0</v>
          </cell>
          <cell r="W387">
            <v>0</v>
          </cell>
          <cell r="X387">
            <v>182</v>
          </cell>
          <cell r="Y387">
            <v>134</v>
          </cell>
          <cell r="Z387">
            <v>134</v>
          </cell>
          <cell r="AA387">
            <v>25</v>
          </cell>
          <cell r="AB387">
            <v>20</v>
          </cell>
          <cell r="AC387">
            <v>323.66666666666674</v>
          </cell>
          <cell r="AD387">
            <v>18</v>
          </cell>
          <cell r="AK387">
            <v>735.30000000000018</v>
          </cell>
          <cell r="AL387">
            <v>317.33333333333337</v>
          </cell>
          <cell r="AM387">
            <v>266.33333333333337</v>
          </cell>
        </row>
        <row r="388">
          <cell r="F388">
            <v>29</v>
          </cell>
          <cell r="G388">
            <v>19</v>
          </cell>
          <cell r="P388">
            <v>0</v>
          </cell>
          <cell r="V388">
            <v>25.333333333333332</v>
          </cell>
          <cell r="W388">
            <v>21</v>
          </cell>
          <cell r="X388">
            <v>0</v>
          </cell>
          <cell r="Y388">
            <v>0</v>
          </cell>
          <cell r="AA388">
            <v>0.66666666666666663</v>
          </cell>
          <cell r="AB388">
            <v>1</v>
          </cell>
          <cell r="AC388">
            <v>3.6666666666666665</v>
          </cell>
          <cell r="AD388">
            <v>0</v>
          </cell>
          <cell r="AK388">
            <v>46</v>
          </cell>
          <cell r="AL388">
            <v>22</v>
          </cell>
        </row>
        <row r="389">
          <cell r="F389">
            <v>0</v>
          </cell>
          <cell r="G389">
            <v>0</v>
          </cell>
          <cell r="P389">
            <v>0.66666666666666663</v>
          </cell>
          <cell r="V389">
            <v>0</v>
          </cell>
          <cell r="W389">
            <v>0</v>
          </cell>
          <cell r="X389">
            <v>146.66666666666666</v>
          </cell>
          <cell r="Y389">
            <v>108</v>
          </cell>
          <cell r="AA389">
            <v>0</v>
          </cell>
          <cell r="AB389">
            <v>0</v>
          </cell>
          <cell r="AC389">
            <v>280.66666666666669</v>
          </cell>
          <cell r="AD389">
            <v>0</v>
          </cell>
          <cell r="AK389">
            <v>428</v>
          </cell>
          <cell r="AL389">
            <v>108.66666666666667</v>
          </cell>
        </row>
        <row r="390">
          <cell r="F390">
            <v>0</v>
          </cell>
          <cell r="G390">
            <v>0</v>
          </cell>
          <cell r="P390">
            <v>2</v>
          </cell>
          <cell r="V390">
            <v>0</v>
          </cell>
          <cell r="W390">
            <v>0</v>
          </cell>
          <cell r="X390">
            <v>0</v>
          </cell>
          <cell r="Y390">
            <v>0</v>
          </cell>
          <cell r="AA390">
            <v>0</v>
          </cell>
          <cell r="AB390">
            <v>0</v>
          </cell>
          <cell r="AC390">
            <v>25</v>
          </cell>
          <cell r="AD390">
            <v>0</v>
          </cell>
          <cell r="AK390">
            <v>33.666666666666671</v>
          </cell>
          <cell r="AL390">
            <v>5</v>
          </cell>
        </row>
        <row r="391">
          <cell r="F391">
            <v>0</v>
          </cell>
          <cell r="G391">
            <v>0</v>
          </cell>
          <cell r="P391">
            <v>0</v>
          </cell>
          <cell r="V391">
            <v>0</v>
          </cell>
          <cell r="W391">
            <v>0</v>
          </cell>
          <cell r="X391">
            <v>25.333333333333332</v>
          </cell>
          <cell r="Y391">
            <v>19</v>
          </cell>
          <cell r="AA391">
            <v>0</v>
          </cell>
          <cell r="AB391">
            <v>0</v>
          </cell>
          <cell r="AC391">
            <v>0.66666666666666663</v>
          </cell>
          <cell r="AD391">
            <v>0</v>
          </cell>
          <cell r="AK391">
            <v>26</v>
          </cell>
          <cell r="AL391">
            <v>19</v>
          </cell>
        </row>
        <row r="392">
          <cell r="F392">
            <v>120.63333333333333</v>
          </cell>
          <cell r="G392">
            <v>78</v>
          </cell>
          <cell r="P392">
            <v>0</v>
          </cell>
          <cell r="V392">
            <v>0</v>
          </cell>
          <cell r="W392">
            <v>0</v>
          </cell>
          <cell r="X392">
            <v>0</v>
          </cell>
          <cell r="Y392">
            <v>0</v>
          </cell>
          <cell r="AA392">
            <v>0</v>
          </cell>
          <cell r="AB392">
            <v>0</v>
          </cell>
          <cell r="AC392">
            <v>0</v>
          </cell>
          <cell r="AD392">
            <v>0</v>
          </cell>
          <cell r="AK392">
            <v>120.63333333333333</v>
          </cell>
          <cell r="AL392">
            <v>80</v>
          </cell>
        </row>
        <row r="393">
          <cell r="F393">
            <v>8.6666666666666661</v>
          </cell>
          <cell r="G393">
            <v>6</v>
          </cell>
          <cell r="P393">
            <v>0</v>
          </cell>
          <cell r="V393">
            <v>0</v>
          </cell>
          <cell r="W393">
            <v>0</v>
          </cell>
          <cell r="X393">
            <v>0</v>
          </cell>
          <cell r="Y393">
            <v>0</v>
          </cell>
          <cell r="AA393">
            <v>0</v>
          </cell>
          <cell r="AB393">
            <v>0</v>
          </cell>
          <cell r="AC393">
            <v>0</v>
          </cell>
          <cell r="AD393">
            <v>0</v>
          </cell>
          <cell r="AK393">
            <v>8.6666666666666661</v>
          </cell>
          <cell r="AL393">
            <v>0</v>
          </cell>
        </row>
        <row r="394">
          <cell r="F394">
            <v>0</v>
          </cell>
          <cell r="G394">
            <v>0</v>
          </cell>
          <cell r="P394">
            <v>5.333333333333333</v>
          </cell>
          <cell r="V394">
            <v>10</v>
          </cell>
          <cell r="W394">
            <v>8</v>
          </cell>
          <cell r="X394">
            <v>0</v>
          </cell>
          <cell r="Y394">
            <v>0</v>
          </cell>
          <cell r="AA394">
            <v>13.666666666666666</v>
          </cell>
          <cell r="AB394">
            <v>11</v>
          </cell>
          <cell r="AC394">
            <v>0</v>
          </cell>
          <cell r="AD394">
            <v>10</v>
          </cell>
          <cell r="AK394">
            <v>22</v>
          </cell>
          <cell r="AL394">
            <v>15.333333333333332</v>
          </cell>
        </row>
        <row r="395">
          <cell r="F395">
            <v>5.333333333333333</v>
          </cell>
          <cell r="G395">
            <v>3</v>
          </cell>
          <cell r="P395">
            <v>0</v>
          </cell>
          <cell r="V395">
            <v>0</v>
          </cell>
          <cell r="W395">
            <v>0</v>
          </cell>
          <cell r="X395">
            <v>0</v>
          </cell>
          <cell r="Y395">
            <v>0</v>
          </cell>
          <cell r="AA395">
            <v>0</v>
          </cell>
          <cell r="AB395">
            <v>0</v>
          </cell>
          <cell r="AC395">
            <v>0</v>
          </cell>
          <cell r="AD395">
            <v>0</v>
          </cell>
          <cell r="AK395">
            <v>5.333333333333333</v>
          </cell>
          <cell r="AL395">
            <v>3</v>
          </cell>
        </row>
        <row r="396">
          <cell r="F396">
            <v>0.33333333333333331</v>
          </cell>
          <cell r="G396">
            <v>0</v>
          </cell>
          <cell r="P396">
            <v>4.333333333333333</v>
          </cell>
          <cell r="V396">
            <v>522.33333333333337</v>
          </cell>
          <cell r="W396">
            <v>424</v>
          </cell>
          <cell r="X396">
            <v>0</v>
          </cell>
          <cell r="Y396">
            <v>0</v>
          </cell>
          <cell r="AA396">
            <v>43</v>
          </cell>
          <cell r="AB396">
            <v>34</v>
          </cell>
          <cell r="AC396">
            <v>0</v>
          </cell>
          <cell r="AD396">
            <v>31</v>
          </cell>
          <cell r="AK396">
            <v>4.6666666666666661</v>
          </cell>
          <cell r="AL396">
            <v>4.333333333333333</v>
          </cell>
          <cell r="AM396">
            <v>479.83333333333337</v>
          </cell>
        </row>
        <row r="397">
          <cell r="F397">
            <v>0.33333333333333331</v>
          </cell>
          <cell r="G397">
            <v>0</v>
          </cell>
          <cell r="P397">
            <v>2</v>
          </cell>
          <cell r="V397">
            <v>0</v>
          </cell>
          <cell r="W397">
            <v>0</v>
          </cell>
          <cell r="X397">
            <v>10</v>
          </cell>
          <cell r="Y397">
            <v>7</v>
          </cell>
          <cell r="AA397">
            <v>0</v>
          </cell>
          <cell r="AB397">
            <v>0</v>
          </cell>
          <cell r="AC397">
            <v>13.666666666666666</v>
          </cell>
          <cell r="AD397">
            <v>0</v>
          </cell>
          <cell r="AK397">
            <v>26</v>
          </cell>
          <cell r="AL397">
            <v>9</v>
          </cell>
        </row>
        <row r="398">
          <cell r="F398">
            <v>0</v>
          </cell>
          <cell r="G398">
            <v>0</v>
          </cell>
          <cell r="P398">
            <v>0</v>
          </cell>
          <cell r="V398">
            <v>480.66666666666669</v>
          </cell>
          <cell r="W398">
            <v>390</v>
          </cell>
          <cell r="X398">
            <v>0</v>
          </cell>
          <cell r="Y398">
            <v>0</v>
          </cell>
          <cell r="AA398">
            <v>11</v>
          </cell>
          <cell r="AB398">
            <v>9</v>
          </cell>
          <cell r="AC398">
            <v>0</v>
          </cell>
          <cell r="AD398">
            <v>8</v>
          </cell>
          <cell r="AK398">
            <v>0</v>
          </cell>
          <cell r="AL398">
            <v>399</v>
          </cell>
        </row>
        <row r="399">
          <cell r="F399">
            <v>1.1666666666666667</v>
          </cell>
          <cell r="G399">
            <v>1</v>
          </cell>
          <cell r="P399">
            <v>20.5</v>
          </cell>
          <cell r="V399">
            <v>0</v>
          </cell>
          <cell r="W399">
            <v>0</v>
          </cell>
          <cell r="X399">
            <v>522.33333333333337</v>
          </cell>
          <cell r="Y399">
            <v>386</v>
          </cell>
          <cell r="AA399">
            <v>0</v>
          </cell>
          <cell r="AB399">
            <v>0</v>
          </cell>
          <cell r="AC399">
            <v>43</v>
          </cell>
          <cell r="AD399">
            <v>0</v>
          </cell>
          <cell r="AK399">
            <v>587.33333333333337</v>
          </cell>
          <cell r="AL399">
            <v>407.5</v>
          </cell>
          <cell r="AM399">
            <v>407.83333333333331</v>
          </cell>
        </row>
        <row r="400">
          <cell r="F400">
            <v>0</v>
          </cell>
          <cell r="G400">
            <v>0</v>
          </cell>
          <cell r="P400">
            <v>0</v>
          </cell>
          <cell r="V400">
            <v>41.666666666666664</v>
          </cell>
          <cell r="W400">
            <v>34</v>
          </cell>
          <cell r="X400">
            <v>0</v>
          </cell>
          <cell r="Y400">
            <v>0</v>
          </cell>
          <cell r="AA400">
            <v>32</v>
          </cell>
          <cell r="AB400">
            <v>25</v>
          </cell>
          <cell r="AC400">
            <v>0</v>
          </cell>
          <cell r="AD400">
            <v>23</v>
          </cell>
          <cell r="AK400">
            <v>0</v>
          </cell>
          <cell r="AL400">
            <v>0</v>
          </cell>
        </row>
        <row r="401">
          <cell r="F401">
            <v>0</v>
          </cell>
          <cell r="G401">
            <v>0</v>
          </cell>
          <cell r="P401">
            <v>0</v>
          </cell>
          <cell r="V401">
            <v>0</v>
          </cell>
          <cell r="W401">
            <v>0</v>
          </cell>
          <cell r="X401">
            <v>480.66666666666669</v>
          </cell>
          <cell r="Y401">
            <v>355</v>
          </cell>
          <cell r="AA401">
            <v>0</v>
          </cell>
          <cell r="AB401">
            <v>0</v>
          </cell>
          <cell r="AC401">
            <v>11</v>
          </cell>
          <cell r="AD401">
            <v>0</v>
          </cell>
          <cell r="AK401">
            <v>491.66666666666669</v>
          </cell>
          <cell r="AL401">
            <v>355</v>
          </cell>
        </row>
        <row r="402">
          <cell r="F402">
            <v>0</v>
          </cell>
          <cell r="G402">
            <v>0</v>
          </cell>
          <cell r="P402">
            <v>0</v>
          </cell>
          <cell r="V402">
            <v>0</v>
          </cell>
          <cell r="W402">
            <v>0</v>
          </cell>
          <cell r="X402">
            <v>0</v>
          </cell>
          <cell r="Y402">
            <v>0</v>
          </cell>
          <cell r="AA402">
            <v>0</v>
          </cell>
          <cell r="AB402">
            <v>0</v>
          </cell>
          <cell r="AC402">
            <v>0</v>
          </cell>
          <cell r="AD402">
            <v>0</v>
          </cell>
          <cell r="AK402">
            <v>0</v>
          </cell>
          <cell r="AL402">
            <v>0</v>
          </cell>
        </row>
        <row r="403">
          <cell r="F403">
            <v>1.1666666666666667</v>
          </cell>
          <cell r="G403">
            <v>1</v>
          </cell>
          <cell r="P403">
            <v>15.833333333333334</v>
          </cell>
          <cell r="V403">
            <v>0</v>
          </cell>
          <cell r="W403">
            <v>0</v>
          </cell>
          <cell r="X403">
            <v>41.666666666666664</v>
          </cell>
          <cell r="Y403">
            <v>31</v>
          </cell>
          <cell r="AA403">
            <v>0</v>
          </cell>
          <cell r="AB403">
            <v>0</v>
          </cell>
          <cell r="AC403">
            <v>32</v>
          </cell>
          <cell r="AD403">
            <v>0</v>
          </cell>
          <cell r="AK403">
            <v>91</v>
          </cell>
          <cell r="AL403">
            <v>52.833333333333336</v>
          </cell>
          <cell r="AM403">
            <v>46</v>
          </cell>
        </row>
        <row r="404">
          <cell r="F404">
            <v>0</v>
          </cell>
          <cell r="G404">
            <v>0</v>
          </cell>
          <cell r="P404">
            <v>4.666666666666667</v>
          </cell>
          <cell r="V404">
            <v>0</v>
          </cell>
          <cell r="W404">
            <v>0</v>
          </cell>
          <cell r="X404">
            <v>0</v>
          </cell>
          <cell r="Y404">
            <v>0</v>
          </cell>
          <cell r="AA404">
            <v>0</v>
          </cell>
          <cell r="AB404">
            <v>0</v>
          </cell>
          <cell r="AC404">
            <v>0</v>
          </cell>
          <cell r="AD404">
            <v>0</v>
          </cell>
          <cell r="AK404">
            <v>4.666666666666667</v>
          </cell>
          <cell r="AL404">
            <v>0</v>
          </cell>
        </row>
        <row r="405">
          <cell r="F405">
            <v>0</v>
          </cell>
          <cell r="G405">
            <v>0</v>
          </cell>
          <cell r="P405">
            <v>0</v>
          </cell>
          <cell r="V405">
            <v>0</v>
          </cell>
          <cell r="W405">
            <v>0</v>
          </cell>
          <cell r="X405">
            <v>0</v>
          </cell>
          <cell r="Y405">
            <v>0</v>
          </cell>
          <cell r="AA405">
            <v>0</v>
          </cell>
          <cell r="AB405">
            <v>0</v>
          </cell>
          <cell r="AC405">
            <v>0</v>
          </cell>
          <cell r="AD405">
            <v>0</v>
          </cell>
          <cell r="AK405">
            <v>0</v>
          </cell>
          <cell r="AL405">
            <v>40.666666666666664</v>
          </cell>
        </row>
        <row r="406">
          <cell r="F406">
            <v>10</v>
          </cell>
          <cell r="G406">
            <v>6</v>
          </cell>
          <cell r="P406">
            <v>39</v>
          </cell>
          <cell r="V406">
            <v>0</v>
          </cell>
          <cell r="W406">
            <v>0</v>
          </cell>
          <cell r="X406">
            <v>0</v>
          </cell>
          <cell r="Y406">
            <v>0</v>
          </cell>
          <cell r="AA406">
            <v>0</v>
          </cell>
          <cell r="AB406">
            <v>0</v>
          </cell>
          <cell r="AC406">
            <v>0</v>
          </cell>
          <cell r="AD406">
            <v>0</v>
          </cell>
          <cell r="AK406">
            <v>49</v>
          </cell>
          <cell r="AL406">
            <v>45</v>
          </cell>
          <cell r="AM406">
            <v>46</v>
          </cell>
        </row>
        <row r="407">
          <cell r="F407">
            <v>2.6666666666666665</v>
          </cell>
          <cell r="G407">
            <v>2</v>
          </cell>
          <cell r="H407">
            <v>150</v>
          </cell>
          <cell r="P407">
            <v>3.3333333333333335</v>
          </cell>
          <cell r="S407">
            <v>50.166666666666671</v>
          </cell>
          <cell r="V407">
            <v>37.833333333333343</v>
          </cell>
          <cell r="W407">
            <v>31</v>
          </cell>
          <cell r="X407">
            <v>0</v>
          </cell>
          <cell r="Y407">
            <v>0</v>
          </cell>
          <cell r="AA407">
            <v>26.000000000000004</v>
          </cell>
          <cell r="AB407">
            <v>21</v>
          </cell>
          <cell r="AC407">
            <v>0</v>
          </cell>
          <cell r="AD407">
            <v>18</v>
          </cell>
          <cell r="AK407">
            <v>6</v>
          </cell>
          <cell r="AL407">
            <v>5.3333333333333339</v>
          </cell>
          <cell r="AM407">
            <v>513.16666666666663</v>
          </cell>
        </row>
        <row r="408">
          <cell r="F408">
            <v>7.333333333333333</v>
          </cell>
          <cell r="G408">
            <v>5</v>
          </cell>
          <cell r="P408">
            <v>35.666666666666664</v>
          </cell>
          <cell r="V408">
            <v>0</v>
          </cell>
          <cell r="W408">
            <v>0</v>
          </cell>
          <cell r="X408">
            <v>0</v>
          </cell>
          <cell r="Y408">
            <v>0</v>
          </cell>
          <cell r="AA408">
            <v>0</v>
          </cell>
          <cell r="AB408">
            <v>0</v>
          </cell>
          <cell r="AC408">
            <v>0</v>
          </cell>
          <cell r="AD408">
            <v>0</v>
          </cell>
          <cell r="AK408">
            <v>43</v>
          </cell>
          <cell r="AL408">
            <v>40.666666666666664</v>
          </cell>
        </row>
        <row r="409">
          <cell r="F409">
            <v>0</v>
          </cell>
          <cell r="G409">
            <v>0</v>
          </cell>
          <cell r="P409">
            <v>0</v>
          </cell>
          <cell r="V409">
            <v>0</v>
          </cell>
          <cell r="W409">
            <v>0</v>
          </cell>
          <cell r="X409">
            <v>0</v>
          </cell>
          <cell r="Y409">
            <v>0</v>
          </cell>
          <cell r="AA409">
            <v>0</v>
          </cell>
          <cell r="AB409">
            <v>0</v>
          </cell>
          <cell r="AC409">
            <v>0</v>
          </cell>
          <cell r="AD409">
            <v>0</v>
          </cell>
          <cell r="AK409">
            <v>0</v>
          </cell>
          <cell r="AL409">
            <v>95</v>
          </cell>
        </row>
        <row r="410">
          <cell r="F410">
            <v>206.33333333333329</v>
          </cell>
          <cell r="G410">
            <v>134</v>
          </cell>
          <cell r="H410">
            <v>134</v>
          </cell>
          <cell r="P410">
            <v>50.166666666666671</v>
          </cell>
          <cell r="S410">
            <v>50.166666666666671</v>
          </cell>
          <cell r="V410">
            <v>0</v>
          </cell>
          <cell r="W410">
            <v>0</v>
          </cell>
          <cell r="X410">
            <v>37.833333333333343</v>
          </cell>
          <cell r="Y410">
            <v>28</v>
          </cell>
          <cell r="AA410">
            <v>0</v>
          </cell>
          <cell r="AB410">
            <v>0</v>
          </cell>
          <cell r="AC410">
            <v>26.000000000000004</v>
          </cell>
          <cell r="AD410">
            <v>0</v>
          </cell>
          <cell r="AK410">
            <v>1965.0000000000002</v>
          </cell>
          <cell r="AL410">
            <v>469.16666666666663</v>
          </cell>
          <cell r="AM410">
            <v>469.16666666666663</v>
          </cell>
        </row>
        <row r="411">
          <cell r="F411">
            <v>0</v>
          </cell>
          <cell r="G411">
            <v>0</v>
          </cell>
          <cell r="P411">
            <v>0</v>
          </cell>
          <cell r="V411">
            <v>0</v>
          </cell>
          <cell r="W411">
            <v>0</v>
          </cell>
          <cell r="X411">
            <v>0</v>
          </cell>
          <cell r="Y411">
            <v>0</v>
          </cell>
          <cell r="AA411">
            <v>0</v>
          </cell>
          <cell r="AB411">
            <v>0</v>
          </cell>
          <cell r="AC411">
            <v>0</v>
          </cell>
          <cell r="AD411">
            <v>0</v>
          </cell>
          <cell r="AK411">
            <v>1350</v>
          </cell>
          <cell r="AL411">
            <v>0</v>
          </cell>
        </row>
        <row r="412">
          <cell r="F412">
            <v>0</v>
          </cell>
          <cell r="G412">
            <v>0</v>
          </cell>
          <cell r="P412">
            <v>0</v>
          </cell>
          <cell r="V412">
            <v>0</v>
          </cell>
          <cell r="W412">
            <v>0</v>
          </cell>
          <cell r="X412">
            <v>0</v>
          </cell>
          <cell r="Y412">
            <v>0</v>
          </cell>
          <cell r="AA412">
            <v>0</v>
          </cell>
          <cell r="AB412">
            <v>0</v>
          </cell>
          <cell r="AC412">
            <v>0</v>
          </cell>
          <cell r="AD412">
            <v>0</v>
          </cell>
          <cell r="AK412">
            <v>95</v>
          </cell>
          <cell r="AL412">
            <v>95</v>
          </cell>
        </row>
        <row r="413">
          <cell r="F413">
            <v>0</v>
          </cell>
          <cell r="G413">
            <v>0</v>
          </cell>
          <cell r="P413">
            <v>0</v>
          </cell>
          <cell r="V413">
            <v>3</v>
          </cell>
          <cell r="W413">
            <v>2</v>
          </cell>
          <cell r="X413">
            <v>0</v>
          </cell>
          <cell r="Y413">
            <v>0</v>
          </cell>
          <cell r="AA413">
            <v>3</v>
          </cell>
          <cell r="AB413">
            <v>2</v>
          </cell>
          <cell r="AC413">
            <v>0</v>
          </cell>
          <cell r="AD413">
            <v>2</v>
          </cell>
          <cell r="AK413">
            <v>0</v>
          </cell>
          <cell r="AL413">
            <v>0</v>
          </cell>
        </row>
        <row r="414">
          <cell r="F414">
            <v>0</v>
          </cell>
          <cell r="G414">
            <v>0</v>
          </cell>
          <cell r="P414">
            <v>12.333333333333334</v>
          </cell>
          <cell r="V414">
            <v>0</v>
          </cell>
          <cell r="W414">
            <v>0</v>
          </cell>
          <cell r="X414">
            <v>0</v>
          </cell>
          <cell r="Y414">
            <v>0</v>
          </cell>
          <cell r="AA414">
            <v>0</v>
          </cell>
          <cell r="AB414">
            <v>0</v>
          </cell>
          <cell r="AC414">
            <v>0</v>
          </cell>
          <cell r="AD414">
            <v>0</v>
          </cell>
          <cell r="AK414">
            <v>12.333333333333334</v>
          </cell>
          <cell r="AL414">
            <v>12.333333333333334</v>
          </cell>
        </row>
        <row r="415">
          <cell r="F415">
            <v>0</v>
          </cell>
          <cell r="G415">
            <v>0</v>
          </cell>
          <cell r="P415">
            <v>0</v>
          </cell>
          <cell r="V415">
            <v>0</v>
          </cell>
          <cell r="W415">
            <v>0</v>
          </cell>
          <cell r="X415">
            <v>0</v>
          </cell>
          <cell r="Y415">
            <v>0</v>
          </cell>
          <cell r="AA415">
            <v>0</v>
          </cell>
          <cell r="AB415">
            <v>0</v>
          </cell>
          <cell r="AC415">
            <v>0</v>
          </cell>
          <cell r="AD415">
            <v>0</v>
          </cell>
          <cell r="AK415">
            <v>0</v>
          </cell>
          <cell r="AL415">
            <v>0</v>
          </cell>
        </row>
        <row r="416">
          <cell r="F416">
            <v>1.6666666666666667</v>
          </cell>
          <cell r="G416">
            <v>1</v>
          </cell>
          <cell r="P416">
            <v>5</v>
          </cell>
          <cell r="V416">
            <v>4.5</v>
          </cell>
          <cell r="W416">
            <v>4</v>
          </cell>
          <cell r="X416">
            <v>3</v>
          </cell>
          <cell r="Y416">
            <v>2</v>
          </cell>
          <cell r="AA416">
            <v>1.3333333333333333</v>
          </cell>
          <cell r="AB416">
            <v>1</v>
          </cell>
          <cell r="AC416">
            <v>3</v>
          </cell>
          <cell r="AD416">
            <v>1</v>
          </cell>
          <cell r="AK416">
            <v>57.666666666666664</v>
          </cell>
          <cell r="AL416">
            <v>48</v>
          </cell>
        </row>
        <row r="417">
          <cell r="F417">
            <v>0</v>
          </cell>
          <cell r="G417">
            <v>0</v>
          </cell>
          <cell r="P417">
            <v>0</v>
          </cell>
          <cell r="V417">
            <v>0</v>
          </cell>
          <cell r="W417">
            <v>0</v>
          </cell>
          <cell r="X417">
            <v>0</v>
          </cell>
          <cell r="Y417">
            <v>0</v>
          </cell>
          <cell r="AA417">
            <v>1.6666666666666667</v>
          </cell>
          <cell r="AB417">
            <v>1</v>
          </cell>
          <cell r="AC417">
            <v>0</v>
          </cell>
          <cell r="AD417">
            <v>1</v>
          </cell>
          <cell r="AK417">
            <v>4</v>
          </cell>
          <cell r="AL417">
            <v>0</v>
          </cell>
        </row>
        <row r="418">
          <cell r="F418">
            <v>0</v>
          </cell>
          <cell r="G418">
            <v>0</v>
          </cell>
          <cell r="P418">
            <v>0</v>
          </cell>
          <cell r="V418">
            <v>0</v>
          </cell>
          <cell r="W418">
            <v>0</v>
          </cell>
          <cell r="X418">
            <v>0</v>
          </cell>
          <cell r="Y418">
            <v>0</v>
          </cell>
          <cell r="AA418">
            <v>0</v>
          </cell>
          <cell r="AB418">
            <v>0</v>
          </cell>
          <cell r="AC418">
            <v>0</v>
          </cell>
          <cell r="AD418">
            <v>0</v>
          </cell>
          <cell r="AK418">
            <v>0</v>
          </cell>
          <cell r="AL418">
            <v>0</v>
          </cell>
        </row>
        <row r="419">
          <cell r="F419">
            <v>0</v>
          </cell>
          <cell r="G419">
            <v>0</v>
          </cell>
          <cell r="P419">
            <v>18.5</v>
          </cell>
          <cell r="V419">
            <v>10</v>
          </cell>
          <cell r="W419">
            <v>8</v>
          </cell>
          <cell r="X419">
            <v>4.5</v>
          </cell>
          <cell r="Y419">
            <v>3</v>
          </cell>
          <cell r="AA419">
            <v>7.666666666666667</v>
          </cell>
          <cell r="AB419">
            <v>6</v>
          </cell>
          <cell r="AC419">
            <v>1.3333333333333333</v>
          </cell>
          <cell r="AD419">
            <v>5</v>
          </cell>
          <cell r="AK419">
            <v>28.5</v>
          </cell>
          <cell r="AL419">
            <v>25.5</v>
          </cell>
        </row>
        <row r="420">
          <cell r="F420">
            <v>0</v>
          </cell>
          <cell r="G420">
            <v>0</v>
          </cell>
          <cell r="P420">
            <v>1.3333333333333333</v>
          </cell>
          <cell r="V420">
            <v>1.3333333333333333</v>
          </cell>
          <cell r="W420">
            <v>1</v>
          </cell>
          <cell r="X420">
            <v>0</v>
          </cell>
          <cell r="Y420">
            <v>0</v>
          </cell>
          <cell r="AA420">
            <v>1</v>
          </cell>
          <cell r="AB420">
            <v>1</v>
          </cell>
          <cell r="AC420">
            <v>1.6666666666666667</v>
          </cell>
          <cell r="AD420">
            <v>1</v>
          </cell>
          <cell r="AK420">
            <v>69</v>
          </cell>
          <cell r="AL420">
            <v>51.333333333333336</v>
          </cell>
        </row>
        <row r="421">
          <cell r="F421">
            <v>177</v>
          </cell>
          <cell r="G421">
            <v>115</v>
          </cell>
          <cell r="P421">
            <v>0</v>
          </cell>
          <cell r="V421">
            <v>1</v>
          </cell>
          <cell r="W421">
            <v>1</v>
          </cell>
          <cell r="X421">
            <v>0</v>
          </cell>
          <cell r="Y421">
            <v>0</v>
          </cell>
          <cell r="AA421">
            <v>0.66666666666666663</v>
          </cell>
          <cell r="AB421">
            <v>1</v>
          </cell>
          <cell r="AC421">
            <v>0</v>
          </cell>
          <cell r="AD421">
            <v>0</v>
          </cell>
          <cell r="AK421">
            <v>177</v>
          </cell>
          <cell r="AL421">
            <v>115</v>
          </cell>
        </row>
        <row r="422">
          <cell r="F422">
            <v>0</v>
          </cell>
          <cell r="G422">
            <v>0</v>
          </cell>
          <cell r="P422">
            <v>0</v>
          </cell>
          <cell r="V422">
            <v>6</v>
          </cell>
          <cell r="W422">
            <v>5</v>
          </cell>
          <cell r="X422">
            <v>10</v>
          </cell>
          <cell r="Y422">
            <v>7</v>
          </cell>
          <cell r="AA422">
            <v>5</v>
          </cell>
          <cell r="AB422">
            <v>4</v>
          </cell>
          <cell r="AC422">
            <v>7.666666666666667</v>
          </cell>
          <cell r="AD422">
            <v>4</v>
          </cell>
          <cell r="AK422">
            <v>17.666666666666668</v>
          </cell>
          <cell r="AL422">
            <v>7</v>
          </cell>
        </row>
        <row r="423">
          <cell r="F423">
            <v>0.66666666666666663</v>
          </cell>
          <cell r="G423">
            <v>0</v>
          </cell>
          <cell r="P423">
            <v>2</v>
          </cell>
          <cell r="V423">
            <v>0</v>
          </cell>
          <cell r="W423">
            <v>0</v>
          </cell>
          <cell r="X423">
            <v>1.3333333333333333</v>
          </cell>
          <cell r="Y423">
            <v>1</v>
          </cell>
          <cell r="AA423">
            <v>0</v>
          </cell>
          <cell r="AB423">
            <v>0</v>
          </cell>
          <cell r="AC423">
            <v>1</v>
          </cell>
          <cell r="AD423">
            <v>0</v>
          </cell>
          <cell r="AK423">
            <v>6</v>
          </cell>
          <cell r="AL423">
            <v>3</v>
          </cell>
        </row>
        <row r="424">
          <cell r="F424">
            <v>2.6666666666666665</v>
          </cell>
          <cell r="G424">
            <v>2</v>
          </cell>
          <cell r="P424">
            <v>0.33333333333333331</v>
          </cell>
          <cell r="V424">
            <v>0</v>
          </cell>
          <cell r="W424">
            <v>0</v>
          </cell>
          <cell r="X424">
            <v>1</v>
          </cell>
          <cell r="Y424">
            <v>1</v>
          </cell>
          <cell r="AA424">
            <v>0</v>
          </cell>
          <cell r="AB424">
            <v>0</v>
          </cell>
          <cell r="AC424">
            <v>0.66666666666666663</v>
          </cell>
          <cell r="AD424">
            <v>0</v>
          </cell>
          <cell r="AK424">
            <v>9.3333333333333339</v>
          </cell>
          <cell r="AL424">
            <v>5.333333333333333</v>
          </cell>
        </row>
        <row r="425">
          <cell r="F425">
            <v>0</v>
          </cell>
          <cell r="G425">
            <v>0</v>
          </cell>
          <cell r="P425">
            <v>2.3333333333333335</v>
          </cell>
          <cell r="V425">
            <v>0</v>
          </cell>
          <cell r="W425">
            <v>0</v>
          </cell>
          <cell r="X425">
            <v>6</v>
          </cell>
          <cell r="Y425">
            <v>4</v>
          </cell>
          <cell r="AA425">
            <v>0</v>
          </cell>
          <cell r="AB425">
            <v>0</v>
          </cell>
          <cell r="AC425">
            <v>5</v>
          </cell>
          <cell r="AD425">
            <v>0</v>
          </cell>
          <cell r="AK425">
            <v>13.333333333333334</v>
          </cell>
          <cell r="AL425">
            <v>6.3333333333333339</v>
          </cell>
        </row>
        <row r="426">
          <cell r="F426">
            <v>0</v>
          </cell>
          <cell r="G426">
            <v>0</v>
          </cell>
          <cell r="P426">
            <v>0</v>
          </cell>
          <cell r="V426">
            <v>0</v>
          </cell>
          <cell r="W426">
            <v>0</v>
          </cell>
          <cell r="X426">
            <v>0</v>
          </cell>
          <cell r="Y426">
            <v>0</v>
          </cell>
          <cell r="AA426">
            <v>0</v>
          </cell>
          <cell r="AB426">
            <v>0</v>
          </cell>
          <cell r="AC426">
            <v>0</v>
          </cell>
          <cell r="AD426">
            <v>0</v>
          </cell>
          <cell r="AK426">
            <v>0</v>
          </cell>
          <cell r="AL426">
            <v>0</v>
          </cell>
        </row>
        <row r="427">
          <cell r="F427">
            <v>0</v>
          </cell>
          <cell r="G427">
            <v>0</v>
          </cell>
          <cell r="P427">
            <v>0</v>
          </cell>
          <cell r="V427">
            <v>0.66666666666666663</v>
          </cell>
          <cell r="W427">
            <v>1</v>
          </cell>
          <cell r="X427">
            <v>0</v>
          </cell>
          <cell r="Y427">
            <v>0</v>
          </cell>
          <cell r="AA427">
            <v>0.66666666666666663</v>
          </cell>
          <cell r="AB427">
            <v>1</v>
          </cell>
          <cell r="AC427">
            <v>0</v>
          </cell>
          <cell r="AD427">
            <v>0</v>
          </cell>
          <cell r="AK427">
            <v>0</v>
          </cell>
          <cell r="AL427">
            <v>0</v>
          </cell>
        </row>
        <row r="428">
          <cell r="F428">
            <v>9.6666666666666661</v>
          </cell>
          <cell r="G428">
            <v>6</v>
          </cell>
          <cell r="P428">
            <v>1</v>
          </cell>
          <cell r="V428">
            <v>0.66666666666666663</v>
          </cell>
          <cell r="W428">
            <v>1</v>
          </cell>
          <cell r="X428">
            <v>0</v>
          </cell>
          <cell r="Y428">
            <v>0</v>
          </cell>
          <cell r="AA428">
            <v>0.66666666666666663</v>
          </cell>
          <cell r="AB428">
            <v>1</v>
          </cell>
          <cell r="AC428">
            <v>0</v>
          </cell>
          <cell r="AD428">
            <v>0</v>
          </cell>
          <cell r="AK428">
            <v>12</v>
          </cell>
          <cell r="AL428">
            <v>8</v>
          </cell>
        </row>
        <row r="429">
          <cell r="F429">
            <v>0</v>
          </cell>
          <cell r="G429">
            <v>0</v>
          </cell>
          <cell r="P429">
            <v>0</v>
          </cell>
          <cell r="V429">
            <v>3</v>
          </cell>
          <cell r="W429">
            <v>2</v>
          </cell>
          <cell r="X429">
            <v>0</v>
          </cell>
          <cell r="Y429">
            <v>0</v>
          </cell>
          <cell r="AA429">
            <v>2</v>
          </cell>
          <cell r="AB429">
            <v>2</v>
          </cell>
          <cell r="AC429">
            <v>0</v>
          </cell>
          <cell r="AD429">
            <v>1</v>
          </cell>
          <cell r="AK429">
            <v>0</v>
          </cell>
          <cell r="AL429">
            <v>0</v>
          </cell>
        </row>
        <row r="430">
          <cell r="F430">
            <v>2.3333333333333335</v>
          </cell>
          <cell r="G430">
            <v>2</v>
          </cell>
          <cell r="P430">
            <v>0.66666666666666663</v>
          </cell>
          <cell r="V430">
            <v>0</v>
          </cell>
          <cell r="W430">
            <v>0</v>
          </cell>
          <cell r="X430">
            <v>0.66666666666666663</v>
          </cell>
          <cell r="Y430">
            <v>0</v>
          </cell>
          <cell r="AA430">
            <v>0</v>
          </cell>
          <cell r="AB430">
            <v>0</v>
          </cell>
          <cell r="AC430">
            <v>0.66666666666666663</v>
          </cell>
          <cell r="AD430">
            <v>0</v>
          </cell>
          <cell r="AK430">
            <v>4.333333333333333</v>
          </cell>
          <cell r="AL430">
            <v>2.6666666666666665</v>
          </cell>
        </row>
        <row r="431">
          <cell r="F431">
            <v>1.6666666666666667</v>
          </cell>
          <cell r="G431">
            <v>1</v>
          </cell>
          <cell r="P431">
            <v>0.66666666666666663</v>
          </cell>
          <cell r="V431">
            <v>0</v>
          </cell>
          <cell r="W431">
            <v>0</v>
          </cell>
          <cell r="X431">
            <v>0.66666666666666663</v>
          </cell>
          <cell r="Y431">
            <v>0</v>
          </cell>
          <cell r="AA431">
            <v>0</v>
          </cell>
          <cell r="AB431">
            <v>0</v>
          </cell>
          <cell r="AC431">
            <v>0.66666666666666663</v>
          </cell>
          <cell r="AD431">
            <v>0</v>
          </cell>
          <cell r="AK431">
            <v>3.6666666666666665</v>
          </cell>
          <cell r="AL431">
            <v>1.6666666666666665</v>
          </cell>
        </row>
        <row r="432">
          <cell r="F432">
            <v>6.666666666666667</v>
          </cell>
          <cell r="G432">
            <v>4</v>
          </cell>
          <cell r="P432">
            <v>4.666666666666667</v>
          </cell>
          <cell r="V432">
            <v>0</v>
          </cell>
          <cell r="W432">
            <v>0</v>
          </cell>
          <cell r="X432">
            <v>3</v>
          </cell>
          <cell r="Y432">
            <v>2</v>
          </cell>
          <cell r="AA432">
            <v>0</v>
          </cell>
          <cell r="AB432">
            <v>0</v>
          </cell>
          <cell r="AC432">
            <v>2</v>
          </cell>
          <cell r="AD432">
            <v>0</v>
          </cell>
          <cell r="AK432">
            <v>33</v>
          </cell>
          <cell r="AL432">
            <v>20.666666666666668</v>
          </cell>
        </row>
        <row r="433">
          <cell r="F433">
            <v>0</v>
          </cell>
          <cell r="G433">
            <v>0</v>
          </cell>
          <cell r="P433">
            <v>0</v>
          </cell>
          <cell r="V433">
            <v>0</v>
          </cell>
          <cell r="W433">
            <v>0</v>
          </cell>
          <cell r="X433">
            <v>0</v>
          </cell>
          <cell r="Y433">
            <v>0</v>
          </cell>
          <cell r="AA433">
            <v>0</v>
          </cell>
          <cell r="AB433">
            <v>0</v>
          </cell>
          <cell r="AC433">
            <v>0</v>
          </cell>
          <cell r="AD433">
            <v>0</v>
          </cell>
          <cell r="AK433">
            <v>0</v>
          </cell>
          <cell r="AL433">
            <v>0</v>
          </cell>
        </row>
        <row r="434">
          <cell r="F434">
            <v>0</v>
          </cell>
          <cell r="G434">
            <v>0</v>
          </cell>
          <cell r="P434">
            <v>0</v>
          </cell>
          <cell r="V434">
            <v>0</v>
          </cell>
          <cell r="W434">
            <v>0</v>
          </cell>
          <cell r="X434">
            <v>0</v>
          </cell>
          <cell r="Y434">
            <v>0</v>
          </cell>
          <cell r="AA434">
            <v>0</v>
          </cell>
          <cell r="AB434">
            <v>0</v>
          </cell>
          <cell r="AC434">
            <v>0</v>
          </cell>
          <cell r="AD434">
            <v>0</v>
          </cell>
          <cell r="AK434">
            <v>0</v>
          </cell>
          <cell r="AL434">
            <v>53</v>
          </cell>
        </row>
        <row r="435">
          <cell r="F435">
            <v>1</v>
          </cell>
          <cell r="G435">
            <v>1</v>
          </cell>
          <cell r="P435">
            <v>0</v>
          </cell>
          <cell r="V435">
            <v>4</v>
          </cell>
          <cell r="W435">
            <v>3</v>
          </cell>
          <cell r="X435">
            <v>0</v>
          </cell>
          <cell r="Y435">
            <v>0</v>
          </cell>
          <cell r="AA435">
            <v>2</v>
          </cell>
          <cell r="AB435">
            <v>2</v>
          </cell>
          <cell r="AC435">
            <v>0</v>
          </cell>
          <cell r="AD435">
            <v>1</v>
          </cell>
          <cell r="AK435">
            <v>1</v>
          </cell>
          <cell r="AL435">
            <v>1</v>
          </cell>
        </row>
        <row r="436">
          <cell r="F436">
            <v>0</v>
          </cell>
          <cell r="G436">
            <v>0</v>
          </cell>
          <cell r="P436">
            <v>0</v>
          </cell>
          <cell r="V436">
            <v>0</v>
          </cell>
          <cell r="W436">
            <v>0</v>
          </cell>
          <cell r="X436">
            <v>0</v>
          </cell>
          <cell r="Y436">
            <v>0</v>
          </cell>
          <cell r="AA436">
            <v>0</v>
          </cell>
          <cell r="AB436">
            <v>0</v>
          </cell>
          <cell r="AC436">
            <v>0</v>
          </cell>
          <cell r="AD436">
            <v>0</v>
          </cell>
          <cell r="AK436">
            <v>0</v>
          </cell>
          <cell r="AL436">
            <v>0</v>
          </cell>
        </row>
        <row r="437">
          <cell r="F437">
            <v>0</v>
          </cell>
          <cell r="G437">
            <v>0</v>
          </cell>
          <cell r="P437">
            <v>0</v>
          </cell>
          <cell r="V437">
            <v>3.3333333333333335</v>
          </cell>
          <cell r="W437">
            <v>3</v>
          </cell>
          <cell r="X437">
            <v>0</v>
          </cell>
          <cell r="Y437">
            <v>0</v>
          </cell>
          <cell r="AA437">
            <v>0</v>
          </cell>
          <cell r="AB437">
            <v>0</v>
          </cell>
          <cell r="AC437">
            <v>0</v>
          </cell>
          <cell r="AD437">
            <v>0</v>
          </cell>
          <cell r="AK437">
            <v>0</v>
          </cell>
          <cell r="AL437">
            <v>0</v>
          </cell>
        </row>
        <row r="438">
          <cell r="F438">
            <v>2.6666666666666665</v>
          </cell>
          <cell r="G438">
            <v>2</v>
          </cell>
          <cell r="P438">
            <v>1</v>
          </cell>
          <cell r="V438">
            <v>0.33333333333333331</v>
          </cell>
          <cell r="W438">
            <v>0</v>
          </cell>
          <cell r="X438">
            <v>4</v>
          </cell>
          <cell r="Y438">
            <v>3</v>
          </cell>
          <cell r="AA438">
            <v>0.33333333333333331</v>
          </cell>
          <cell r="AB438">
            <v>0</v>
          </cell>
          <cell r="AC438">
            <v>2</v>
          </cell>
          <cell r="AD438">
            <v>0</v>
          </cell>
          <cell r="AK438">
            <v>15.666666666666666</v>
          </cell>
          <cell r="AL438">
            <v>9</v>
          </cell>
        </row>
        <row r="439">
          <cell r="F439">
            <v>0</v>
          </cell>
          <cell r="G439">
            <v>0</v>
          </cell>
          <cell r="P439">
            <v>0</v>
          </cell>
          <cell r="V439">
            <v>0</v>
          </cell>
          <cell r="W439">
            <v>0</v>
          </cell>
          <cell r="X439">
            <v>0</v>
          </cell>
          <cell r="Y439">
            <v>0</v>
          </cell>
          <cell r="AA439">
            <v>0</v>
          </cell>
          <cell r="AB439">
            <v>0</v>
          </cell>
          <cell r="AC439">
            <v>0</v>
          </cell>
          <cell r="AD439">
            <v>0</v>
          </cell>
          <cell r="AK439">
            <v>0</v>
          </cell>
          <cell r="AL439">
            <v>0</v>
          </cell>
        </row>
        <row r="440">
          <cell r="F440">
            <v>0</v>
          </cell>
          <cell r="G440">
            <v>0</v>
          </cell>
          <cell r="P440">
            <v>0</v>
          </cell>
          <cell r="V440">
            <v>0</v>
          </cell>
          <cell r="W440">
            <v>0</v>
          </cell>
          <cell r="X440">
            <v>3.3333333333333335</v>
          </cell>
          <cell r="Y440">
            <v>2</v>
          </cell>
          <cell r="AA440">
            <v>0</v>
          </cell>
          <cell r="AB440">
            <v>0</v>
          </cell>
          <cell r="AC440">
            <v>0</v>
          </cell>
          <cell r="AD440">
            <v>0</v>
          </cell>
          <cell r="AK440">
            <v>3.3333333333333335</v>
          </cell>
          <cell r="AL440">
            <v>2</v>
          </cell>
        </row>
        <row r="441">
          <cell r="F441">
            <v>0.33333333333333331</v>
          </cell>
          <cell r="G441">
            <v>0</v>
          </cell>
          <cell r="P441">
            <v>0.33333333333333331</v>
          </cell>
          <cell r="V441">
            <v>0</v>
          </cell>
          <cell r="W441">
            <v>0</v>
          </cell>
          <cell r="X441">
            <v>0.33333333333333331</v>
          </cell>
          <cell r="Y441">
            <v>0</v>
          </cell>
          <cell r="AA441">
            <v>0</v>
          </cell>
          <cell r="AB441">
            <v>0</v>
          </cell>
          <cell r="AC441">
            <v>0.33333333333333331</v>
          </cell>
          <cell r="AD441">
            <v>0</v>
          </cell>
          <cell r="AK441">
            <v>1.9999999999999998</v>
          </cell>
          <cell r="AL441">
            <v>0.33333333333333331</v>
          </cell>
        </row>
        <row r="442">
          <cell r="F442">
            <v>0</v>
          </cell>
          <cell r="G442">
            <v>0</v>
          </cell>
          <cell r="P442">
            <v>0</v>
          </cell>
          <cell r="V442">
            <v>0</v>
          </cell>
          <cell r="W442">
            <v>0</v>
          </cell>
          <cell r="X442">
            <v>0</v>
          </cell>
          <cell r="Y442">
            <v>0</v>
          </cell>
          <cell r="AA442">
            <v>0</v>
          </cell>
          <cell r="AB442">
            <v>0</v>
          </cell>
          <cell r="AC442">
            <v>0</v>
          </cell>
          <cell r="AD442">
            <v>0</v>
          </cell>
          <cell r="AK442">
            <v>0</v>
          </cell>
          <cell r="AL442">
            <v>0</v>
          </cell>
        </row>
        <row r="443">
          <cell r="F443">
            <v>0</v>
          </cell>
          <cell r="G443">
            <v>0</v>
          </cell>
          <cell r="P443">
            <v>0</v>
          </cell>
          <cell r="V443">
            <v>0</v>
          </cell>
          <cell r="W443">
            <v>0</v>
          </cell>
          <cell r="X443">
            <v>0</v>
          </cell>
          <cell r="Y443">
            <v>0</v>
          </cell>
          <cell r="AA443">
            <v>0</v>
          </cell>
          <cell r="AB443">
            <v>0</v>
          </cell>
          <cell r="AC443">
            <v>0</v>
          </cell>
          <cell r="AD443">
            <v>0</v>
          </cell>
          <cell r="AK443">
            <v>0</v>
          </cell>
          <cell r="AL443">
            <v>0</v>
          </cell>
        </row>
        <row r="444">
          <cell r="F444">
            <v>0</v>
          </cell>
          <cell r="G444">
            <v>0</v>
          </cell>
          <cell r="P444">
            <v>0</v>
          </cell>
          <cell r="V444">
            <v>0</v>
          </cell>
          <cell r="W444">
            <v>0</v>
          </cell>
          <cell r="X444">
            <v>0</v>
          </cell>
          <cell r="Y444">
            <v>0</v>
          </cell>
          <cell r="AA444">
            <v>0</v>
          </cell>
          <cell r="AB444">
            <v>0</v>
          </cell>
          <cell r="AC444">
            <v>0</v>
          </cell>
          <cell r="AD444">
            <v>0</v>
          </cell>
          <cell r="AK444">
            <v>0</v>
          </cell>
          <cell r="AL444">
            <v>0</v>
          </cell>
        </row>
        <row r="445">
          <cell r="F445">
            <v>0</v>
          </cell>
          <cell r="G445">
            <v>0</v>
          </cell>
          <cell r="P445">
            <v>0</v>
          </cell>
          <cell r="V445">
            <v>0</v>
          </cell>
          <cell r="W445">
            <v>0</v>
          </cell>
          <cell r="X445">
            <v>0</v>
          </cell>
          <cell r="Y445">
            <v>0</v>
          </cell>
          <cell r="AA445">
            <v>0</v>
          </cell>
          <cell r="AB445">
            <v>0</v>
          </cell>
          <cell r="AC445">
            <v>0</v>
          </cell>
          <cell r="AD445">
            <v>0</v>
          </cell>
          <cell r="AK445">
            <v>0</v>
          </cell>
          <cell r="AL445">
            <v>0</v>
          </cell>
        </row>
        <row r="446">
          <cell r="F446">
            <v>0</v>
          </cell>
          <cell r="G446">
            <v>0</v>
          </cell>
          <cell r="P446">
            <v>0</v>
          </cell>
          <cell r="V446">
            <v>0</v>
          </cell>
          <cell r="W446">
            <v>0</v>
          </cell>
          <cell r="X446">
            <v>0</v>
          </cell>
          <cell r="Y446">
            <v>0</v>
          </cell>
          <cell r="AA446">
            <v>0</v>
          </cell>
          <cell r="AB446">
            <v>0</v>
          </cell>
          <cell r="AC446">
            <v>0</v>
          </cell>
          <cell r="AD446">
            <v>0</v>
          </cell>
          <cell r="AK446">
            <v>0</v>
          </cell>
          <cell r="AL446">
            <v>0</v>
          </cell>
        </row>
        <row r="447">
          <cell r="F447">
            <v>0</v>
          </cell>
          <cell r="G447">
            <v>0</v>
          </cell>
          <cell r="P447">
            <v>0</v>
          </cell>
          <cell r="X447">
            <v>0</v>
          </cell>
          <cell r="Y447">
            <v>0</v>
          </cell>
          <cell r="AC447">
            <v>0</v>
          </cell>
          <cell r="AK447">
            <v>0</v>
          </cell>
          <cell r="AL447">
            <v>0</v>
          </cell>
        </row>
        <row r="448">
          <cell r="G448">
            <v>0</v>
          </cell>
          <cell r="P448">
            <v>0</v>
          </cell>
          <cell r="X448">
            <v>0</v>
          </cell>
          <cell r="Y448">
            <v>0</v>
          </cell>
          <cell r="AC448">
            <v>0</v>
          </cell>
          <cell r="AK448">
            <v>0</v>
          </cell>
          <cell r="AL448">
            <v>2</v>
          </cell>
        </row>
        <row r="449">
          <cell r="P449">
            <v>0</v>
          </cell>
          <cell r="X449">
            <v>0</v>
          </cell>
          <cell r="Y449">
            <v>0</v>
          </cell>
          <cell r="AC449">
            <v>0</v>
          </cell>
          <cell r="AK449">
            <v>0</v>
          </cell>
          <cell r="AL449">
            <v>0</v>
          </cell>
        </row>
      </sheetData>
      <sheetData sheetId="15" refreshError="1">
        <row r="8">
          <cell r="S8" t="str">
            <v>ЗАТВЕРДЖУЮ</v>
          </cell>
        </row>
        <row r="20">
          <cell r="W20" t="str">
            <v>ЗАТВЕРДЖУЮ</v>
          </cell>
        </row>
        <row r="21">
          <cell r="W21" t="str">
            <v>ГЕНЕРАЛЬНИЙ ДИРЕКТОР -</v>
          </cell>
        </row>
        <row r="22">
          <cell r="W22" t="str">
            <v>ГОЛОВА ПРАВЛІННЯ КЕ</v>
          </cell>
        </row>
        <row r="23">
          <cell r="U23" t="str">
            <v>ЗАТВЕРДЖУЮ</v>
          </cell>
        </row>
        <row r="24">
          <cell r="S24" t="str">
            <v>ЗАТВЕРДЖУЮ</v>
          </cell>
        </row>
        <row r="25">
          <cell r="S25" t="str">
            <v>ГОЛОВА ПРАЛІННЯ  КЕ</v>
          </cell>
          <cell r="W25">
            <v>0</v>
          </cell>
          <cell r="X25" t="str">
            <v>ПЛАЧКОВ І.В.</v>
          </cell>
        </row>
        <row r="26">
          <cell r="W26" t="str">
            <v>ЗАТВЕРДЖУЮ</v>
          </cell>
        </row>
        <row r="27">
          <cell r="U27" t="str">
            <v>ЗАТВЕРДЖУЮ</v>
          </cell>
        </row>
        <row r="28">
          <cell r="S28" t="str">
            <v xml:space="preserve">                   ПЛАЧКОВ І.В.</v>
          </cell>
          <cell r="T28" t="str">
            <v>І.В.ПЛАЧКОВ</v>
          </cell>
          <cell r="U28" t="str">
            <v>ГОЛОВА ПРАЛІННЯ АК КЕ</v>
          </cell>
        </row>
        <row r="29">
          <cell r="S29" t="str">
            <v>ГОЛОВА ПРАЛІННЯ  КЕ</v>
          </cell>
          <cell r="U29" t="str">
            <v xml:space="preserve">                      ПЛАЧКОВ І.В.</v>
          </cell>
        </row>
        <row r="31">
          <cell r="C31" t="str">
            <v>ВИКОН.ДИР.</v>
          </cell>
          <cell r="D31" t="str">
            <v>Е/Е</v>
          </cell>
          <cell r="E31" t="str">
            <v xml:space="preserve"> Т/Е</v>
          </cell>
          <cell r="I31" t="str">
            <v>ККМ</v>
          </cell>
          <cell r="J31" t="str">
            <v>КТМ</v>
          </cell>
          <cell r="K31" t="str">
            <v>ВИРОБН</v>
          </cell>
          <cell r="L31" t="str">
            <v>ПЕРЕД</v>
          </cell>
          <cell r="M31" t="str">
            <v>ТЕЦ-5 ВСЬОГО</v>
          </cell>
          <cell r="N31" t="str">
            <v>Е/Е</v>
          </cell>
          <cell r="O31" t="str">
            <v xml:space="preserve"> Т/Е</v>
          </cell>
          <cell r="P31" t="str">
            <v>ТЕЦ-6 ВСЬОГО</v>
          </cell>
          <cell r="Q31" t="str">
            <v>Е/Е</v>
          </cell>
          <cell r="R31" t="str">
            <v xml:space="preserve"> Т/Е</v>
          </cell>
          <cell r="S31" t="str">
            <v xml:space="preserve">ДОП.ВИР. </v>
          </cell>
          <cell r="T31" t="str">
            <v>ДОП.ВИР. СТ.ОРГ.</v>
          </cell>
          <cell r="U31" t="str">
            <v>АК КЕ ВСЬОГО</v>
          </cell>
          <cell r="V31" t="str">
            <v>Е/Е</v>
          </cell>
          <cell r="W31" t="str">
            <v xml:space="preserve"> Т/Е</v>
          </cell>
          <cell r="X31" t="str">
            <v>СТАНЦІї ЕЛЕКТРО</v>
          </cell>
          <cell r="Y31" t="str">
            <v>СТАНЦІІ ТЕПЛОВІ</v>
          </cell>
          <cell r="Z31" t="str">
            <v>МЕРЕЖІ ЕЛЕКТРО</v>
          </cell>
          <cell r="AA31" t="str">
            <v>МЕРЕЖІ ТЕПЛОВІ</v>
          </cell>
        </row>
        <row r="32">
          <cell r="N32">
            <v>143</v>
          </cell>
          <cell r="Q32">
            <v>248</v>
          </cell>
          <cell r="S32" t="str">
            <v xml:space="preserve">                   ПЛАЧКОВ І.В.</v>
          </cell>
          <cell r="T32" t="str">
            <v>І.В.ПЛАЧКОВ</v>
          </cell>
          <cell r="V32">
            <v>391</v>
          </cell>
        </row>
        <row r="33">
          <cell r="N33">
            <v>130.30000000000001</v>
          </cell>
          <cell r="Q33">
            <v>233.6</v>
          </cell>
          <cell r="S33">
            <v>52204</v>
          </cell>
          <cell r="V33">
            <v>363.9</v>
          </cell>
          <cell r="W33" t="str">
            <v xml:space="preserve">                      ПЛАЧКОВ І.В.</v>
          </cell>
        </row>
        <row r="34">
          <cell r="Q34" t="str">
            <v>КТМ</v>
          </cell>
          <cell r="V34">
            <v>0</v>
          </cell>
          <cell r="Y34" t="str">
            <v xml:space="preserve">ТЕЦ-6 </v>
          </cell>
          <cell r="AA34" t="str">
            <v xml:space="preserve">ТЕЦ-6 </v>
          </cell>
        </row>
        <row r="35">
          <cell r="V35">
            <v>0</v>
          </cell>
        </row>
        <row r="36">
          <cell r="C36" t="str">
            <v>ВИК.ДИР.</v>
          </cell>
          <cell r="D36" t="str">
            <v>Е/Е</v>
          </cell>
          <cell r="E36" t="str">
            <v xml:space="preserve"> Т/Е</v>
          </cell>
          <cell r="I36" t="str">
            <v>ККМ</v>
          </cell>
          <cell r="J36" t="str">
            <v>КТМ</v>
          </cell>
          <cell r="K36" t="str">
            <v>ВИРОБН</v>
          </cell>
          <cell r="L36" t="str">
            <v>ПЕРЕД</v>
          </cell>
          <cell r="M36" t="str">
            <v>ТЕЦ-5 ВСЬОГО</v>
          </cell>
          <cell r="N36" t="str">
            <v>Е/Е</v>
          </cell>
          <cell r="O36" t="str">
            <v xml:space="preserve"> Т/Е</v>
          </cell>
          <cell r="P36" t="str">
            <v>ТЕЦ-6 ВСЬОГО</v>
          </cell>
          <cell r="Q36" t="str">
            <v>Е/Е</v>
          </cell>
          <cell r="R36" t="str">
            <v xml:space="preserve"> Т/Е</v>
          </cell>
          <cell r="S36" t="str">
            <v xml:space="preserve">ДОП.ВИР. </v>
          </cell>
          <cell r="T36" t="str">
            <v>РЕЗЕРВ</v>
          </cell>
          <cell r="U36" t="str">
            <v>Е/Е</v>
          </cell>
          <cell r="V36">
            <v>3</v>
          </cell>
          <cell r="W36" t="str">
            <v>АК КЕ ВСЬОГО</v>
          </cell>
          <cell r="X36" t="str">
            <v>Е/Е</v>
          </cell>
          <cell r="Y36" t="str">
            <v xml:space="preserve"> Т/Е</v>
          </cell>
          <cell r="Z36" t="str">
            <v>СТАНЦІї ЕЛЕКТРО</v>
          </cell>
          <cell r="AA36" t="str">
            <v>СТАНЦІІ ТЕПЛОВІ</v>
          </cell>
        </row>
        <row r="37">
          <cell r="N37">
            <v>225</v>
          </cell>
          <cell r="Q37">
            <v>158</v>
          </cell>
          <cell r="V37">
            <v>0</v>
          </cell>
          <cell r="X37">
            <v>383</v>
          </cell>
        </row>
        <row r="38">
          <cell r="N38">
            <v>200.95</v>
          </cell>
          <cell r="Q38">
            <v>135.85</v>
          </cell>
          <cell r="V38">
            <v>334</v>
          </cell>
          <cell r="X38">
            <v>336.79999999999995</v>
          </cell>
        </row>
        <row r="39">
          <cell r="I39">
            <v>0</v>
          </cell>
          <cell r="V39">
            <v>331</v>
          </cell>
          <cell r="X39">
            <v>0</v>
          </cell>
        </row>
        <row r="40">
          <cell r="J40">
            <v>126</v>
          </cell>
          <cell r="O40">
            <v>68</v>
          </cell>
          <cell r="R40">
            <v>67</v>
          </cell>
          <cell r="W40">
            <v>261</v>
          </cell>
          <cell r="X40">
            <v>199.5</v>
          </cell>
        </row>
        <row r="41">
          <cell r="W41">
            <v>0</v>
          </cell>
          <cell r="X41">
            <v>0</v>
          </cell>
        </row>
        <row r="42">
          <cell r="J42">
            <v>126</v>
          </cell>
          <cell r="O42">
            <v>68</v>
          </cell>
          <cell r="R42">
            <v>67</v>
          </cell>
          <cell r="W42">
            <v>171</v>
          </cell>
          <cell r="X42">
            <v>0</v>
          </cell>
        </row>
        <row r="43">
          <cell r="X43">
            <v>480.7</v>
          </cell>
        </row>
        <row r="44">
          <cell r="C44" t="e">
            <v>#REF!</v>
          </cell>
          <cell r="D44" t="e">
            <v>#REF!</v>
          </cell>
          <cell r="E44" t="e">
            <v>#REF!</v>
          </cell>
          <cell r="I44" t="e">
            <v>#REF!</v>
          </cell>
          <cell r="J44" t="e">
            <v>#REF!</v>
          </cell>
          <cell r="K44" t="e">
            <v>#REF!</v>
          </cell>
          <cell r="L44" t="e">
            <v>#REF!</v>
          </cell>
          <cell r="M44" t="e">
            <v>#REF!</v>
          </cell>
          <cell r="N44" t="e">
            <v>#REF!</v>
          </cell>
          <cell r="O44" t="e">
            <v>#REF!</v>
          </cell>
          <cell r="P44" t="e">
            <v>#REF!</v>
          </cell>
          <cell r="Q44" t="e">
            <v>#REF!</v>
          </cell>
          <cell r="R44" t="e">
            <v>#REF!</v>
          </cell>
          <cell r="T44">
            <v>16</v>
          </cell>
          <cell r="U44" t="e">
            <v>#REF!</v>
          </cell>
          <cell r="V44" t="e">
            <v>#REF!</v>
          </cell>
          <cell r="W44" t="e">
            <v>#REF!</v>
          </cell>
          <cell r="X44" t="e">
            <v>#REF!</v>
          </cell>
          <cell r="Y44">
            <v>0</v>
          </cell>
          <cell r="Z44" t="e">
            <v>#REF!</v>
          </cell>
          <cell r="AA44" t="e">
            <v>#REF!</v>
          </cell>
        </row>
        <row r="45">
          <cell r="C45" t="e">
            <v>#REF!</v>
          </cell>
          <cell r="D45" t="e">
            <v>#REF!</v>
          </cell>
          <cell r="E45" t="e">
            <v>#REF!</v>
          </cell>
          <cell r="I45" t="e">
            <v>#REF!</v>
          </cell>
          <cell r="J45" t="e">
            <v>#REF!</v>
          </cell>
          <cell r="M45" t="e">
            <v>#REF!</v>
          </cell>
          <cell r="N45" t="e">
            <v>#REF!</v>
          </cell>
          <cell r="O45" t="e">
            <v>#REF!</v>
          </cell>
          <cell r="P45" t="e">
            <v>#REF!</v>
          </cell>
          <cell r="Q45" t="e">
            <v>#REF!</v>
          </cell>
          <cell r="R45" t="e">
            <v>#REF!</v>
          </cell>
          <cell r="U45" t="e">
            <v>#REF!</v>
          </cell>
          <cell r="Y45">
            <v>930</v>
          </cell>
        </row>
        <row r="46">
          <cell r="C46" t="e">
            <v>#REF!</v>
          </cell>
          <cell r="D46" t="e">
            <v>#REF!</v>
          </cell>
          <cell r="E46" t="e">
            <v>#REF!</v>
          </cell>
          <cell r="I46" t="e">
            <v>#REF!</v>
          </cell>
          <cell r="J46" t="e">
            <v>#REF!</v>
          </cell>
          <cell r="M46" t="e">
            <v>#REF!</v>
          </cell>
          <cell r="N46" t="e">
            <v>#REF!</v>
          </cell>
          <cell r="O46" t="e">
            <v>#REF!</v>
          </cell>
          <cell r="P46" t="e">
            <v>#REF!</v>
          </cell>
          <cell r="Q46" t="e">
            <v>#REF!</v>
          </cell>
          <cell r="R46" t="e">
            <v>#REF!</v>
          </cell>
          <cell r="U46" t="e">
            <v>#REF!</v>
          </cell>
          <cell r="Y46">
            <v>0</v>
          </cell>
        </row>
        <row r="47">
          <cell r="C47" t="e">
            <v>#REF!</v>
          </cell>
          <cell r="D47" t="e">
            <v>#REF!</v>
          </cell>
          <cell r="E47" t="e">
            <v>#REF!</v>
          </cell>
          <cell r="I47" t="e">
            <v>#REF!</v>
          </cell>
          <cell r="J47" t="e">
            <v>#REF!</v>
          </cell>
          <cell r="M47" t="e">
            <v>#REF!</v>
          </cell>
          <cell r="N47" t="e">
            <v>#REF!</v>
          </cell>
          <cell r="O47">
            <v>280</v>
          </cell>
          <cell r="P47" t="e">
            <v>#REF!</v>
          </cell>
          <cell r="Q47" t="e">
            <v>#REF!</v>
          </cell>
          <cell r="R47">
            <v>320</v>
          </cell>
          <cell r="U47" t="e">
            <v>#REF!</v>
          </cell>
          <cell r="Y47">
            <v>812</v>
          </cell>
        </row>
        <row r="48">
          <cell r="C48" t="e">
            <v>#REF!</v>
          </cell>
          <cell r="D48" t="e">
            <v>#REF!</v>
          </cell>
          <cell r="E48" t="e">
            <v>#REF!</v>
          </cell>
          <cell r="I48" t="e">
            <v>#REF!</v>
          </cell>
          <cell r="J48" t="e">
            <v>#REF!</v>
          </cell>
          <cell r="K48" t="e">
            <v>#REF!</v>
          </cell>
          <cell r="L48" t="e">
            <v>#REF!</v>
          </cell>
          <cell r="M48" t="e">
            <v>#REF!</v>
          </cell>
          <cell r="N48" t="e">
            <v>#REF!</v>
          </cell>
          <cell r="O48" t="e">
            <v>#REF!</v>
          </cell>
          <cell r="P48" t="e">
            <v>#REF!</v>
          </cell>
          <cell r="Q48" t="e">
            <v>#REF!</v>
          </cell>
          <cell r="R48" t="e">
            <v>#REF!</v>
          </cell>
          <cell r="S48">
            <v>4914.9412121212117</v>
          </cell>
          <cell r="T48">
            <v>51</v>
          </cell>
          <cell r="U48" t="e">
            <v>#REF!</v>
          </cell>
          <cell r="V48" t="e">
            <v>#REF!</v>
          </cell>
          <cell r="W48" t="e">
            <v>#REF!</v>
          </cell>
          <cell r="X48" t="e">
            <v>#REF!</v>
          </cell>
          <cell r="Y48" t="e">
            <v>#REF!</v>
          </cell>
          <cell r="Z48" t="e">
            <v>#REF!</v>
          </cell>
          <cell r="AA48" t="e">
            <v>#REF!</v>
          </cell>
        </row>
        <row r="49">
          <cell r="C49" t="e">
            <v>#REF!</v>
          </cell>
          <cell r="D49" t="e">
            <v>#REF!</v>
          </cell>
          <cell r="E49" t="e">
            <v>#REF!</v>
          </cell>
          <cell r="I49" t="e">
            <v>#REF!</v>
          </cell>
          <cell r="J49" t="e">
            <v>#REF!</v>
          </cell>
          <cell r="K49" t="e">
            <v>#REF!</v>
          </cell>
          <cell r="L49" t="e">
            <v>#REF!</v>
          </cell>
          <cell r="M49" t="e">
            <v>#REF!</v>
          </cell>
          <cell r="N49" t="e">
            <v>#REF!</v>
          </cell>
          <cell r="O49" t="e">
            <v>#REF!</v>
          </cell>
          <cell r="P49" t="e">
            <v>#REF!</v>
          </cell>
          <cell r="Q49" t="e">
            <v>#REF!</v>
          </cell>
          <cell r="R49" t="e">
            <v>#REF!</v>
          </cell>
          <cell r="T49">
            <v>112</v>
          </cell>
          <cell r="U49" t="e">
            <v>#REF!</v>
          </cell>
          <cell r="V49" t="e">
            <v>#REF!</v>
          </cell>
          <cell r="W49" t="e">
            <v>#REF!</v>
          </cell>
          <cell r="X49" t="e">
            <v>#REF!</v>
          </cell>
          <cell r="Y49" t="e">
            <v>#REF!</v>
          </cell>
          <cell r="Z49" t="e">
            <v>#REF!</v>
          </cell>
          <cell r="AA49" t="e">
            <v>#REF!</v>
          </cell>
        </row>
        <row r="50">
          <cell r="C50" t="e">
            <v>#REF!</v>
          </cell>
          <cell r="D50" t="e">
            <v>#REF!</v>
          </cell>
          <cell r="E50" t="e">
            <v>#REF!</v>
          </cell>
          <cell r="I50" t="e">
            <v>#REF!</v>
          </cell>
          <cell r="J50" t="e">
            <v>#REF!</v>
          </cell>
          <cell r="K50" t="e">
            <v>#REF!</v>
          </cell>
          <cell r="L50" t="e">
            <v>#REF!</v>
          </cell>
          <cell r="M50" t="e">
            <v>#REF!</v>
          </cell>
          <cell r="N50" t="e">
            <v>#REF!</v>
          </cell>
          <cell r="O50" t="e">
            <v>#REF!</v>
          </cell>
          <cell r="P50" t="e">
            <v>#REF!</v>
          </cell>
          <cell r="Q50" t="e">
            <v>#REF!</v>
          </cell>
          <cell r="R50" t="e">
            <v>#REF!</v>
          </cell>
          <cell r="T50">
            <v>0</v>
          </cell>
          <cell r="U50" t="e">
            <v>#REF!</v>
          </cell>
          <cell r="V50" t="e">
            <v>#REF!</v>
          </cell>
          <cell r="W50" t="e">
            <v>#REF!</v>
          </cell>
          <cell r="X50" t="e">
            <v>#REF!</v>
          </cell>
          <cell r="Y50" t="e">
            <v>#REF!</v>
          </cell>
          <cell r="Z50" t="e">
            <v>#REF!</v>
          </cell>
          <cell r="AA50" t="e">
            <v>#REF!</v>
          </cell>
        </row>
        <row r="51">
          <cell r="C51" t="e">
            <v>#REF!</v>
          </cell>
          <cell r="D51" t="e">
            <v>#REF!</v>
          </cell>
          <cell r="E51" t="e">
            <v>#REF!</v>
          </cell>
          <cell r="I51" t="e">
            <v>#REF!</v>
          </cell>
          <cell r="J51" t="e">
            <v>#REF!</v>
          </cell>
          <cell r="K51" t="e">
            <v>#REF!</v>
          </cell>
          <cell r="L51" t="e">
            <v>#REF!</v>
          </cell>
          <cell r="M51" t="e">
            <v>#REF!</v>
          </cell>
          <cell r="N51" t="e">
            <v>#REF!</v>
          </cell>
          <cell r="O51" t="e">
            <v>#REF!</v>
          </cell>
          <cell r="P51" t="e">
            <v>#REF!</v>
          </cell>
          <cell r="Q51" t="e">
            <v>#REF!</v>
          </cell>
          <cell r="R51" t="e">
            <v>#REF!</v>
          </cell>
          <cell r="S51">
            <v>0</v>
          </cell>
          <cell r="T51">
            <v>465.83333333333331</v>
          </cell>
          <cell r="U51" t="e">
            <v>#REF!</v>
          </cell>
          <cell r="V51" t="e">
            <v>#REF!</v>
          </cell>
          <cell r="W51" t="e">
            <v>#REF!</v>
          </cell>
          <cell r="X51" t="e">
            <v>#REF!</v>
          </cell>
          <cell r="Y51" t="e">
            <v>#REF!</v>
          </cell>
          <cell r="Z51" t="e">
            <v>#REF!</v>
          </cell>
          <cell r="AA51" t="e">
            <v>#REF!</v>
          </cell>
        </row>
        <row r="52">
          <cell r="C52" t="e">
            <v>#REF!</v>
          </cell>
          <cell r="D52" t="e">
            <v>#REF!</v>
          </cell>
          <cell r="E52" t="e">
            <v>#REF!</v>
          </cell>
          <cell r="I52" t="e">
            <v>#REF!</v>
          </cell>
          <cell r="J52" t="e">
            <v>#REF!</v>
          </cell>
          <cell r="K52" t="e">
            <v>#REF!</v>
          </cell>
          <cell r="L52" t="e">
            <v>#REF!</v>
          </cell>
          <cell r="M52" t="e">
            <v>#REF!</v>
          </cell>
          <cell r="N52" t="e">
            <v>#REF!</v>
          </cell>
          <cell r="O52">
            <v>0</v>
          </cell>
          <cell r="P52" t="e">
            <v>#REF!</v>
          </cell>
          <cell r="Q52" t="e">
            <v>#REF!</v>
          </cell>
          <cell r="R52">
            <v>0</v>
          </cell>
          <cell r="S52">
            <v>750</v>
          </cell>
          <cell r="U52" t="e">
            <v>#REF!</v>
          </cell>
          <cell r="V52" t="e">
            <v>#REF!</v>
          </cell>
          <cell r="W52" t="e">
            <v>#REF!</v>
          </cell>
          <cell r="X52">
            <v>72</v>
          </cell>
          <cell r="Y52" t="e">
            <v>#REF!</v>
          </cell>
          <cell r="Z52">
            <v>30</v>
          </cell>
          <cell r="AA52">
            <v>100</v>
          </cell>
        </row>
        <row r="53">
          <cell r="C53" t="e">
            <v>#REF!</v>
          </cell>
          <cell r="D53" t="e">
            <v>#REF!</v>
          </cell>
          <cell r="E53" t="e">
            <v>#REF!</v>
          </cell>
          <cell r="I53" t="e">
            <v>#REF!</v>
          </cell>
          <cell r="J53" t="e">
            <v>#REF!</v>
          </cell>
          <cell r="K53" t="e">
            <v>#REF!</v>
          </cell>
          <cell r="L53" t="e">
            <v>#REF!</v>
          </cell>
          <cell r="M53" t="e">
            <v>#REF!</v>
          </cell>
          <cell r="N53" t="e">
            <v>#REF!</v>
          </cell>
          <cell r="O53" t="e">
            <v>#REF!</v>
          </cell>
          <cell r="P53" t="e">
            <v>#REF!</v>
          </cell>
          <cell r="Q53" t="e">
            <v>#REF!</v>
          </cell>
          <cell r="R53" t="e">
            <v>#REF!</v>
          </cell>
          <cell r="T53">
            <v>29</v>
          </cell>
          <cell r="U53" t="e">
            <v>#REF!</v>
          </cell>
          <cell r="V53" t="e">
            <v>#REF!</v>
          </cell>
          <cell r="W53" t="e">
            <v>#REF!</v>
          </cell>
          <cell r="X53" t="e">
            <v>#REF!</v>
          </cell>
          <cell r="Y53" t="e">
            <v>#REF!</v>
          </cell>
          <cell r="Z53" t="e">
            <v>#REF!</v>
          </cell>
          <cell r="AA53" t="e">
            <v>#REF!</v>
          </cell>
        </row>
        <row r="54">
          <cell r="C54" t="e">
            <v>#REF!</v>
          </cell>
          <cell r="D54" t="e">
            <v>#REF!</v>
          </cell>
          <cell r="E54" t="e">
            <v>#REF!</v>
          </cell>
          <cell r="I54" t="e">
            <v>#REF!</v>
          </cell>
          <cell r="J54" t="e">
            <v>#REF!</v>
          </cell>
          <cell r="K54" t="e">
            <v>#REF!</v>
          </cell>
          <cell r="L54" t="e">
            <v>#REF!</v>
          </cell>
          <cell r="M54" t="e">
            <v>#REF!</v>
          </cell>
          <cell r="N54" t="e">
            <v>#REF!</v>
          </cell>
          <cell r="O54" t="e">
            <v>#REF!</v>
          </cell>
          <cell r="P54" t="e">
            <v>#REF!</v>
          </cell>
          <cell r="Q54" t="e">
            <v>#REF!</v>
          </cell>
          <cell r="R54" t="e">
            <v>#REF!</v>
          </cell>
          <cell r="S54">
            <v>84</v>
          </cell>
          <cell r="T54">
            <v>686</v>
          </cell>
          <cell r="U54" t="e">
            <v>#REF!</v>
          </cell>
          <cell r="V54" t="e">
            <v>#REF!</v>
          </cell>
          <cell r="W54" t="e">
            <v>#REF!</v>
          </cell>
          <cell r="X54" t="e">
            <v>#REF!</v>
          </cell>
          <cell r="Y54" t="e">
            <v>#REF!</v>
          </cell>
          <cell r="Z54" t="e">
            <v>#REF!</v>
          </cell>
          <cell r="AA54" t="e">
            <v>#REF!</v>
          </cell>
        </row>
        <row r="55">
          <cell r="C55" t="e">
            <v>#REF!</v>
          </cell>
          <cell r="D55" t="e">
            <v>#REF!</v>
          </cell>
          <cell r="E55" t="e">
            <v>#REF!</v>
          </cell>
          <cell r="I55" t="e">
            <v>#REF!</v>
          </cell>
          <cell r="J55" t="e">
            <v>#REF!</v>
          </cell>
          <cell r="K55" t="e">
            <v>#REF!</v>
          </cell>
          <cell r="L55" t="e">
            <v>#REF!</v>
          </cell>
          <cell r="M55" t="e">
            <v>#REF!</v>
          </cell>
          <cell r="N55" t="e">
            <v>#REF!</v>
          </cell>
          <cell r="O55" t="e">
            <v>#REF!</v>
          </cell>
          <cell r="P55" t="e">
            <v>#REF!</v>
          </cell>
          <cell r="Q55" t="e">
            <v>#REF!</v>
          </cell>
          <cell r="R55" t="e">
            <v>#REF!</v>
          </cell>
          <cell r="S55">
            <v>329</v>
          </cell>
          <cell r="T55">
            <v>257</v>
          </cell>
          <cell r="U55" t="e">
            <v>#REF!</v>
          </cell>
          <cell r="V55" t="e">
            <v>#REF!</v>
          </cell>
          <cell r="W55" t="e">
            <v>#REF!</v>
          </cell>
          <cell r="X55" t="e">
            <v>#REF!</v>
          </cell>
          <cell r="Y55" t="e">
            <v>#REF!</v>
          </cell>
          <cell r="Z55" t="e">
            <v>#REF!</v>
          </cell>
          <cell r="AA55" t="e">
            <v>#REF!</v>
          </cell>
        </row>
        <row r="56">
          <cell r="C56" t="e">
            <v>#REF!</v>
          </cell>
          <cell r="D56" t="e">
            <v>#REF!</v>
          </cell>
          <cell r="E56" t="e">
            <v>#REF!</v>
          </cell>
          <cell r="I56" t="e">
            <v>#REF!</v>
          </cell>
          <cell r="J56" t="e">
            <v>#REF!</v>
          </cell>
          <cell r="K56" t="e">
            <v>#REF!</v>
          </cell>
          <cell r="L56" t="e">
            <v>#REF!</v>
          </cell>
          <cell r="M56" t="e">
            <v>#REF!</v>
          </cell>
          <cell r="N56" t="e">
            <v>#REF!</v>
          </cell>
          <cell r="O56" t="e">
            <v>#REF!</v>
          </cell>
          <cell r="P56" t="e">
            <v>#REF!</v>
          </cell>
          <cell r="Q56" t="e">
            <v>#REF!</v>
          </cell>
          <cell r="R56" t="e">
            <v>#REF!</v>
          </cell>
          <cell r="S56">
            <v>0</v>
          </cell>
          <cell r="T56">
            <v>0</v>
          </cell>
          <cell r="U56" t="e">
            <v>#REF!</v>
          </cell>
          <cell r="V56" t="e">
            <v>#REF!</v>
          </cell>
          <cell r="W56" t="e">
            <v>#REF!</v>
          </cell>
          <cell r="X56">
            <v>0</v>
          </cell>
          <cell r="Y56">
            <v>0</v>
          </cell>
          <cell r="Z56">
            <v>0</v>
          </cell>
          <cell r="AA56">
            <v>0</v>
          </cell>
        </row>
        <row r="57">
          <cell r="C57" t="e">
            <v>#REF!</v>
          </cell>
          <cell r="D57" t="e">
            <v>#REF!</v>
          </cell>
          <cell r="E57" t="e">
            <v>#REF!</v>
          </cell>
          <cell r="I57" t="e">
            <v>#REF!</v>
          </cell>
          <cell r="J57" t="e">
            <v>#REF!</v>
          </cell>
          <cell r="K57" t="e">
            <v>#REF!</v>
          </cell>
          <cell r="L57" t="e">
            <v>#REF!</v>
          </cell>
          <cell r="M57" t="e">
            <v>#REF!</v>
          </cell>
          <cell r="N57" t="e">
            <v>#REF!</v>
          </cell>
          <cell r="O57" t="e">
            <v>#REF!</v>
          </cell>
          <cell r="P57" t="e">
            <v>#REF!</v>
          </cell>
          <cell r="Q57" t="e">
            <v>#REF!</v>
          </cell>
          <cell r="R57" t="e">
            <v>#REF!</v>
          </cell>
          <cell r="S57">
            <v>1232</v>
          </cell>
          <cell r="T57">
            <v>69</v>
          </cell>
          <cell r="U57" t="e">
            <v>#REF!</v>
          </cell>
          <cell r="V57" t="e">
            <v>#REF!</v>
          </cell>
          <cell r="W57" t="e">
            <v>#REF!</v>
          </cell>
          <cell r="X57" t="e">
            <v>#REF!</v>
          </cell>
          <cell r="Y57" t="e">
            <v>#REF!</v>
          </cell>
          <cell r="Z57" t="e">
            <v>#REF!</v>
          </cell>
          <cell r="AA57" t="e">
            <v>#REF!</v>
          </cell>
        </row>
        <row r="58">
          <cell r="C58" t="e">
            <v>#REF!</v>
          </cell>
          <cell r="D58" t="e">
            <v>#REF!</v>
          </cell>
          <cell r="E58" t="e">
            <v>#REF!</v>
          </cell>
          <cell r="I58" t="e">
            <v>#REF!</v>
          </cell>
          <cell r="J58" t="e">
            <v>#REF!</v>
          </cell>
          <cell r="K58" t="e">
            <v>#REF!</v>
          </cell>
          <cell r="L58" t="e">
            <v>#REF!</v>
          </cell>
          <cell r="M58" t="e">
            <v>#REF!</v>
          </cell>
          <cell r="N58" t="e">
            <v>#REF!</v>
          </cell>
          <cell r="O58" t="e">
            <v>#REF!</v>
          </cell>
          <cell r="P58" t="e">
            <v>#REF!</v>
          </cell>
          <cell r="Q58" t="e">
            <v>#REF!</v>
          </cell>
          <cell r="R58" t="e">
            <v>#REF!</v>
          </cell>
          <cell r="S58">
            <v>1232</v>
          </cell>
          <cell r="T58">
            <v>9</v>
          </cell>
          <cell r="U58" t="e">
            <v>#REF!</v>
          </cell>
          <cell r="V58" t="e">
            <v>#REF!</v>
          </cell>
          <cell r="W58" t="e">
            <v>#REF!</v>
          </cell>
          <cell r="X58" t="e">
            <v>#REF!</v>
          </cell>
          <cell r="Y58" t="e">
            <v>#REF!</v>
          </cell>
          <cell r="Z58" t="e">
            <v>#REF!</v>
          </cell>
          <cell r="AA58" t="e">
            <v>#REF!</v>
          </cell>
        </row>
        <row r="59">
          <cell r="C59" t="e">
            <v>#REF!</v>
          </cell>
          <cell r="D59" t="e">
            <v>#REF!</v>
          </cell>
          <cell r="E59" t="e">
            <v>#REF!</v>
          </cell>
          <cell r="I59" t="e">
            <v>#REF!</v>
          </cell>
          <cell r="J59" t="e">
            <v>#REF!</v>
          </cell>
          <cell r="K59" t="e">
            <v>#REF!</v>
          </cell>
          <cell r="L59" t="e">
            <v>#REF!</v>
          </cell>
          <cell r="M59" t="e">
            <v>#REF!</v>
          </cell>
          <cell r="N59" t="e">
            <v>#REF!</v>
          </cell>
          <cell r="O59" t="e">
            <v>#REF!</v>
          </cell>
          <cell r="P59" t="e">
            <v>#REF!</v>
          </cell>
          <cell r="Q59" t="e">
            <v>#REF!</v>
          </cell>
          <cell r="R59" t="e">
            <v>#REF!</v>
          </cell>
          <cell r="T59">
            <v>0</v>
          </cell>
          <cell r="U59" t="e">
            <v>#REF!</v>
          </cell>
          <cell r="V59" t="e">
            <v>#REF!</v>
          </cell>
          <cell r="W59" t="e">
            <v>#REF!</v>
          </cell>
          <cell r="X59" t="e">
            <v>#REF!</v>
          </cell>
          <cell r="Y59" t="e">
            <v>#REF!</v>
          </cell>
          <cell r="Z59" t="e">
            <v>#REF!</v>
          </cell>
          <cell r="AA59" t="e">
            <v>#REF!</v>
          </cell>
        </row>
        <row r="60">
          <cell r="C60" t="e">
            <v>#REF!</v>
          </cell>
          <cell r="D60" t="e">
            <v>#REF!</v>
          </cell>
          <cell r="E60" t="e">
            <v>#REF!</v>
          </cell>
          <cell r="I60" t="e">
            <v>#REF!</v>
          </cell>
          <cell r="J60" t="e">
            <v>#REF!</v>
          </cell>
          <cell r="K60" t="e">
            <v>#REF!</v>
          </cell>
          <cell r="L60" t="e">
            <v>#REF!</v>
          </cell>
          <cell r="M60" t="e">
            <v>#REF!</v>
          </cell>
          <cell r="N60" t="e">
            <v>#REF!</v>
          </cell>
          <cell r="O60" t="e">
            <v>#REF!</v>
          </cell>
          <cell r="P60" t="e">
            <v>#REF!</v>
          </cell>
          <cell r="Q60" t="e">
            <v>#REF!</v>
          </cell>
          <cell r="R60" t="e">
            <v>#REF!</v>
          </cell>
          <cell r="S60">
            <v>420</v>
          </cell>
          <cell r="T60">
            <v>420</v>
          </cell>
          <cell r="U60" t="e">
            <v>#REF!</v>
          </cell>
          <cell r="V60" t="e">
            <v>#REF!</v>
          </cell>
          <cell r="W60" t="e">
            <v>#REF!</v>
          </cell>
          <cell r="X60" t="e">
            <v>#REF!</v>
          </cell>
          <cell r="Y60" t="e">
            <v>#REF!</v>
          </cell>
          <cell r="Z60" t="e">
            <v>#REF!</v>
          </cell>
          <cell r="AA60" t="e">
            <v>#REF!</v>
          </cell>
        </row>
        <row r="61">
          <cell r="C61" t="e">
            <v>#REF!</v>
          </cell>
          <cell r="D61" t="e">
            <v>#REF!</v>
          </cell>
          <cell r="E61" t="e">
            <v>#REF!</v>
          </cell>
          <cell r="I61" t="e">
            <v>#REF!</v>
          </cell>
          <cell r="J61" t="e">
            <v>#REF!</v>
          </cell>
          <cell r="K61" t="e">
            <v>#REF!</v>
          </cell>
          <cell r="L61" t="e">
            <v>#REF!</v>
          </cell>
          <cell r="M61" t="e">
            <v>#REF!</v>
          </cell>
          <cell r="N61" t="e">
            <v>#REF!</v>
          </cell>
          <cell r="O61" t="e">
            <v>#REF!</v>
          </cell>
          <cell r="P61" t="e">
            <v>#REF!</v>
          </cell>
          <cell r="Q61" t="e">
            <v>#REF!</v>
          </cell>
          <cell r="R61" t="e">
            <v>#REF!</v>
          </cell>
          <cell r="S61">
            <v>0</v>
          </cell>
          <cell r="T61">
            <v>468.3785272727273</v>
          </cell>
          <cell r="U61" t="e">
            <v>#REF!</v>
          </cell>
          <cell r="V61" t="e">
            <v>#REF!</v>
          </cell>
          <cell r="W61" t="e">
            <v>#REF!</v>
          </cell>
          <cell r="X61" t="e">
            <v>#REF!</v>
          </cell>
          <cell r="Y61" t="e">
            <v>#REF!</v>
          </cell>
          <cell r="Z61" t="e">
            <v>#REF!</v>
          </cell>
          <cell r="AA61" t="e">
            <v>#REF!</v>
          </cell>
        </row>
        <row r="62">
          <cell r="C62" t="e">
            <v>#REF!</v>
          </cell>
          <cell r="D62" t="e">
            <v>#REF!</v>
          </cell>
          <cell r="E62" t="e">
            <v>#REF!</v>
          </cell>
          <cell r="I62" t="e">
            <v>#REF!</v>
          </cell>
          <cell r="J62" t="e">
            <v>#REF!</v>
          </cell>
          <cell r="K62" t="e">
            <v>#REF!</v>
          </cell>
          <cell r="L62" t="e">
            <v>#REF!</v>
          </cell>
          <cell r="M62" t="e">
            <v>#REF!</v>
          </cell>
          <cell r="N62" t="e">
            <v>#REF!</v>
          </cell>
          <cell r="O62" t="e">
            <v>#REF!</v>
          </cell>
          <cell r="P62" t="e">
            <v>#REF!</v>
          </cell>
          <cell r="Q62" t="e">
            <v>#REF!</v>
          </cell>
          <cell r="R62" t="e">
            <v>#REF!</v>
          </cell>
          <cell r="S62">
            <v>53</v>
          </cell>
          <cell r="T62">
            <v>26</v>
          </cell>
          <cell r="U62" t="e">
            <v>#REF!</v>
          </cell>
          <cell r="V62" t="e">
            <v>#REF!</v>
          </cell>
          <cell r="W62" t="e">
            <v>#REF!</v>
          </cell>
          <cell r="X62" t="e">
            <v>#REF!</v>
          </cell>
          <cell r="Y62" t="e">
            <v>#REF!</v>
          </cell>
          <cell r="Z62" t="e">
            <v>#REF!</v>
          </cell>
          <cell r="AA62" t="e">
            <v>#REF!</v>
          </cell>
        </row>
        <row r="63">
          <cell r="C63" t="e">
            <v>#REF!</v>
          </cell>
          <cell r="D63" t="e">
            <v>#REF!</v>
          </cell>
          <cell r="E63" t="e">
            <v>#REF!</v>
          </cell>
          <cell r="I63" t="e">
            <v>#REF!</v>
          </cell>
          <cell r="J63" t="e">
            <v>#REF!</v>
          </cell>
          <cell r="K63" t="e">
            <v>#REF!</v>
          </cell>
          <cell r="L63" t="e">
            <v>#REF!</v>
          </cell>
          <cell r="M63" t="e">
            <v>#REF!</v>
          </cell>
          <cell r="N63" t="e">
            <v>#REF!</v>
          </cell>
          <cell r="O63" t="e">
            <v>#REF!</v>
          </cell>
          <cell r="P63" t="e">
            <v>#REF!</v>
          </cell>
          <cell r="Q63" t="e">
            <v>#REF!</v>
          </cell>
          <cell r="R63" t="e">
            <v>#REF!</v>
          </cell>
          <cell r="S63">
            <v>306</v>
          </cell>
          <cell r="T63">
            <v>150</v>
          </cell>
          <cell r="U63" t="e">
            <v>#REF!</v>
          </cell>
          <cell r="V63" t="e">
            <v>#REF!</v>
          </cell>
          <cell r="W63" t="e">
            <v>#REF!</v>
          </cell>
          <cell r="X63" t="e">
            <v>#REF!</v>
          </cell>
          <cell r="Y63" t="e">
            <v>#REF!</v>
          </cell>
          <cell r="Z63" t="e">
            <v>#REF!</v>
          </cell>
          <cell r="AA63" t="e">
            <v>#REF!</v>
          </cell>
        </row>
        <row r="64">
          <cell r="C64" t="e">
            <v>#REF!</v>
          </cell>
          <cell r="D64" t="e">
            <v>#REF!</v>
          </cell>
          <cell r="E64" t="e">
            <v>#REF!</v>
          </cell>
          <cell r="I64" t="e">
            <v>#REF!</v>
          </cell>
          <cell r="J64" t="e">
            <v>#REF!</v>
          </cell>
          <cell r="K64" t="e">
            <v>#REF!</v>
          </cell>
          <cell r="L64" t="e">
            <v>#REF!</v>
          </cell>
          <cell r="M64" t="e">
            <v>#REF!</v>
          </cell>
          <cell r="N64" t="e">
            <v>#REF!</v>
          </cell>
          <cell r="O64" t="e">
            <v>#REF!</v>
          </cell>
          <cell r="P64" t="e">
            <v>#REF!</v>
          </cell>
          <cell r="Q64" t="e">
            <v>#REF!</v>
          </cell>
          <cell r="R64" t="e">
            <v>#REF!</v>
          </cell>
          <cell r="U64" t="e">
            <v>#REF!</v>
          </cell>
          <cell r="V64" t="e">
            <v>#REF!</v>
          </cell>
          <cell r="W64" t="e">
            <v>#REF!</v>
          </cell>
          <cell r="X64" t="e">
            <v>#REF!</v>
          </cell>
          <cell r="Y64" t="e">
            <v>#REF!</v>
          </cell>
          <cell r="AA64" t="e">
            <v>#REF!</v>
          </cell>
        </row>
        <row r="65">
          <cell r="C65" t="e">
            <v>#REF!</v>
          </cell>
          <cell r="D65" t="e">
            <v>#REF!</v>
          </cell>
          <cell r="I65" t="e">
            <v>#REF!</v>
          </cell>
          <cell r="J65" t="e">
            <v>#REF!</v>
          </cell>
          <cell r="K65" t="e">
            <v>#REF!</v>
          </cell>
          <cell r="L65" t="e">
            <v>#REF!</v>
          </cell>
          <cell r="M65" t="e">
            <v>#REF!</v>
          </cell>
          <cell r="N65" t="e">
            <v>#REF!</v>
          </cell>
          <cell r="O65" t="e">
            <v>#REF!</v>
          </cell>
          <cell r="P65" t="e">
            <v>#REF!</v>
          </cell>
          <cell r="Q65" t="e">
            <v>#REF!</v>
          </cell>
          <cell r="R65" t="e">
            <v>#REF!</v>
          </cell>
          <cell r="S65">
            <v>1018</v>
          </cell>
          <cell r="T65">
            <v>162.88</v>
          </cell>
          <cell r="U65" t="e">
            <v>#REF!</v>
          </cell>
          <cell r="V65" t="e">
            <v>#REF!</v>
          </cell>
          <cell r="W65" t="e">
            <v>#REF!</v>
          </cell>
          <cell r="X65" t="e">
            <v>#REF!</v>
          </cell>
          <cell r="Y65" t="e">
            <v>#REF!</v>
          </cell>
          <cell r="Z65">
            <v>144</v>
          </cell>
          <cell r="AA65" t="e">
            <v>#REF!</v>
          </cell>
        </row>
        <row r="66">
          <cell r="C66" t="e">
            <v>#REF!</v>
          </cell>
          <cell r="D66" t="e">
            <v>#REF!</v>
          </cell>
          <cell r="E66" t="e">
            <v>#REF!</v>
          </cell>
          <cell r="I66" t="e">
            <v>#REF!</v>
          </cell>
          <cell r="J66" t="e">
            <v>#REF!</v>
          </cell>
          <cell r="K66" t="e">
            <v>#REF!</v>
          </cell>
          <cell r="L66" t="e">
            <v>#REF!</v>
          </cell>
          <cell r="M66" t="e">
            <v>#REF!</v>
          </cell>
          <cell r="N66" t="e">
            <v>#REF!</v>
          </cell>
          <cell r="O66" t="e">
            <v>#REF!</v>
          </cell>
          <cell r="P66" t="e">
            <v>#REF!</v>
          </cell>
          <cell r="Q66" t="e">
            <v>#REF!</v>
          </cell>
          <cell r="R66" t="e">
            <v>#REF!</v>
          </cell>
          <cell r="T66">
            <v>432</v>
          </cell>
          <cell r="U66" t="e">
            <v>#REF!</v>
          </cell>
          <cell r="V66" t="e">
            <v>#REF!</v>
          </cell>
          <cell r="W66" t="e">
            <v>#REF!</v>
          </cell>
          <cell r="X66" t="e">
            <v>#REF!</v>
          </cell>
          <cell r="Y66" t="e">
            <v>#REF!</v>
          </cell>
          <cell r="Z66" t="e">
            <v>#REF!</v>
          </cell>
          <cell r="AA66" t="e">
            <v>#REF!</v>
          </cell>
        </row>
        <row r="67">
          <cell r="C67" t="e">
            <v>#REF!</v>
          </cell>
          <cell r="D67" t="e">
            <v>#REF!</v>
          </cell>
          <cell r="I67" t="e">
            <v>#REF!</v>
          </cell>
          <cell r="J67" t="e">
            <v>#REF!</v>
          </cell>
          <cell r="K67" t="e">
            <v>#REF!</v>
          </cell>
          <cell r="L67" t="e">
            <v>#REF!</v>
          </cell>
          <cell r="M67" t="e">
            <v>#REF!</v>
          </cell>
          <cell r="N67" t="e">
            <v>#REF!</v>
          </cell>
          <cell r="O67">
            <v>0</v>
          </cell>
          <cell r="P67" t="e">
            <v>#REF!</v>
          </cell>
          <cell r="Q67" t="e">
            <v>#REF!</v>
          </cell>
          <cell r="R67" t="e">
            <v>#REF!</v>
          </cell>
          <cell r="S67">
            <v>1018</v>
          </cell>
          <cell r="U67" t="e">
            <v>#REF!</v>
          </cell>
          <cell r="V67" t="e">
            <v>#REF!</v>
          </cell>
          <cell r="W67" t="e">
            <v>#REF!</v>
          </cell>
          <cell r="X67" t="e">
            <v>#REF!</v>
          </cell>
          <cell r="Y67" t="e">
            <v>#REF!</v>
          </cell>
          <cell r="AA67">
            <v>300</v>
          </cell>
        </row>
        <row r="68">
          <cell r="C68" t="e">
            <v>#REF!</v>
          </cell>
          <cell r="D68" t="e">
            <v>#REF!</v>
          </cell>
          <cell r="E68" t="e">
            <v>#REF!</v>
          </cell>
          <cell r="I68" t="e">
            <v>#REF!</v>
          </cell>
          <cell r="J68" t="e">
            <v>#REF!</v>
          </cell>
          <cell r="K68" t="e">
            <v>#REF!</v>
          </cell>
          <cell r="L68" t="e">
            <v>#REF!</v>
          </cell>
          <cell r="M68" t="e">
            <v>#REF!</v>
          </cell>
          <cell r="N68" t="e">
            <v>#REF!</v>
          </cell>
          <cell r="O68" t="e">
            <v>#REF!</v>
          </cell>
          <cell r="P68" t="e">
            <v>#REF!</v>
          </cell>
          <cell r="Q68" t="e">
            <v>#REF!</v>
          </cell>
          <cell r="R68" t="e">
            <v>#REF!</v>
          </cell>
          <cell r="S68">
            <v>0</v>
          </cell>
          <cell r="T68">
            <v>12</v>
          </cell>
          <cell r="U68" t="e">
            <v>#REF!</v>
          </cell>
          <cell r="V68" t="e">
            <v>#REF!</v>
          </cell>
          <cell r="W68" t="e">
            <v>#REF!</v>
          </cell>
          <cell r="X68" t="e">
            <v>#REF!</v>
          </cell>
          <cell r="Y68" t="e">
            <v>#REF!</v>
          </cell>
          <cell r="Z68" t="e">
            <v>#REF!</v>
          </cell>
          <cell r="AA68" t="e">
            <v>#REF!</v>
          </cell>
        </row>
        <row r="69">
          <cell r="C69" t="e">
            <v>#REF!</v>
          </cell>
          <cell r="D69" t="e">
            <v>#REF!</v>
          </cell>
          <cell r="E69" t="e">
            <v>#REF!</v>
          </cell>
          <cell r="I69" t="e">
            <v>#REF!</v>
          </cell>
          <cell r="J69" t="e">
            <v>#REF!</v>
          </cell>
          <cell r="K69" t="e">
            <v>#REF!</v>
          </cell>
          <cell r="L69" t="e">
            <v>#REF!</v>
          </cell>
          <cell r="M69" t="e">
            <v>#REF!</v>
          </cell>
          <cell r="N69" t="e">
            <v>#REF!</v>
          </cell>
          <cell r="O69" t="e">
            <v>#REF!</v>
          </cell>
          <cell r="P69" t="e">
            <v>#REF!</v>
          </cell>
          <cell r="Q69" t="e">
            <v>#REF!</v>
          </cell>
          <cell r="R69" t="e">
            <v>#REF!</v>
          </cell>
          <cell r="S69">
            <v>1018</v>
          </cell>
          <cell r="T69">
            <v>146.88</v>
          </cell>
          <cell r="U69" t="e">
            <v>#REF!</v>
          </cell>
          <cell r="V69" t="e">
            <v>#REF!</v>
          </cell>
          <cell r="W69" t="e">
            <v>#REF!</v>
          </cell>
          <cell r="X69" t="e">
            <v>#REF!</v>
          </cell>
          <cell r="Y69" t="e">
            <v>#REF!</v>
          </cell>
          <cell r="Z69" t="e">
            <v>#REF!</v>
          </cell>
          <cell r="AA69" t="e">
            <v>#REF!</v>
          </cell>
        </row>
        <row r="70">
          <cell r="C70" t="e">
            <v>#REF!</v>
          </cell>
          <cell r="D70" t="e">
            <v>#REF!</v>
          </cell>
          <cell r="E70" t="e">
            <v>#REF!</v>
          </cell>
          <cell r="I70" t="e">
            <v>#REF!</v>
          </cell>
          <cell r="J70" t="e">
            <v>#REF!</v>
          </cell>
          <cell r="K70" t="e">
            <v>#REF!</v>
          </cell>
          <cell r="L70" t="e">
            <v>#REF!</v>
          </cell>
          <cell r="M70" t="e">
            <v>#REF!</v>
          </cell>
          <cell r="N70" t="e">
            <v>#REF!</v>
          </cell>
          <cell r="O70" t="e">
            <v>#REF!</v>
          </cell>
          <cell r="P70" t="e">
            <v>#REF!</v>
          </cell>
          <cell r="Q70" t="e">
            <v>#REF!</v>
          </cell>
          <cell r="R70" t="e">
            <v>#REF!</v>
          </cell>
          <cell r="S70">
            <v>1737.3999999999999</v>
          </cell>
          <cell r="T70">
            <v>12</v>
          </cell>
          <cell r="U70" t="e">
            <v>#REF!</v>
          </cell>
          <cell r="V70" t="e">
            <v>#REF!</v>
          </cell>
          <cell r="W70" t="e">
            <v>#REF!</v>
          </cell>
          <cell r="X70" t="e">
            <v>#REF!</v>
          </cell>
          <cell r="Y70" t="e">
            <v>#REF!</v>
          </cell>
          <cell r="Z70" t="e">
            <v>#REF!</v>
          </cell>
          <cell r="AA70" t="e">
            <v>#REF!</v>
          </cell>
        </row>
        <row r="71">
          <cell r="C71" t="e">
            <v>#REF!</v>
          </cell>
          <cell r="D71" t="e">
            <v>#REF!</v>
          </cell>
          <cell r="E71" t="e">
            <v>#REF!</v>
          </cell>
          <cell r="I71" t="e">
            <v>#REF!</v>
          </cell>
          <cell r="J71" t="e">
            <v>#REF!</v>
          </cell>
          <cell r="K71" t="e">
            <v>#REF!</v>
          </cell>
          <cell r="L71" t="e">
            <v>#REF!</v>
          </cell>
          <cell r="M71" t="e">
            <v>#REF!</v>
          </cell>
          <cell r="N71" t="e">
            <v>#REF!</v>
          </cell>
          <cell r="O71" t="e">
            <v>#REF!</v>
          </cell>
          <cell r="P71" t="e">
            <v>#REF!</v>
          </cell>
          <cell r="Q71" t="e">
            <v>#REF!</v>
          </cell>
          <cell r="R71" t="e">
            <v>#REF!</v>
          </cell>
          <cell r="S71">
            <v>422.54545454545456</v>
          </cell>
          <cell r="U71" t="e">
            <v>#REF!</v>
          </cell>
          <cell r="V71" t="e">
            <v>#REF!</v>
          </cell>
          <cell r="W71" t="e">
            <v>#REF!</v>
          </cell>
          <cell r="X71" t="e">
            <v>#REF!</v>
          </cell>
          <cell r="Y71" t="e">
            <v>#REF!</v>
          </cell>
          <cell r="Z71">
            <v>51.363636363636374</v>
          </cell>
          <cell r="AA71" t="e">
            <v>#REF!</v>
          </cell>
        </row>
        <row r="72">
          <cell r="C72" t="e">
            <v>#REF!</v>
          </cell>
          <cell r="D72" t="e">
            <v>#REF!</v>
          </cell>
          <cell r="E72">
            <v>0</v>
          </cell>
          <cell r="I72" t="e">
            <v>#REF!</v>
          </cell>
          <cell r="J72">
            <v>0</v>
          </cell>
          <cell r="K72" t="e">
            <v>#REF!</v>
          </cell>
          <cell r="L72" t="e">
            <v>#REF!</v>
          </cell>
          <cell r="M72" t="e">
            <v>#REF!</v>
          </cell>
          <cell r="N72" t="e">
            <v>#REF!</v>
          </cell>
          <cell r="O72">
            <v>0</v>
          </cell>
          <cell r="P72" t="e">
            <v>#REF!</v>
          </cell>
          <cell r="Q72" t="e">
            <v>#REF!</v>
          </cell>
          <cell r="R72" t="e">
            <v>#REF!</v>
          </cell>
          <cell r="S72">
            <v>23</v>
          </cell>
          <cell r="U72" t="e">
            <v>#REF!</v>
          </cell>
          <cell r="V72" t="e">
            <v>#REF!</v>
          </cell>
          <cell r="W72" t="e">
            <v>#REF!</v>
          </cell>
          <cell r="X72" t="e">
            <v>#REF!</v>
          </cell>
          <cell r="Y72" t="e">
            <v>#REF!</v>
          </cell>
          <cell r="Z72">
            <v>3</v>
          </cell>
          <cell r="AA72" t="e">
            <v>#REF!</v>
          </cell>
        </row>
        <row r="73">
          <cell r="C73" t="e">
            <v>#REF!</v>
          </cell>
          <cell r="D73" t="e">
            <v>#REF!</v>
          </cell>
          <cell r="E73" t="e">
            <v>#REF!</v>
          </cell>
          <cell r="I73" t="e">
            <v>#REF!</v>
          </cell>
          <cell r="J73" t="e">
            <v>#REF!</v>
          </cell>
          <cell r="K73" t="e">
            <v>#REF!</v>
          </cell>
          <cell r="L73" t="e">
            <v>#REF!</v>
          </cell>
          <cell r="M73" t="e">
            <v>#REF!</v>
          </cell>
          <cell r="N73" t="e">
            <v>#REF!</v>
          </cell>
          <cell r="O73" t="e">
            <v>#REF!</v>
          </cell>
          <cell r="P73" t="e">
            <v>#REF!</v>
          </cell>
          <cell r="Q73" t="e">
            <v>#REF!</v>
          </cell>
          <cell r="R73" t="e">
            <v>#REF!</v>
          </cell>
          <cell r="S73">
            <v>0</v>
          </cell>
          <cell r="T73">
            <v>51</v>
          </cell>
          <cell r="U73" t="e">
            <v>#REF!</v>
          </cell>
          <cell r="V73" t="e">
            <v>#REF!</v>
          </cell>
          <cell r="W73" t="e">
            <v>#REF!</v>
          </cell>
          <cell r="X73" t="e">
            <v>#REF!</v>
          </cell>
          <cell r="Y73" t="e">
            <v>#REF!</v>
          </cell>
          <cell r="Z73" t="e">
            <v>#REF!</v>
          </cell>
          <cell r="AA73" t="e">
            <v>#REF!</v>
          </cell>
        </row>
        <row r="74">
          <cell r="C74" t="e">
            <v>#REF!</v>
          </cell>
          <cell r="D74" t="e">
            <v>#REF!</v>
          </cell>
          <cell r="E74" t="e">
            <v>#REF!</v>
          </cell>
          <cell r="I74">
            <v>0</v>
          </cell>
          <cell r="J74">
            <v>0</v>
          </cell>
          <cell r="K74" t="e">
            <v>#REF!</v>
          </cell>
          <cell r="L74" t="e">
            <v>#REF!</v>
          </cell>
          <cell r="M74" t="e">
            <v>#REF!</v>
          </cell>
          <cell r="N74" t="e">
            <v>#REF!</v>
          </cell>
          <cell r="O74" t="e">
            <v>#REF!</v>
          </cell>
          <cell r="P74" t="e">
            <v>#REF!</v>
          </cell>
          <cell r="Q74" t="e">
            <v>#REF!</v>
          </cell>
          <cell r="R74" t="e">
            <v>#REF!</v>
          </cell>
          <cell r="U74" t="e">
            <v>#REF!</v>
          </cell>
          <cell r="V74" t="e">
            <v>#REF!</v>
          </cell>
          <cell r="W74" t="e">
            <v>#REF!</v>
          </cell>
          <cell r="X74" t="e">
            <v>#REF!</v>
          </cell>
          <cell r="Y74" t="e">
            <v>#REF!</v>
          </cell>
          <cell r="Z74" t="e">
            <v>#REF!</v>
          </cell>
          <cell r="AA74" t="e">
            <v>#REF!</v>
          </cell>
        </row>
        <row r="75">
          <cell r="C75" t="e">
            <v>#REF!</v>
          </cell>
          <cell r="D75" t="e">
            <v>#REF!</v>
          </cell>
          <cell r="E75" t="e">
            <v>#REF!</v>
          </cell>
          <cell r="I75" t="e">
            <v>#REF!</v>
          </cell>
          <cell r="J75" t="e">
            <v>#REF!</v>
          </cell>
          <cell r="K75" t="e">
            <v>#REF!</v>
          </cell>
          <cell r="L75" t="e">
            <v>#REF!</v>
          </cell>
          <cell r="M75" t="e">
            <v>#REF!</v>
          </cell>
          <cell r="N75" t="e">
            <v>#REF!</v>
          </cell>
          <cell r="O75" t="e">
            <v>#REF!</v>
          </cell>
          <cell r="P75" t="e">
            <v>#REF!</v>
          </cell>
          <cell r="Q75" t="e">
            <v>#REF!</v>
          </cell>
          <cell r="R75" t="e">
            <v>#REF!</v>
          </cell>
          <cell r="S75">
            <v>0</v>
          </cell>
          <cell r="T75">
            <v>1129</v>
          </cell>
          <cell r="U75" t="e">
            <v>#REF!</v>
          </cell>
          <cell r="V75" t="e">
            <v>#REF!</v>
          </cell>
          <cell r="W75" t="e">
            <v>#REF!</v>
          </cell>
          <cell r="X75" t="e">
            <v>#REF!</v>
          </cell>
          <cell r="Y75" t="e">
            <v>#VALUE!</v>
          </cell>
          <cell r="Z75" t="e">
            <v>#REF!</v>
          </cell>
          <cell r="AA75" t="e">
            <v>#REF!</v>
          </cell>
        </row>
        <row r="76">
          <cell r="C76" t="e">
            <v>#REF!</v>
          </cell>
          <cell r="D76" t="e">
            <v>#REF!</v>
          </cell>
          <cell r="E76" t="e">
            <v>#REF!</v>
          </cell>
          <cell r="I76" t="e">
            <v>#REF!</v>
          </cell>
          <cell r="J76" t="e">
            <v>#REF!</v>
          </cell>
          <cell r="K76" t="e">
            <v>#REF!</v>
          </cell>
          <cell r="L76" t="e">
            <v>#REF!</v>
          </cell>
          <cell r="M76" t="e">
            <v>#REF!</v>
          </cell>
          <cell r="N76" t="e">
            <v>#REF!</v>
          </cell>
          <cell r="O76" t="e">
            <v>#REF!</v>
          </cell>
          <cell r="P76" t="e">
            <v>#REF!</v>
          </cell>
          <cell r="Q76" t="e">
            <v>#REF!</v>
          </cell>
          <cell r="R76" t="e">
            <v>#REF!</v>
          </cell>
          <cell r="S76">
            <v>0</v>
          </cell>
          <cell r="T76">
            <v>51</v>
          </cell>
          <cell r="U76" t="e">
            <v>#REF!</v>
          </cell>
          <cell r="V76" t="e">
            <v>#REF!</v>
          </cell>
          <cell r="W76" t="e">
            <v>#REF!</v>
          </cell>
          <cell r="X76" t="e">
            <v>#REF!</v>
          </cell>
          <cell r="Y76" t="e">
            <v>#VALUE!</v>
          </cell>
          <cell r="Z76" t="e">
            <v>#REF!</v>
          </cell>
          <cell r="AA76" t="e">
            <v>#REF!</v>
          </cell>
        </row>
        <row r="77">
          <cell r="C77" t="e">
            <v>#REF!</v>
          </cell>
          <cell r="D77" t="e">
            <v>#REF!</v>
          </cell>
          <cell r="E77">
            <v>0</v>
          </cell>
          <cell r="I77" t="e">
            <v>#REF!</v>
          </cell>
          <cell r="J77" t="e">
            <v>#REF!</v>
          </cell>
          <cell r="K77" t="e">
            <v>#REF!</v>
          </cell>
          <cell r="L77" t="e">
            <v>#REF!</v>
          </cell>
          <cell r="M77" t="e">
            <v>#REF!</v>
          </cell>
          <cell r="N77" t="e">
            <v>#REF!</v>
          </cell>
          <cell r="P77" t="e">
            <v>#REF!</v>
          </cell>
          <cell r="Q77" t="e">
            <v>#REF!</v>
          </cell>
          <cell r="S77">
            <v>101</v>
          </cell>
          <cell r="T77">
            <v>0</v>
          </cell>
          <cell r="U77">
            <v>101</v>
          </cell>
          <cell r="V77">
            <v>0</v>
          </cell>
          <cell r="W77" t="e">
            <v>#REF!</v>
          </cell>
          <cell r="X77" t="e">
            <v>#REF!</v>
          </cell>
          <cell r="Y77" t="e">
            <v>#REF!</v>
          </cell>
          <cell r="Z77">
            <v>31</v>
          </cell>
          <cell r="AA77">
            <v>119</v>
          </cell>
        </row>
        <row r="78">
          <cell r="C78" t="e">
            <v>#REF!</v>
          </cell>
          <cell r="D78" t="e">
            <v>#REF!</v>
          </cell>
          <cell r="E78" t="e">
            <v>#REF!</v>
          </cell>
          <cell r="I78" t="e">
            <v>#REF!</v>
          </cell>
          <cell r="J78" t="e">
            <v>#REF!</v>
          </cell>
          <cell r="K78" t="e">
            <v>#REF!</v>
          </cell>
          <cell r="L78" t="e">
            <v>#REF!</v>
          </cell>
          <cell r="M78" t="e">
            <v>#REF!</v>
          </cell>
          <cell r="N78" t="e">
            <v>#REF!</v>
          </cell>
          <cell r="P78" t="e">
            <v>#REF!</v>
          </cell>
          <cell r="Q78" t="e">
            <v>#REF!</v>
          </cell>
          <cell r="T78">
            <v>0</v>
          </cell>
          <cell r="U78" t="e">
            <v>#REF!</v>
          </cell>
          <cell r="V78" t="e">
            <v>#REF!</v>
          </cell>
          <cell r="W78">
            <v>0</v>
          </cell>
          <cell r="X78">
            <v>0</v>
          </cell>
          <cell r="Y78">
            <v>0</v>
          </cell>
          <cell r="Z78">
            <v>0</v>
          </cell>
          <cell r="AA78">
            <v>0</v>
          </cell>
        </row>
        <row r="79">
          <cell r="C79" t="e">
            <v>#REF!</v>
          </cell>
          <cell r="D79" t="e">
            <v>#REF!</v>
          </cell>
          <cell r="E79" t="e">
            <v>#REF!</v>
          </cell>
          <cell r="I79" t="e">
            <v>#REF!</v>
          </cell>
          <cell r="J79" t="e">
            <v>#REF!</v>
          </cell>
          <cell r="K79" t="e">
            <v>#REF!</v>
          </cell>
          <cell r="L79" t="e">
            <v>#REF!</v>
          </cell>
          <cell r="M79" t="e">
            <v>#REF!</v>
          </cell>
          <cell r="N79" t="e">
            <v>#REF!</v>
          </cell>
          <cell r="O79" t="e">
            <v>#REF!</v>
          </cell>
          <cell r="P79" t="e">
            <v>#REF!</v>
          </cell>
          <cell r="Q79" t="e">
            <v>#REF!</v>
          </cell>
          <cell r="R79" t="e">
            <v>#REF!</v>
          </cell>
          <cell r="S79">
            <v>0</v>
          </cell>
          <cell r="T79">
            <v>1129</v>
          </cell>
          <cell r="U79" t="e">
            <v>#REF!</v>
          </cell>
          <cell r="V79" t="e">
            <v>#REF!</v>
          </cell>
          <cell r="W79" t="e">
            <v>#REF!</v>
          </cell>
          <cell r="X79" t="e">
            <v>#REF!</v>
          </cell>
          <cell r="Y79" t="e">
            <v>#VALUE!</v>
          </cell>
          <cell r="Z79" t="e">
            <v>#REF!</v>
          </cell>
          <cell r="AA79" t="e">
            <v>#REF!</v>
          </cell>
        </row>
        <row r="80">
          <cell r="C80" t="e">
            <v>#REF!</v>
          </cell>
          <cell r="D80" t="e">
            <v>#REF!</v>
          </cell>
          <cell r="E80" t="e">
            <v>#REF!</v>
          </cell>
          <cell r="I80" t="e">
            <v>#REF!</v>
          </cell>
          <cell r="J80" t="e">
            <v>#REF!</v>
          </cell>
          <cell r="K80" t="e">
            <v>#REF!</v>
          </cell>
          <cell r="L80" t="e">
            <v>#REF!</v>
          </cell>
          <cell r="M80" t="e">
            <v>#REF!</v>
          </cell>
          <cell r="N80" t="e">
            <v>#REF!</v>
          </cell>
          <cell r="O80" t="e">
            <v>#REF!</v>
          </cell>
          <cell r="P80" t="e">
            <v>#REF!</v>
          </cell>
          <cell r="Q80" t="e">
            <v>#REF!</v>
          </cell>
          <cell r="R80" t="e">
            <v>#REF!</v>
          </cell>
          <cell r="S80">
            <v>0</v>
          </cell>
          <cell r="T80">
            <v>824</v>
          </cell>
          <cell r="U80" t="e">
            <v>#REF!</v>
          </cell>
          <cell r="V80" t="e">
            <v>#REF!</v>
          </cell>
          <cell r="W80" t="e">
            <v>#REF!</v>
          </cell>
          <cell r="X80">
            <v>0</v>
          </cell>
          <cell r="Y80">
            <v>0</v>
          </cell>
          <cell r="Z80" t="e">
            <v>#REF!</v>
          </cell>
          <cell r="AA80" t="e">
            <v>#REF!</v>
          </cell>
        </row>
        <row r="81">
          <cell r="C81" t="e">
            <v>#REF!</v>
          </cell>
          <cell r="D81" t="e">
            <v>#REF!</v>
          </cell>
          <cell r="E81" t="e">
            <v>#REF!</v>
          </cell>
          <cell r="P81">
            <v>0</v>
          </cell>
          <cell r="S81">
            <v>0</v>
          </cell>
          <cell r="U81" t="e">
            <v>#REF!</v>
          </cell>
          <cell r="V81" t="e">
            <v>#REF!</v>
          </cell>
          <cell r="W81" t="e">
            <v>#REF!</v>
          </cell>
          <cell r="X81">
            <v>0</v>
          </cell>
          <cell r="Y81">
            <v>0</v>
          </cell>
          <cell r="Z81" t="e">
            <v>#REF!</v>
          </cell>
          <cell r="AA81" t="e">
            <v>#REF!</v>
          </cell>
        </row>
        <row r="82">
          <cell r="C82" t="e">
            <v>#REF!</v>
          </cell>
          <cell r="D82" t="e">
            <v>#REF!</v>
          </cell>
          <cell r="E82" t="e">
            <v>#REF!</v>
          </cell>
          <cell r="J82">
            <v>0</v>
          </cell>
          <cell r="K82">
            <v>0</v>
          </cell>
          <cell r="L82">
            <v>0</v>
          </cell>
          <cell r="M82">
            <v>0</v>
          </cell>
          <cell r="N82" t="e">
            <v>#REF!</v>
          </cell>
          <cell r="O82" t="e">
            <v>#REF!</v>
          </cell>
          <cell r="P82">
            <v>0</v>
          </cell>
          <cell r="Q82" t="e">
            <v>#REF!</v>
          </cell>
          <cell r="R82" t="e">
            <v>#REF!</v>
          </cell>
          <cell r="S82">
            <v>50</v>
          </cell>
          <cell r="T82">
            <v>33</v>
          </cell>
          <cell r="U82" t="e">
            <v>#REF!</v>
          </cell>
          <cell r="V82" t="e">
            <v>#REF!</v>
          </cell>
          <cell r="W82" t="e">
            <v>#REF!</v>
          </cell>
          <cell r="X82" t="e">
            <v>#REF!</v>
          </cell>
          <cell r="Y82" t="e">
            <v>#REF!</v>
          </cell>
          <cell r="Z82" t="e">
            <v>#REF!</v>
          </cell>
          <cell r="AA82" t="e">
            <v>#REF!</v>
          </cell>
        </row>
        <row r="83">
          <cell r="C83" t="e">
            <v>#REF!</v>
          </cell>
          <cell r="D83" t="e">
            <v>#REF!</v>
          </cell>
          <cell r="E83" t="e">
            <v>#REF!</v>
          </cell>
          <cell r="P83">
            <v>21</v>
          </cell>
          <cell r="S83">
            <v>51</v>
          </cell>
          <cell r="T83">
            <v>33.660000000000004</v>
          </cell>
          <cell r="U83">
            <v>0</v>
          </cell>
          <cell r="V83" t="e">
            <v>#REF!</v>
          </cell>
          <cell r="W83" t="e">
            <v>#REF!</v>
          </cell>
          <cell r="X83">
            <v>0</v>
          </cell>
          <cell r="Y83">
            <v>0</v>
          </cell>
          <cell r="Z83" t="e">
            <v>#REF!</v>
          </cell>
          <cell r="AA83" t="e">
            <v>#REF!</v>
          </cell>
        </row>
        <row r="84">
          <cell r="C84" t="e">
            <v>#REF!</v>
          </cell>
          <cell r="D84" t="e">
            <v>#REF!</v>
          </cell>
          <cell r="E84" t="e">
            <v>#REF!</v>
          </cell>
          <cell r="I84" t="e">
            <v>#REF!</v>
          </cell>
          <cell r="J84" t="e">
            <v>#REF!</v>
          </cell>
          <cell r="K84" t="e">
            <v>#REF!</v>
          </cell>
          <cell r="L84" t="e">
            <v>#REF!</v>
          </cell>
          <cell r="M84" t="e">
            <v>#REF!</v>
          </cell>
          <cell r="N84" t="e">
            <v>#REF!</v>
          </cell>
          <cell r="O84" t="e">
            <v>#REF!</v>
          </cell>
          <cell r="P84" t="e">
            <v>#REF!</v>
          </cell>
          <cell r="Q84" t="e">
            <v>#REF!</v>
          </cell>
          <cell r="R84" t="e">
            <v>#REF!</v>
          </cell>
          <cell r="S84">
            <v>0</v>
          </cell>
          <cell r="T84">
            <v>1129</v>
          </cell>
          <cell r="U84" t="e">
            <v>#REF!</v>
          </cell>
          <cell r="V84" t="e">
            <v>#REF!</v>
          </cell>
          <cell r="W84" t="e">
            <v>#REF!</v>
          </cell>
          <cell r="X84" t="e">
            <v>#REF!</v>
          </cell>
          <cell r="Y84" t="e">
            <v>#VALUE!</v>
          </cell>
          <cell r="Z84" t="e">
            <v>#REF!</v>
          </cell>
          <cell r="AA84" t="e">
            <v>#REF!</v>
          </cell>
        </row>
        <row r="85">
          <cell r="C85" t="e">
            <v>#REF!</v>
          </cell>
          <cell r="D85" t="e">
            <v>#REF!</v>
          </cell>
          <cell r="E85" t="e">
            <v>#REF!</v>
          </cell>
          <cell r="I85" t="e">
            <v>#REF!</v>
          </cell>
          <cell r="J85" t="e">
            <v>#REF!</v>
          </cell>
          <cell r="K85" t="e">
            <v>#REF!</v>
          </cell>
          <cell r="L85" t="e">
            <v>#REF!</v>
          </cell>
          <cell r="M85" t="e">
            <v>#REF!</v>
          </cell>
          <cell r="N85" t="e">
            <v>#REF!</v>
          </cell>
          <cell r="O85" t="e">
            <v>#REF!</v>
          </cell>
          <cell r="P85" t="e">
            <v>#REF!</v>
          </cell>
          <cell r="Q85" t="e">
            <v>#REF!</v>
          </cell>
          <cell r="R85" t="e">
            <v>#REF!</v>
          </cell>
          <cell r="S85">
            <v>0</v>
          </cell>
          <cell r="T85">
            <v>1129</v>
          </cell>
          <cell r="U85" t="e">
            <v>#REF!</v>
          </cell>
          <cell r="V85" t="e">
            <v>#REF!</v>
          </cell>
          <cell r="W85" t="e">
            <v>#REF!</v>
          </cell>
          <cell r="X85" t="e">
            <v>#REF!</v>
          </cell>
          <cell r="Y85" t="e">
            <v>#VALUE!</v>
          </cell>
          <cell r="Z85" t="e">
            <v>#REF!</v>
          </cell>
          <cell r="AA85" t="e">
            <v>#REF!</v>
          </cell>
        </row>
        <row r="86">
          <cell r="C86" t="e">
            <v>#REF!</v>
          </cell>
          <cell r="D86" t="e">
            <v>#REF!</v>
          </cell>
          <cell r="E86" t="e">
            <v>#REF!</v>
          </cell>
          <cell r="I86" t="e">
            <v>#REF!</v>
          </cell>
          <cell r="J86" t="e">
            <v>#REF!</v>
          </cell>
          <cell r="K86" t="e">
            <v>#REF!</v>
          </cell>
          <cell r="L86" t="e">
            <v>#REF!</v>
          </cell>
          <cell r="M86" t="e">
            <v>#REF!</v>
          </cell>
          <cell r="N86" t="e">
            <v>#REF!</v>
          </cell>
          <cell r="O86" t="e">
            <v>#REF!</v>
          </cell>
          <cell r="P86" t="e">
            <v>#REF!</v>
          </cell>
          <cell r="Q86" t="e">
            <v>#REF!</v>
          </cell>
          <cell r="R86" t="e">
            <v>#REF!</v>
          </cell>
          <cell r="S86">
            <v>0</v>
          </cell>
          <cell r="T86">
            <v>686</v>
          </cell>
          <cell r="U86" t="e">
            <v>#REF!</v>
          </cell>
          <cell r="V86" t="e">
            <v>#REF!</v>
          </cell>
          <cell r="W86" t="e">
            <v>#REF!</v>
          </cell>
          <cell r="X86" t="e">
            <v>#REF!</v>
          </cell>
          <cell r="Y86" t="e">
            <v>#REF!</v>
          </cell>
          <cell r="Z86" t="e">
            <v>#REF!</v>
          </cell>
          <cell r="AA86" t="e">
            <v>#REF!</v>
          </cell>
        </row>
        <row r="87">
          <cell r="C87" t="e">
            <v>#REF!</v>
          </cell>
          <cell r="D87" t="e">
            <v>#REF!</v>
          </cell>
          <cell r="E87" t="e">
            <v>#REF!</v>
          </cell>
          <cell r="I87" t="e">
            <v>#REF!</v>
          </cell>
          <cell r="J87" t="e">
            <v>#REF!</v>
          </cell>
          <cell r="K87">
            <v>0</v>
          </cell>
          <cell r="L87">
            <v>0</v>
          </cell>
          <cell r="M87" t="e">
            <v>#REF!</v>
          </cell>
          <cell r="N87">
            <v>0</v>
          </cell>
          <cell r="O87">
            <v>0</v>
          </cell>
          <cell r="P87" t="e">
            <v>#REF!</v>
          </cell>
          <cell r="Q87">
            <v>0</v>
          </cell>
          <cell r="R87">
            <v>0</v>
          </cell>
          <cell r="S87" t="e">
            <v>#REF!</v>
          </cell>
          <cell r="T87">
            <v>0</v>
          </cell>
          <cell r="U87" t="e">
            <v>#REF!</v>
          </cell>
          <cell r="V87">
            <v>0</v>
          </cell>
          <cell r="W87" t="e">
            <v>#REF!</v>
          </cell>
          <cell r="X87" t="e">
            <v>#REF!</v>
          </cell>
          <cell r="Y87" t="e">
            <v>#REF!</v>
          </cell>
          <cell r="Z87">
            <v>0</v>
          </cell>
          <cell r="AA87">
            <v>0</v>
          </cell>
        </row>
        <row r="88">
          <cell r="C88" t="e">
            <v>#REF!</v>
          </cell>
          <cell r="D88" t="e">
            <v>#REF!</v>
          </cell>
          <cell r="E88" t="e">
            <v>#REF!</v>
          </cell>
          <cell r="I88" t="e">
            <v>#REF!</v>
          </cell>
          <cell r="J88" t="e">
            <v>#REF!</v>
          </cell>
          <cell r="M88" t="e">
            <v>#REF!</v>
          </cell>
          <cell r="P88" t="e">
            <v>#REF!</v>
          </cell>
          <cell r="S88" t="e">
            <v>#REF!</v>
          </cell>
          <cell r="U88" t="e">
            <v>#REF!</v>
          </cell>
          <cell r="W88" t="e">
            <v>#REF!</v>
          </cell>
          <cell r="X88" t="e">
            <v>#REF!</v>
          </cell>
          <cell r="Y88" t="e">
            <v>#REF!</v>
          </cell>
          <cell r="Z88">
            <v>0</v>
          </cell>
          <cell r="AA88">
            <v>0</v>
          </cell>
        </row>
        <row r="89">
          <cell r="C89" t="e">
            <v>#REF!</v>
          </cell>
          <cell r="D89" t="e">
            <v>#REF!</v>
          </cell>
          <cell r="E89" t="e">
            <v>#REF!</v>
          </cell>
          <cell r="I89" t="e">
            <v>#REF!</v>
          </cell>
          <cell r="J89" t="e">
            <v>#REF!</v>
          </cell>
          <cell r="K89" t="e">
            <v>#REF!</v>
          </cell>
          <cell r="L89" t="e">
            <v>#REF!</v>
          </cell>
          <cell r="M89" t="e">
            <v>#REF!</v>
          </cell>
          <cell r="N89" t="e">
            <v>#REF!</v>
          </cell>
          <cell r="O89" t="e">
            <v>#REF!</v>
          </cell>
          <cell r="P89" t="e">
            <v>#REF!</v>
          </cell>
          <cell r="Q89" t="e">
            <v>#REF!</v>
          </cell>
          <cell r="R89" t="e">
            <v>#REF!</v>
          </cell>
          <cell r="S89" t="e">
            <v>#REF!</v>
          </cell>
          <cell r="T89">
            <v>824</v>
          </cell>
          <cell r="U89" t="e">
            <v>#REF!</v>
          </cell>
          <cell r="V89">
            <v>563</v>
          </cell>
          <cell r="W89" t="e">
            <v>#REF!</v>
          </cell>
          <cell r="X89" t="e">
            <v>#REF!</v>
          </cell>
          <cell r="Y89" t="e">
            <v>#REF!</v>
          </cell>
          <cell r="Z89" t="e">
            <v>#REF!</v>
          </cell>
          <cell r="AA89" t="e">
            <v>#REF!</v>
          </cell>
        </row>
        <row r="90">
          <cell r="C90" t="e">
            <v>#REF!</v>
          </cell>
          <cell r="D90" t="e">
            <v>#REF!</v>
          </cell>
          <cell r="E90" t="e">
            <v>#REF!</v>
          </cell>
          <cell r="I90" t="e">
            <v>#REF!</v>
          </cell>
          <cell r="J90" t="e">
            <v>#REF!</v>
          </cell>
          <cell r="K90" t="e">
            <v>#REF!</v>
          </cell>
          <cell r="L90" t="e">
            <v>#REF!</v>
          </cell>
          <cell r="M90" t="e">
            <v>#REF!</v>
          </cell>
          <cell r="N90" t="e">
            <v>#REF!</v>
          </cell>
          <cell r="O90" t="e">
            <v>#REF!</v>
          </cell>
          <cell r="P90" t="e">
            <v>#REF!</v>
          </cell>
          <cell r="Q90" t="e">
            <v>#REF!</v>
          </cell>
          <cell r="R90" t="e">
            <v>#REF!</v>
          </cell>
          <cell r="S90" t="e">
            <v>#REF!</v>
          </cell>
          <cell r="T90">
            <v>824</v>
          </cell>
          <cell r="U90" t="e">
            <v>#REF!</v>
          </cell>
          <cell r="V90">
            <v>0</v>
          </cell>
          <cell r="W90" t="e">
            <v>#REF!</v>
          </cell>
          <cell r="X90" t="e">
            <v>#REF!</v>
          </cell>
          <cell r="Y90" t="e">
            <v>#REF!</v>
          </cell>
          <cell r="Z90" t="e">
            <v>#REF!</v>
          </cell>
          <cell r="AA90" t="e">
            <v>#REF!</v>
          </cell>
        </row>
        <row r="91">
          <cell r="C91" t="e">
            <v>#REF!</v>
          </cell>
          <cell r="D91" t="e">
            <v>#REF!</v>
          </cell>
          <cell r="E91" t="e">
            <v>#REF!</v>
          </cell>
          <cell r="I91" t="e">
            <v>#REF!</v>
          </cell>
          <cell r="J91" t="e">
            <v>#REF!</v>
          </cell>
          <cell r="K91" t="e">
            <v>#REF!</v>
          </cell>
          <cell r="L91" t="e">
            <v>#REF!</v>
          </cell>
          <cell r="M91" t="e">
            <v>#REF!</v>
          </cell>
          <cell r="N91" t="e">
            <v>#REF!</v>
          </cell>
          <cell r="O91" t="e">
            <v>#REF!</v>
          </cell>
          <cell r="P91" t="e">
            <v>#REF!</v>
          </cell>
          <cell r="Q91" t="e">
            <v>#REF!</v>
          </cell>
          <cell r="R91" t="e">
            <v>#REF!</v>
          </cell>
          <cell r="S91" t="e">
            <v>#REF!</v>
          </cell>
          <cell r="T91">
            <v>0</v>
          </cell>
          <cell r="U91" t="e">
            <v>#REF!</v>
          </cell>
          <cell r="W91" t="e">
            <v>#REF!</v>
          </cell>
          <cell r="X91" t="e">
            <v>#REF!</v>
          </cell>
          <cell r="Y91" t="e">
            <v>#REF!</v>
          </cell>
          <cell r="Z91" t="e">
            <v>#REF!</v>
          </cell>
          <cell r="AA91" t="e">
            <v>#REF!</v>
          </cell>
        </row>
        <row r="92">
          <cell r="C92" t="e">
            <v>#REF!</v>
          </cell>
          <cell r="I92" t="e">
            <v>#REF!</v>
          </cell>
          <cell r="J92" t="e">
            <v>#REF!</v>
          </cell>
          <cell r="M92" t="e">
            <v>#REF!</v>
          </cell>
          <cell r="P92" t="e">
            <v>#REF!</v>
          </cell>
          <cell r="S92" t="e">
            <v>#REF!</v>
          </cell>
          <cell r="U92" t="e">
            <v>#REF!</v>
          </cell>
        </row>
        <row r="93">
          <cell r="C93" t="e">
            <v>#REF!</v>
          </cell>
          <cell r="I93" t="e">
            <v>#REF!</v>
          </cell>
          <cell r="J93" t="e">
            <v>#REF!</v>
          </cell>
          <cell r="M93" t="e">
            <v>#REF!</v>
          </cell>
          <cell r="P93" t="e">
            <v>#REF!</v>
          </cell>
          <cell r="S93" t="e">
            <v>#REF!</v>
          </cell>
          <cell r="T93">
            <v>139</v>
          </cell>
          <cell r="U93" t="e">
            <v>#REF!</v>
          </cell>
          <cell r="V93">
            <v>0</v>
          </cell>
          <cell r="W93" t="e">
            <v>#REF!</v>
          </cell>
          <cell r="X93">
            <v>0</v>
          </cell>
          <cell r="Y93">
            <v>0</v>
          </cell>
          <cell r="Z93">
            <v>0</v>
          </cell>
          <cell r="AA93">
            <v>0</v>
          </cell>
        </row>
        <row r="94">
          <cell r="C94" t="e">
            <v>#REF!</v>
          </cell>
          <cell r="I94" t="e">
            <v>#REF!</v>
          </cell>
          <cell r="J94" t="e">
            <v>#REF!</v>
          </cell>
          <cell r="M94" t="e">
            <v>#REF!</v>
          </cell>
          <cell r="P94" t="e">
            <v>#REF!</v>
          </cell>
          <cell r="S94" t="e">
            <v>#REF!</v>
          </cell>
          <cell r="T94">
            <v>75</v>
          </cell>
          <cell r="U94" t="e">
            <v>#REF!</v>
          </cell>
          <cell r="V94">
            <v>-129</v>
          </cell>
          <cell r="W94" t="e">
            <v>#REF!</v>
          </cell>
          <cell r="X94">
            <v>-129.33333333333334</v>
          </cell>
          <cell r="Y94">
            <v>-96</v>
          </cell>
          <cell r="Z94">
            <v>-33.333333333333343</v>
          </cell>
          <cell r="AA94">
            <v>0</v>
          </cell>
        </row>
        <row r="95">
          <cell r="C95" t="e">
            <v>#REF!</v>
          </cell>
          <cell r="I95" t="e">
            <v>#REF!</v>
          </cell>
          <cell r="J95" t="e">
            <v>#REF!</v>
          </cell>
          <cell r="M95" t="e">
            <v>#REF!</v>
          </cell>
          <cell r="P95" t="e">
            <v>#REF!</v>
          </cell>
          <cell r="S95" t="e">
            <v>#REF!</v>
          </cell>
          <cell r="T95">
            <v>54</v>
          </cell>
          <cell r="U95" t="e">
            <v>#REF!</v>
          </cell>
          <cell r="W95" t="e">
            <v>#REF!</v>
          </cell>
        </row>
        <row r="96">
          <cell r="C96" t="e">
            <v>#REF!</v>
          </cell>
          <cell r="I96" t="e">
            <v>#REF!</v>
          </cell>
          <cell r="J96" t="e">
            <v>#REF!</v>
          </cell>
          <cell r="M96" t="e">
            <v>#REF!</v>
          </cell>
          <cell r="P96" t="e">
            <v>#REF!</v>
          </cell>
          <cell r="S96" t="e">
            <v>#REF!</v>
          </cell>
          <cell r="U96" t="e">
            <v>#REF!</v>
          </cell>
          <cell r="W96" t="e">
            <v>#REF!</v>
          </cell>
        </row>
        <row r="97">
          <cell r="C97" t="e">
            <v>#REF!</v>
          </cell>
          <cell r="I97" t="e">
            <v>#REF!</v>
          </cell>
          <cell r="J97" t="e">
            <v>#REF!</v>
          </cell>
          <cell r="M97" t="e">
            <v>#REF!</v>
          </cell>
          <cell r="P97" t="e">
            <v>#REF!</v>
          </cell>
          <cell r="Q97">
            <v>0</v>
          </cell>
          <cell r="R97">
            <v>0</v>
          </cell>
          <cell r="S97" t="e">
            <v>#REF!</v>
          </cell>
          <cell r="T97">
            <v>3616.0618606060607</v>
          </cell>
          <cell r="U97" t="e">
            <v>#REF!</v>
          </cell>
          <cell r="V97">
            <v>0</v>
          </cell>
          <cell r="W97" t="e">
            <v>#REF!</v>
          </cell>
          <cell r="X97">
            <v>14977.853030303029</v>
          </cell>
          <cell r="Y97">
            <v>11068</v>
          </cell>
          <cell r="Z97">
            <v>3909.8530303030298</v>
          </cell>
          <cell r="AA97">
            <v>0</v>
          </cell>
        </row>
        <row r="98">
          <cell r="C98" t="e">
            <v>#REF!</v>
          </cell>
          <cell r="I98" t="e">
            <v>#REF!</v>
          </cell>
          <cell r="J98" t="e">
            <v>#REF!</v>
          </cell>
          <cell r="M98" t="e">
            <v>#REF!</v>
          </cell>
          <cell r="P98" t="e">
            <v>#REF!</v>
          </cell>
          <cell r="Q98">
            <v>0</v>
          </cell>
          <cell r="R98">
            <v>0</v>
          </cell>
          <cell r="S98" t="e">
            <v>#REF!</v>
          </cell>
          <cell r="T98">
            <v>2783.7147999999997</v>
          </cell>
          <cell r="U98" t="e">
            <v>#REF!</v>
          </cell>
          <cell r="V98">
            <v>3047.1318181818187</v>
          </cell>
          <cell r="W98" t="e">
            <v>#REF!</v>
          </cell>
          <cell r="X98">
            <v>576.13181818181829</v>
          </cell>
          <cell r="Y98">
            <v>0</v>
          </cell>
          <cell r="Z98">
            <v>0</v>
          </cell>
          <cell r="AA98">
            <v>2982.5690909090908</v>
          </cell>
        </row>
        <row r="99">
          <cell r="C99" t="e">
            <v>#REF!</v>
          </cell>
          <cell r="I99" t="e">
            <v>#REF!</v>
          </cell>
          <cell r="J99" t="e">
            <v>#REF!</v>
          </cell>
          <cell r="M99" t="e">
            <v>#REF!</v>
          </cell>
          <cell r="P99" t="e">
            <v>#REF!</v>
          </cell>
          <cell r="Q99">
            <v>0</v>
          </cell>
          <cell r="R99">
            <v>0</v>
          </cell>
          <cell r="S99" t="e">
            <v>#REF!</v>
          </cell>
          <cell r="T99">
            <v>2384.0618606060607</v>
          </cell>
          <cell r="U99" t="e">
            <v>#REF!</v>
          </cell>
          <cell r="V99">
            <v>0</v>
          </cell>
          <cell r="W99">
            <v>0</v>
          </cell>
          <cell r="X99">
            <v>2407.8530303030293</v>
          </cell>
          <cell r="Y99">
            <v>1779</v>
          </cell>
          <cell r="Z99">
            <v>628.85303030302975</v>
          </cell>
          <cell r="AA99">
            <v>0</v>
          </cell>
        </row>
        <row r="100">
          <cell r="C100" t="e">
            <v>#REF!</v>
          </cell>
          <cell r="I100" t="e">
            <v>#REF!</v>
          </cell>
          <cell r="J100" t="e">
            <v>#REF!</v>
          </cell>
          <cell r="M100" t="e">
            <v>#REF!</v>
          </cell>
          <cell r="P100" t="e">
            <v>#REF!</v>
          </cell>
          <cell r="S100" t="e">
            <v>#REF!</v>
          </cell>
          <cell r="U100" t="e">
            <v>#REF!</v>
          </cell>
          <cell r="V100">
            <v>80</v>
          </cell>
          <cell r="W100" t="e">
            <v>#REF!</v>
          </cell>
          <cell r="X100">
            <v>85</v>
          </cell>
          <cell r="AA100">
            <v>300</v>
          </cell>
        </row>
        <row r="101">
          <cell r="C101" t="e">
            <v>#REF!</v>
          </cell>
          <cell r="I101" t="e">
            <v>#REF!</v>
          </cell>
          <cell r="J101" t="e">
            <v>#REF!</v>
          </cell>
          <cell r="M101" t="e">
            <v>#REF!</v>
          </cell>
          <cell r="P101" t="e">
            <v>#REF!</v>
          </cell>
          <cell r="S101" t="e">
            <v>#REF!</v>
          </cell>
          <cell r="U101">
            <v>0</v>
          </cell>
          <cell r="V101">
            <v>0</v>
          </cell>
          <cell r="W101">
            <v>0</v>
          </cell>
          <cell r="X101">
            <v>100</v>
          </cell>
          <cell r="AA101">
            <v>300</v>
          </cell>
        </row>
        <row r="102">
          <cell r="C102" t="e">
            <v>#REF!</v>
          </cell>
          <cell r="I102" t="e">
            <v>#REF!</v>
          </cell>
          <cell r="J102" t="e">
            <v>#REF!</v>
          </cell>
          <cell r="M102" t="e">
            <v>#REF!</v>
          </cell>
          <cell r="P102" t="e">
            <v>#REF!</v>
          </cell>
          <cell r="S102" t="e">
            <v>#REF!</v>
          </cell>
          <cell r="U102" t="e">
            <v>#REF!</v>
          </cell>
          <cell r="V102">
            <v>0</v>
          </cell>
          <cell r="W102" t="e">
            <v>#REF!</v>
          </cell>
          <cell r="X102">
            <v>100</v>
          </cell>
          <cell r="AA102">
            <v>0</v>
          </cell>
        </row>
        <row r="103">
          <cell r="C103" t="e">
            <v>#REF!</v>
          </cell>
          <cell r="I103" t="e">
            <v>#REF!</v>
          </cell>
          <cell r="J103" t="e">
            <v>#REF!</v>
          </cell>
          <cell r="M103" t="e">
            <v>#REF!</v>
          </cell>
          <cell r="P103" t="e">
            <v>#REF!</v>
          </cell>
          <cell r="S103" t="e">
            <v>#REF!</v>
          </cell>
          <cell r="T103">
            <v>10</v>
          </cell>
          <cell r="U103" t="e">
            <v>#REF!</v>
          </cell>
          <cell r="W103" t="e">
            <v>#REF!</v>
          </cell>
          <cell r="X103">
            <v>0</v>
          </cell>
        </row>
        <row r="104">
          <cell r="C104" t="e">
            <v>#REF!</v>
          </cell>
          <cell r="I104" t="e">
            <v>#REF!</v>
          </cell>
          <cell r="J104" t="e">
            <v>#REF!</v>
          </cell>
          <cell r="M104" t="e">
            <v>#REF!</v>
          </cell>
          <cell r="P104" t="e">
            <v>#REF!</v>
          </cell>
          <cell r="S104" t="e">
            <v>#REF!</v>
          </cell>
          <cell r="T104">
            <v>10</v>
          </cell>
          <cell r="U104" t="e">
            <v>#REF!</v>
          </cell>
          <cell r="W104" t="e">
            <v>#REF!</v>
          </cell>
        </row>
        <row r="105">
          <cell r="C105" t="e">
            <v>#REF!</v>
          </cell>
          <cell r="I105" t="e">
            <v>#REF!</v>
          </cell>
          <cell r="J105" t="e">
            <v>#REF!</v>
          </cell>
          <cell r="M105" t="e">
            <v>#REF!</v>
          </cell>
          <cell r="P105" t="e">
            <v>#REF!</v>
          </cell>
          <cell r="S105" t="e">
            <v>#REF!</v>
          </cell>
          <cell r="V105">
            <v>0</v>
          </cell>
          <cell r="W105" t="e">
            <v>#REF!</v>
          </cell>
        </row>
        <row r="106">
          <cell r="C106">
            <v>9142</v>
          </cell>
          <cell r="I106" t="e">
            <v>#REF!</v>
          </cell>
          <cell r="J106" t="e">
            <v>#REF!</v>
          </cell>
          <cell r="M106" t="e">
            <v>#REF!</v>
          </cell>
          <cell r="P106" t="e">
            <v>#REF!</v>
          </cell>
          <cell r="S106">
            <v>0</v>
          </cell>
          <cell r="T106">
            <v>55</v>
          </cell>
          <cell r="U106">
            <v>9142</v>
          </cell>
          <cell r="V106" t="e">
            <v>#REF!</v>
          </cell>
          <cell r="W106" t="e">
            <v>#REF!</v>
          </cell>
          <cell r="X106">
            <v>0</v>
          </cell>
          <cell r="Y106">
            <v>0</v>
          </cell>
        </row>
        <row r="107">
          <cell r="C107">
            <v>0</v>
          </cell>
          <cell r="I107" t="e">
            <v>#REF!</v>
          </cell>
          <cell r="J107" t="e">
            <v>#REF!</v>
          </cell>
          <cell r="M107" t="e">
            <v>#REF!</v>
          </cell>
          <cell r="P107" t="e">
            <v>#REF!</v>
          </cell>
          <cell r="T107">
            <v>55</v>
          </cell>
          <cell r="U107">
            <v>0</v>
          </cell>
          <cell r="W107" t="e">
            <v>#REF!</v>
          </cell>
        </row>
        <row r="108">
          <cell r="C108" t="e">
            <v>#REF!</v>
          </cell>
          <cell r="D108">
            <v>0</v>
          </cell>
          <cell r="E108">
            <v>0</v>
          </cell>
          <cell r="I108" t="e">
            <v>#REF!</v>
          </cell>
          <cell r="J108" t="e">
            <v>#REF!</v>
          </cell>
          <cell r="M108" t="e">
            <v>#REF!</v>
          </cell>
          <cell r="N108">
            <v>0</v>
          </cell>
          <cell r="O108">
            <v>0</v>
          </cell>
          <cell r="P108" t="e">
            <v>#REF!</v>
          </cell>
          <cell r="Q108">
            <v>0</v>
          </cell>
          <cell r="R108">
            <v>0</v>
          </cell>
          <cell r="S108" t="e">
            <v>#REF!</v>
          </cell>
          <cell r="T108">
            <v>0</v>
          </cell>
          <cell r="U108" t="e">
            <v>#REF!</v>
          </cell>
          <cell r="V108" t="e">
            <v>#REF!</v>
          </cell>
          <cell r="W108">
            <v>0</v>
          </cell>
          <cell r="X108">
            <v>0</v>
          </cell>
          <cell r="Y108">
            <v>0</v>
          </cell>
          <cell r="Z108">
            <v>0</v>
          </cell>
          <cell r="AA108">
            <v>0</v>
          </cell>
        </row>
        <row r="109">
          <cell r="C109" t="e">
            <v>#REF!</v>
          </cell>
          <cell r="D109">
            <v>0</v>
          </cell>
          <cell r="E109">
            <v>0</v>
          </cell>
          <cell r="I109" t="e">
            <v>#REF!</v>
          </cell>
          <cell r="J109" t="e">
            <v>#REF!</v>
          </cell>
          <cell r="M109" t="e">
            <v>#REF!</v>
          </cell>
          <cell r="N109">
            <v>0</v>
          </cell>
          <cell r="O109">
            <v>0</v>
          </cell>
          <cell r="P109" t="e">
            <v>#REF!</v>
          </cell>
          <cell r="S109" t="e">
            <v>#REF!</v>
          </cell>
          <cell r="T109">
            <v>0</v>
          </cell>
          <cell r="U109" t="e">
            <v>#REF!</v>
          </cell>
          <cell r="V109">
            <v>0</v>
          </cell>
          <cell r="W109" t="e">
            <v>#REF!</v>
          </cell>
          <cell r="AA109">
            <v>0</v>
          </cell>
        </row>
        <row r="110">
          <cell r="C110" t="e">
            <v>#REF!</v>
          </cell>
          <cell r="I110" t="e">
            <v>#REF!</v>
          </cell>
          <cell r="J110" t="e">
            <v>#REF!</v>
          </cell>
          <cell r="M110" t="e">
            <v>#REF!</v>
          </cell>
          <cell r="P110" t="e">
            <v>#REF!</v>
          </cell>
          <cell r="S110">
            <v>708.125</v>
          </cell>
          <cell r="U110" t="e">
            <v>#REF!</v>
          </cell>
          <cell r="W110" t="e">
            <v>#REF!</v>
          </cell>
          <cell r="X110">
            <v>0</v>
          </cell>
          <cell r="AA110">
            <v>0</v>
          </cell>
        </row>
        <row r="111">
          <cell r="C111" t="e">
            <v>#REF!</v>
          </cell>
          <cell r="I111" t="e">
            <v>#REF!</v>
          </cell>
          <cell r="J111" t="e">
            <v>#REF!</v>
          </cell>
          <cell r="M111" t="e">
            <v>#REF!</v>
          </cell>
          <cell r="P111" t="e">
            <v>#REF!</v>
          </cell>
          <cell r="S111">
            <v>897</v>
          </cell>
          <cell r="U111" t="e">
            <v>#REF!</v>
          </cell>
          <cell r="W111" t="e">
            <v>#REF!</v>
          </cell>
          <cell r="AA111">
            <v>0</v>
          </cell>
        </row>
        <row r="112">
          <cell r="C112" t="e">
            <v>#REF!</v>
          </cell>
          <cell r="P112">
            <v>0</v>
          </cell>
          <cell r="S112">
            <v>0</v>
          </cell>
          <cell r="U112" t="e">
            <v>#REF!</v>
          </cell>
          <cell r="V112" t="e">
            <v>#REF!</v>
          </cell>
          <cell r="W112" t="e">
            <v>#REF!</v>
          </cell>
          <cell r="AA112">
            <v>0</v>
          </cell>
        </row>
        <row r="113">
          <cell r="C113">
            <v>-12710</v>
          </cell>
          <cell r="P113">
            <v>0</v>
          </cell>
          <cell r="S113">
            <v>0</v>
          </cell>
          <cell r="V113">
            <v>0</v>
          </cell>
          <cell r="W113">
            <v>-12710</v>
          </cell>
          <cell r="X113" t="e">
            <v>#REF!</v>
          </cell>
          <cell r="AA113">
            <v>0</v>
          </cell>
        </row>
        <row r="114">
          <cell r="C114">
            <v>0</v>
          </cell>
          <cell r="P114">
            <v>0</v>
          </cell>
          <cell r="S114">
            <v>0</v>
          </cell>
          <cell r="U114">
            <v>0</v>
          </cell>
          <cell r="W114" t="e">
            <v>#REF!</v>
          </cell>
          <cell r="X114">
            <v>0</v>
          </cell>
          <cell r="AA114">
            <v>0</v>
          </cell>
        </row>
        <row r="115">
          <cell r="C115" t="e">
            <v>#REF!</v>
          </cell>
          <cell r="D115">
            <v>0</v>
          </cell>
          <cell r="E115">
            <v>0</v>
          </cell>
          <cell r="I115" t="e">
            <v>#REF!</v>
          </cell>
          <cell r="J115" t="e">
            <v>#REF!</v>
          </cell>
          <cell r="M115" t="e">
            <v>#REF!</v>
          </cell>
          <cell r="N115">
            <v>0</v>
          </cell>
          <cell r="O115">
            <v>0</v>
          </cell>
          <cell r="P115" t="e">
            <v>#REF!</v>
          </cell>
          <cell r="Q115">
            <v>0</v>
          </cell>
          <cell r="R115">
            <v>0</v>
          </cell>
          <cell r="S115" t="e">
            <v>#REF!</v>
          </cell>
          <cell r="T115">
            <v>65</v>
          </cell>
          <cell r="V115">
            <v>0</v>
          </cell>
          <cell r="W115" t="e">
            <v>#REF!</v>
          </cell>
          <cell r="Z115">
            <v>0</v>
          </cell>
          <cell r="AA115">
            <v>0</v>
          </cell>
        </row>
        <row r="116">
          <cell r="C116" t="e">
            <v>#REF!</v>
          </cell>
          <cell r="D116">
            <v>0</v>
          </cell>
          <cell r="E116">
            <v>0</v>
          </cell>
          <cell r="I116" t="e">
            <v>#REF!</v>
          </cell>
          <cell r="J116" t="e">
            <v>#REF!</v>
          </cell>
          <cell r="M116" t="e">
            <v>#REF!</v>
          </cell>
          <cell r="N116">
            <v>0</v>
          </cell>
          <cell r="O116">
            <v>0</v>
          </cell>
          <cell r="P116" t="e">
            <v>#REF!</v>
          </cell>
          <cell r="S116" t="e">
            <v>#REF!</v>
          </cell>
          <cell r="T116">
            <v>65</v>
          </cell>
          <cell r="W116" t="e">
            <v>#REF!</v>
          </cell>
          <cell r="X116">
            <v>0</v>
          </cell>
          <cell r="AA116">
            <v>0</v>
          </cell>
        </row>
        <row r="117">
          <cell r="P117">
            <v>0</v>
          </cell>
          <cell r="S117">
            <v>0</v>
          </cell>
          <cell r="U117" t="e">
            <v>#REF!</v>
          </cell>
          <cell r="W117" t="e">
            <v>#REF!</v>
          </cell>
          <cell r="X117">
            <v>0</v>
          </cell>
          <cell r="Z117">
            <v>0</v>
          </cell>
        </row>
        <row r="118">
          <cell r="P118">
            <v>0</v>
          </cell>
          <cell r="S118">
            <v>0</v>
          </cell>
          <cell r="U118" t="e">
            <v>#REF!</v>
          </cell>
          <cell r="W118" t="e">
            <v>#REF!</v>
          </cell>
          <cell r="X118">
            <v>0</v>
          </cell>
          <cell r="AA118">
            <v>0</v>
          </cell>
        </row>
        <row r="119">
          <cell r="P119">
            <v>0</v>
          </cell>
          <cell r="S119">
            <v>0</v>
          </cell>
          <cell r="U119" t="e">
            <v>#REF!</v>
          </cell>
          <cell r="W119" t="e">
            <v>#REF!</v>
          </cell>
          <cell r="X119" t="e">
            <v>#DIV/0!</v>
          </cell>
          <cell r="Y119" t="e">
            <v>#REF!</v>
          </cell>
          <cell r="AA119">
            <v>0</v>
          </cell>
        </row>
        <row r="120">
          <cell r="P120">
            <v>0</v>
          </cell>
          <cell r="S120">
            <v>0</v>
          </cell>
          <cell r="U120" t="e">
            <v>#REF!</v>
          </cell>
          <cell r="X120" t="e">
            <v>#REF!</v>
          </cell>
          <cell r="AA120">
            <v>0</v>
          </cell>
        </row>
        <row r="121">
          <cell r="P121">
            <v>0</v>
          </cell>
          <cell r="S121">
            <v>0</v>
          </cell>
          <cell r="U121">
            <v>0</v>
          </cell>
          <cell r="V121">
            <v>0</v>
          </cell>
          <cell r="W121">
            <v>0</v>
          </cell>
          <cell r="X121">
            <v>0</v>
          </cell>
          <cell r="Z121">
            <v>0</v>
          </cell>
          <cell r="AA121">
            <v>0</v>
          </cell>
        </row>
        <row r="122">
          <cell r="P122">
            <v>0</v>
          </cell>
          <cell r="S122">
            <v>0</v>
          </cell>
          <cell r="X122">
            <v>0</v>
          </cell>
        </row>
        <row r="123">
          <cell r="S123">
            <v>0</v>
          </cell>
          <cell r="U123">
            <v>7.59</v>
          </cell>
          <cell r="V123">
            <v>0</v>
          </cell>
          <cell r="X123" t="e">
            <v>#DIV/0!</v>
          </cell>
        </row>
        <row r="124">
          <cell r="S124">
            <v>0</v>
          </cell>
          <cell r="U124">
            <v>0</v>
          </cell>
          <cell r="W124">
            <v>24998</v>
          </cell>
          <cell r="X124">
            <v>0</v>
          </cell>
          <cell r="Y124">
            <v>24998</v>
          </cell>
          <cell r="Z124">
            <v>0</v>
          </cell>
        </row>
        <row r="125">
          <cell r="T125">
            <v>0</v>
          </cell>
          <cell r="U125" t="e">
            <v>#REF!</v>
          </cell>
          <cell r="W125" t="e">
            <v>#REF!</v>
          </cell>
          <cell r="X125" t="e">
            <v>#VALUE!</v>
          </cell>
          <cell r="Z125">
            <v>0</v>
          </cell>
        </row>
        <row r="126">
          <cell r="U126">
            <v>25363</v>
          </cell>
          <cell r="V126">
            <v>25363</v>
          </cell>
          <cell r="W126">
            <v>30.79</v>
          </cell>
          <cell r="Z126" t="e">
            <v>#DIV/0!</v>
          </cell>
        </row>
        <row r="127">
          <cell r="W127" t="e">
            <v>#REF!</v>
          </cell>
          <cell r="Z127" t="e">
            <v>#REF!</v>
          </cell>
        </row>
        <row r="128">
          <cell r="P128">
            <v>366</v>
          </cell>
          <cell r="Q128">
            <v>0</v>
          </cell>
          <cell r="R128">
            <v>0</v>
          </cell>
          <cell r="S128">
            <v>2158</v>
          </cell>
          <cell r="T128">
            <v>300</v>
          </cell>
          <cell r="U128">
            <v>300</v>
          </cell>
          <cell r="V128">
            <v>0</v>
          </cell>
          <cell r="W128">
            <v>0</v>
          </cell>
          <cell r="X128">
            <v>0</v>
          </cell>
          <cell r="Y128">
            <v>0</v>
          </cell>
          <cell r="Z128">
            <v>0</v>
          </cell>
          <cell r="AA128">
            <v>0</v>
          </cell>
        </row>
        <row r="129">
          <cell r="J129">
            <v>0</v>
          </cell>
          <cell r="P129">
            <v>732</v>
          </cell>
          <cell r="S129">
            <v>4316</v>
          </cell>
          <cell r="U129">
            <v>0</v>
          </cell>
          <cell r="V129">
            <v>0</v>
          </cell>
          <cell r="W129">
            <v>0</v>
          </cell>
          <cell r="X129">
            <v>0</v>
          </cell>
          <cell r="AA129">
            <v>0</v>
          </cell>
        </row>
        <row r="130">
          <cell r="W130">
            <v>11.87</v>
          </cell>
          <cell r="Z130" t="e">
            <v>#DIV/0!</v>
          </cell>
        </row>
        <row r="131">
          <cell r="P131">
            <v>1223</v>
          </cell>
          <cell r="Q131">
            <v>0</v>
          </cell>
          <cell r="R131">
            <v>0</v>
          </cell>
          <cell r="S131">
            <v>0</v>
          </cell>
          <cell r="T131">
            <v>0</v>
          </cell>
          <cell r="U131" t="e">
            <v>#REF!</v>
          </cell>
          <cell r="V131">
            <v>25363</v>
          </cell>
          <cell r="W131" t="e">
            <v>#REF!</v>
          </cell>
          <cell r="X131">
            <v>0</v>
          </cell>
          <cell r="Y131">
            <v>0</v>
          </cell>
          <cell r="Z131">
            <v>0</v>
          </cell>
          <cell r="AA131">
            <v>0</v>
          </cell>
        </row>
        <row r="132">
          <cell r="P132">
            <v>2446</v>
          </cell>
          <cell r="S132">
            <v>0</v>
          </cell>
          <cell r="T132">
            <v>0</v>
          </cell>
          <cell r="U132">
            <v>187.5</v>
          </cell>
          <cell r="V132">
            <v>187.5</v>
          </cell>
          <cell r="W132" t="e">
            <v>#REF!</v>
          </cell>
          <cell r="X132">
            <v>0</v>
          </cell>
          <cell r="Y132">
            <v>0</v>
          </cell>
          <cell r="Z132" t="e">
            <v>#REF!</v>
          </cell>
        </row>
        <row r="133">
          <cell r="U133" t="e">
            <v>#REF!</v>
          </cell>
          <cell r="V133">
            <v>25550.5</v>
          </cell>
          <cell r="W133" t="e">
            <v>#REF!</v>
          </cell>
          <cell r="X133">
            <v>57083</v>
          </cell>
        </row>
        <row r="134">
          <cell r="X134" t="e">
            <v>#REF!</v>
          </cell>
          <cell r="Y134" t="e">
            <v>#VALUE!</v>
          </cell>
          <cell r="Z134" t="e">
            <v>#REF!</v>
          </cell>
          <cell r="AA134" t="e">
            <v>#REF!</v>
          </cell>
        </row>
        <row r="135">
          <cell r="T135">
            <v>300</v>
          </cell>
          <cell r="U135" t="e">
            <v>#REF!</v>
          </cell>
          <cell r="V135" t="e">
            <v>#REF!</v>
          </cell>
          <cell r="W135" t="e">
            <v>#REF!</v>
          </cell>
        </row>
        <row r="136">
          <cell r="J136">
            <v>1</v>
          </cell>
          <cell r="W136">
            <v>1</v>
          </cell>
        </row>
        <row r="137">
          <cell r="C137">
            <v>0</v>
          </cell>
          <cell r="I137">
            <v>0</v>
          </cell>
          <cell r="J137">
            <v>0</v>
          </cell>
          <cell r="M137">
            <v>0</v>
          </cell>
          <cell r="P137">
            <v>0</v>
          </cell>
          <cell r="S137">
            <v>0</v>
          </cell>
          <cell r="T137">
            <v>142</v>
          </cell>
          <cell r="U137">
            <v>0</v>
          </cell>
        </row>
        <row r="138">
          <cell r="C138" t="e">
            <v>#REF!</v>
          </cell>
          <cell r="I138" t="e">
            <v>#REF!</v>
          </cell>
          <cell r="J138" t="e">
            <v>#REF!</v>
          </cell>
          <cell r="M138" t="e">
            <v>#REF!</v>
          </cell>
          <cell r="P138" t="e">
            <v>#REF!</v>
          </cell>
          <cell r="T138">
            <v>0</v>
          </cell>
          <cell r="U138" t="e">
            <v>#REF!</v>
          </cell>
          <cell r="W138">
            <v>82081</v>
          </cell>
          <cell r="X138">
            <v>57083</v>
          </cell>
          <cell r="Y138">
            <v>24998</v>
          </cell>
          <cell r="Z138">
            <v>0</v>
          </cell>
        </row>
        <row r="139">
          <cell r="C139">
            <v>40</v>
          </cell>
          <cell r="W139">
            <v>0</v>
          </cell>
          <cell r="X139">
            <v>0</v>
          </cell>
        </row>
        <row r="140">
          <cell r="W140">
            <v>82081</v>
          </cell>
          <cell r="X140">
            <v>57083</v>
          </cell>
          <cell r="Y140">
            <v>24998</v>
          </cell>
        </row>
        <row r="141">
          <cell r="Z141" t="e">
            <v>#REF!</v>
          </cell>
          <cell r="AA141" t="e">
            <v>#REF!</v>
          </cell>
        </row>
        <row r="142">
          <cell r="W142" t="e">
            <v>#REF!</v>
          </cell>
          <cell r="X142" t="e">
            <v>#REF!</v>
          </cell>
          <cell r="Y142" t="e">
            <v>#REF!</v>
          </cell>
        </row>
        <row r="143">
          <cell r="C143">
            <v>17.179166666666667</v>
          </cell>
        </row>
        <row r="144">
          <cell r="C144">
            <v>0</v>
          </cell>
          <cell r="I144">
            <v>0</v>
          </cell>
          <cell r="J144">
            <v>0</v>
          </cell>
          <cell r="M144">
            <v>0</v>
          </cell>
          <cell r="N144" t="str">
            <v xml:space="preserve">                   КОРИГУВАННЯ   ПЛАНУ   НА   СЕРПЕНЬ  1998 р</v>
          </cell>
          <cell r="P144">
            <v>0</v>
          </cell>
          <cell r="S144">
            <v>0</v>
          </cell>
          <cell r="W144">
            <v>0</v>
          </cell>
        </row>
        <row r="145">
          <cell r="C145" t="e">
            <v>#REF!</v>
          </cell>
          <cell r="I145">
            <v>604</v>
          </cell>
          <cell r="J145">
            <v>1770.6000000000001</v>
          </cell>
          <cell r="M145">
            <v>753.30000000000007</v>
          </cell>
          <cell r="P145">
            <v>322</v>
          </cell>
          <cell r="T145">
            <v>312</v>
          </cell>
          <cell r="W145">
            <v>3847.9000000000005</v>
          </cell>
        </row>
        <row r="146">
          <cell r="C146">
            <v>72</v>
          </cell>
          <cell r="I146">
            <v>370</v>
          </cell>
          <cell r="J146">
            <v>1217.0999999999999</v>
          </cell>
          <cell r="M146">
            <v>548.70000000000005</v>
          </cell>
          <cell r="P146">
            <v>180</v>
          </cell>
          <cell r="T146">
            <v>194</v>
          </cell>
          <cell r="W146">
            <v>2595.8000000000002</v>
          </cell>
        </row>
        <row r="147">
          <cell r="W147">
            <v>0</v>
          </cell>
        </row>
        <row r="148">
          <cell r="I148">
            <v>0</v>
          </cell>
          <cell r="W148">
            <v>0</v>
          </cell>
        </row>
        <row r="149">
          <cell r="I149" t="e">
            <v>#REF!</v>
          </cell>
          <cell r="J149" t="e">
            <v>#REF!</v>
          </cell>
          <cell r="M149" t="e">
            <v>#REF!</v>
          </cell>
          <cell r="P149" t="e">
            <v>#REF!</v>
          </cell>
          <cell r="W149" t="e">
            <v>#REF!</v>
          </cell>
        </row>
        <row r="150">
          <cell r="C150" t="e">
            <v>#REF!</v>
          </cell>
          <cell r="I150" t="e">
            <v>#REF!</v>
          </cell>
          <cell r="J150" t="e">
            <v>#REF!</v>
          </cell>
          <cell r="K150">
            <v>0</v>
          </cell>
          <cell r="L150">
            <v>0</v>
          </cell>
          <cell r="M150" t="e">
            <v>#REF!</v>
          </cell>
          <cell r="N150" t="e">
            <v>#REF!</v>
          </cell>
          <cell r="O150">
            <v>0</v>
          </cell>
          <cell r="P150" t="e">
            <v>#REF!</v>
          </cell>
          <cell r="S150" t="e">
            <v>#REF!</v>
          </cell>
          <cell r="T150">
            <v>630</v>
          </cell>
          <cell r="U150" t="e">
            <v>#REF!</v>
          </cell>
          <cell r="W150">
            <v>1774.0124999999998</v>
          </cell>
        </row>
        <row r="151">
          <cell r="C151" t="e">
            <v>#REF!</v>
          </cell>
          <cell r="I151" t="e">
            <v>#REF!</v>
          </cell>
          <cell r="J151">
            <v>0</v>
          </cell>
          <cell r="M151">
            <v>0</v>
          </cell>
          <cell r="W151">
            <v>0</v>
          </cell>
        </row>
        <row r="152">
          <cell r="C152">
            <v>57</v>
          </cell>
          <cell r="I152" t="e">
            <v>#REF!</v>
          </cell>
          <cell r="J152" t="e">
            <v>#REF!</v>
          </cell>
          <cell r="M152" t="e">
            <v>#REF!</v>
          </cell>
          <cell r="P152" t="e">
            <v>#REF!</v>
          </cell>
          <cell r="W152" t="e">
            <v>#REF!</v>
          </cell>
        </row>
        <row r="153">
          <cell r="C153">
            <v>0</v>
          </cell>
          <cell r="I153" t="e">
            <v>#REF!</v>
          </cell>
          <cell r="J153" t="e">
            <v>#REF!</v>
          </cell>
          <cell r="M153" t="e">
            <v>#REF!</v>
          </cell>
          <cell r="P153" t="e">
            <v>#REF!</v>
          </cell>
          <cell r="S153">
            <v>0</v>
          </cell>
          <cell r="W153" t="e">
            <v>#REF!</v>
          </cell>
        </row>
        <row r="154">
          <cell r="C154">
            <v>80</v>
          </cell>
          <cell r="I154">
            <v>0</v>
          </cell>
          <cell r="J154" t="e">
            <v>#REF!</v>
          </cell>
          <cell r="M154" t="e">
            <v>#REF!</v>
          </cell>
          <cell r="P154" t="e">
            <v>#REF!</v>
          </cell>
          <cell r="W154" t="e">
            <v>#REF!</v>
          </cell>
          <cell r="Y154">
            <v>1507.2</v>
          </cell>
        </row>
        <row r="155">
          <cell r="I155">
            <v>-195.33333333333334</v>
          </cell>
          <cell r="J155">
            <v>-166</v>
          </cell>
          <cell r="M155">
            <v>-272</v>
          </cell>
          <cell r="O155">
            <v>250</v>
          </cell>
          <cell r="P155">
            <v>-165.33333333333334</v>
          </cell>
          <cell r="W155">
            <v>-798.66666666666674</v>
          </cell>
          <cell r="X155" t="str">
            <v>ОЧИК.18.02.</v>
          </cell>
        </row>
        <row r="156">
          <cell r="I156">
            <v>0</v>
          </cell>
          <cell r="W156">
            <v>0</v>
          </cell>
        </row>
        <row r="157">
          <cell r="C157" t="str">
            <v>АПАРАТ ВСЬОГО</v>
          </cell>
          <cell r="D157" t="str">
            <v>АПАРАТ ЕЛЕКТРО</v>
          </cell>
          <cell r="E157" t="str">
            <v>АПАРАТ ТЕПЛО</v>
          </cell>
          <cell r="I157" t="str">
            <v>ККМ</v>
          </cell>
          <cell r="J157" t="str">
            <v>КТМ</v>
          </cell>
          <cell r="K157">
            <v>0</v>
          </cell>
          <cell r="L157">
            <v>0</v>
          </cell>
          <cell r="M157" t="str">
            <v>ТЕЦ-5 ВСЬОГО</v>
          </cell>
          <cell r="N157">
            <v>0</v>
          </cell>
          <cell r="O157">
            <v>0</v>
          </cell>
          <cell r="P157" t="e">
            <v>#REF!</v>
          </cell>
          <cell r="Q157" t="str">
            <v>Е/Е</v>
          </cell>
          <cell r="R157" t="str">
            <v xml:space="preserve"> Т/Е</v>
          </cell>
          <cell r="S157" t="str">
            <v xml:space="preserve">ДОП.ВИР. </v>
          </cell>
          <cell r="T157" t="str">
            <v>ДОП.ВИР. СТ.ОРГ.</v>
          </cell>
          <cell r="U157" t="str">
            <v>АК КЕ ВСЬОГО</v>
          </cell>
          <cell r="V157" t="str">
            <v>Е/Е</v>
          </cell>
          <cell r="W157" t="str">
            <v xml:space="preserve"> Т/Е</v>
          </cell>
          <cell r="X157" t="str">
            <v>СТАНЦІї ЕЛЕКТРО</v>
          </cell>
          <cell r="Y157" t="str">
            <v>СТАНЦІІ ТЕПЛОВІ</v>
          </cell>
          <cell r="Z157" t="str">
            <v>МЕРЕЖІ ЕЛЕКТРО</v>
          </cell>
          <cell r="AA157" t="str">
            <v>МЕРЕЖІ ТЕПЛОВІ</v>
          </cell>
        </row>
        <row r="158">
          <cell r="C158">
            <v>2.0396999999999998</v>
          </cell>
          <cell r="I158" t="str">
            <v>Ї</v>
          </cell>
          <cell r="X158">
            <v>1.954</v>
          </cell>
          <cell r="Y158">
            <v>1.954</v>
          </cell>
          <cell r="Z158">
            <v>1.954</v>
          </cell>
          <cell r="AA158">
            <v>1.905</v>
          </cell>
        </row>
        <row r="159">
          <cell r="C159">
            <v>57</v>
          </cell>
          <cell r="O159">
            <v>250</v>
          </cell>
        </row>
        <row r="160">
          <cell r="C160">
            <v>0</v>
          </cell>
          <cell r="J160" t="e">
            <v>#REF!</v>
          </cell>
          <cell r="M160" t="e">
            <v>#REF!</v>
          </cell>
          <cell r="N160" t="e">
            <v>#REF!</v>
          </cell>
          <cell r="P160">
            <v>0</v>
          </cell>
          <cell r="S160">
            <v>0</v>
          </cell>
          <cell r="U160" t="e">
            <v>#REF!</v>
          </cell>
          <cell r="V160">
            <v>0</v>
          </cell>
          <cell r="X160">
            <v>221.49122807017542</v>
          </cell>
          <cell r="AA160">
            <v>0</v>
          </cell>
        </row>
        <row r="161">
          <cell r="J161" t="e">
            <v>#REF!</v>
          </cell>
          <cell r="M161" t="e">
            <v>#REF!</v>
          </cell>
          <cell r="N161" t="e">
            <v>#REF!</v>
          </cell>
          <cell r="P161">
            <v>890</v>
          </cell>
          <cell r="S161">
            <v>1440</v>
          </cell>
          <cell r="U161" t="e">
            <v>#REF!</v>
          </cell>
          <cell r="V161">
            <v>1070</v>
          </cell>
          <cell r="X161">
            <v>252.49999999999997</v>
          </cell>
          <cell r="AA161" t="e">
            <v>#REF!</v>
          </cell>
        </row>
        <row r="162">
          <cell r="I162">
            <v>0</v>
          </cell>
          <cell r="J162">
            <v>82.5</v>
          </cell>
          <cell r="M162">
            <v>82.5</v>
          </cell>
          <cell r="N162">
            <v>82.5</v>
          </cell>
          <cell r="P162">
            <v>700</v>
          </cell>
          <cell r="Q162">
            <v>63.33</v>
          </cell>
          <cell r="R162">
            <v>63.33</v>
          </cell>
          <cell r="S162">
            <v>63.33</v>
          </cell>
          <cell r="T162">
            <v>63.33</v>
          </cell>
          <cell r="U162">
            <v>82.5</v>
          </cell>
          <cell r="V162">
            <v>1070</v>
          </cell>
          <cell r="X162">
            <v>66</v>
          </cell>
          <cell r="Z162" t="str">
            <v>ОЧИК.18.02.</v>
          </cell>
          <cell r="AA162">
            <v>1639</v>
          </cell>
        </row>
        <row r="163">
          <cell r="I163">
            <v>0</v>
          </cell>
          <cell r="J163" t="e">
            <v>#REF!</v>
          </cell>
          <cell r="M163" t="e">
            <v>#REF!</v>
          </cell>
          <cell r="N163" t="e">
            <v>#REF!</v>
          </cell>
          <cell r="P163">
            <v>0</v>
          </cell>
          <cell r="S163">
            <v>0</v>
          </cell>
          <cell r="U163" t="e">
            <v>#REF!</v>
          </cell>
          <cell r="V163">
            <v>0</v>
          </cell>
          <cell r="X163">
            <v>128.964</v>
          </cell>
          <cell r="AA163">
            <v>138</v>
          </cell>
        </row>
        <row r="164">
          <cell r="C164" t="str">
            <v>АПАРАТ ВСЬОГО</v>
          </cell>
          <cell r="D164" t="str">
            <v>АПАРАТ ЕЛЕКТРО</v>
          </cell>
          <cell r="E164" t="str">
            <v>АПАРАТ ТЕПЛО</v>
          </cell>
          <cell r="I164" t="str">
            <v>ККМ</v>
          </cell>
          <cell r="J164" t="e">
            <v>#REF!</v>
          </cell>
          <cell r="M164" t="e">
            <v>#REF!</v>
          </cell>
          <cell r="N164" t="e">
            <v>#REF!</v>
          </cell>
          <cell r="O164" t="str">
            <v xml:space="preserve"> Т/Е</v>
          </cell>
          <cell r="P164" t="str">
            <v>ТЕЦ-6 ВСЬОГО</v>
          </cell>
          <cell r="Q164" t="str">
            <v>Е/Е</v>
          </cell>
          <cell r="R164" t="str">
            <v xml:space="preserve"> Т/Е</v>
          </cell>
          <cell r="S164" t="str">
            <v xml:space="preserve">ДОП.ВИР. </v>
          </cell>
          <cell r="T164" t="str">
            <v>ДОП.ВИР. СТ.ОРГ.</v>
          </cell>
          <cell r="U164" t="e">
            <v>#REF!</v>
          </cell>
          <cell r="V164">
            <v>0</v>
          </cell>
          <cell r="W164" t="str">
            <v>АК КЕ ВСЬОГО</v>
          </cell>
          <cell r="X164">
            <v>28564</v>
          </cell>
          <cell r="Y164" t="str">
            <v xml:space="preserve"> Т/Е</v>
          </cell>
          <cell r="Z164" t="str">
            <v>СТАНЦІї ЕЛЕКТРО</v>
          </cell>
          <cell r="AA164" t="str">
            <v>СТАНЦІІ ТЕПЛОВІ</v>
          </cell>
        </row>
        <row r="165">
          <cell r="C165">
            <v>2.78</v>
          </cell>
          <cell r="J165">
            <v>3.5</v>
          </cell>
          <cell r="K165">
            <v>2.78</v>
          </cell>
          <cell r="L165">
            <v>2.78</v>
          </cell>
          <cell r="M165">
            <v>3.5</v>
          </cell>
          <cell r="P165">
            <v>3.5</v>
          </cell>
          <cell r="S165">
            <v>1550.3999999999999</v>
          </cell>
          <cell r="U165" t="e">
            <v>#REF!</v>
          </cell>
          <cell r="W165">
            <v>3.4239999999999999</v>
          </cell>
          <cell r="X165">
            <v>693.59999999999991</v>
          </cell>
          <cell r="Z165">
            <v>2.1804999999999999</v>
          </cell>
          <cell r="AA165">
            <v>2.1804999999999999</v>
          </cell>
        </row>
        <row r="166">
          <cell r="J166" t="e">
            <v>#REF!</v>
          </cell>
          <cell r="M166" t="e">
            <v>#REF!</v>
          </cell>
          <cell r="N166" t="e">
            <v>#REF!</v>
          </cell>
          <cell r="P166">
            <v>119</v>
          </cell>
          <cell r="S166">
            <v>187</v>
          </cell>
          <cell r="U166" t="e">
            <v>#REF!</v>
          </cell>
          <cell r="X166">
            <v>197.2</v>
          </cell>
        </row>
        <row r="167">
          <cell r="J167" t="e">
            <v>#REF!</v>
          </cell>
          <cell r="M167" t="e">
            <v>#REF!</v>
          </cell>
          <cell r="N167" t="e">
            <v>#REF!</v>
          </cell>
          <cell r="P167">
            <v>21.72</v>
          </cell>
          <cell r="S167">
            <v>157</v>
          </cell>
          <cell r="U167" t="e">
            <v>#REF!</v>
          </cell>
          <cell r="V167">
            <v>458.81818181818181</v>
          </cell>
          <cell r="W167">
            <v>57.239999999999995</v>
          </cell>
          <cell r="X167">
            <v>154</v>
          </cell>
          <cell r="Z167">
            <v>221.49122807017542</v>
          </cell>
          <cell r="AA167">
            <v>216.09090909090909</v>
          </cell>
        </row>
        <row r="168">
          <cell r="J168">
            <v>63.33</v>
          </cell>
          <cell r="M168">
            <v>63.33</v>
          </cell>
          <cell r="P168">
            <v>63.33</v>
          </cell>
          <cell r="S168">
            <v>800</v>
          </cell>
          <cell r="U168">
            <v>63.33</v>
          </cell>
          <cell r="V168">
            <v>611.18181818181824</v>
          </cell>
          <cell r="W168">
            <v>65.146999999999991</v>
          </cell>
          <cell r="Z168">
            <v>252.49999999999997</v>
          </cell>
          <cell r="AA168">
            <v>1560.909090909091</v>
          </cell>
        </row>
        <row r="169">
          <cell r="I169">
            <v>0</v>
          </cell>
          <cell r="J169" t="e">
            <v>#REF!</v>
          </cell>
          <cell r="M169" t="e">
            <v>#REF!</v>
          </cell>
          <cell r="P169" t="e">
            <v>#REF!</v>
          </cell>
          <cell r="S169">
            <v>82.5</v>
          </cell>
          <cell r="T169">
            <v>82.5</v>
          </cell>
          <cell r="U169" t="e">
            <v>#REF!</v>
          </cell>
          <cell r="V169">
            <v>1070</v>
          </cell>
          <cell r="W169">
            <v>82.5</v>
          </cell>
          <cell r="Z169">
            <v>66</v>
          </cell>
          <cell r="AA169">
            <v>1777</v>
          </cell>
        </row>
        <row r="170">
          <cell r="I170">
            <v>0</v>
          </cell>
          <cell r="J170" t="e">
            <v>#REF!</v>
          </cell>
          <cell r="M170" t="e">
            <v>#REF!</v>
          </cell>
          <cell r="P170" t="e">
            <v>#REF!</v>
          </cell>
          <cell r="S170">
            <v>580.5454545454545</v>
          </cell>
          <cell r="U170" t="e">
            <v>#REF!</v>
          </cell>
          <cell r="V170">
            <v>0</v>
          </cell>
          <cell r="W170">
            <v>288.75</v>
          </cell>
          <cell r="X170">
            <v>270.36363636363637</v>
          </cell>
          <cell r="Z170">
            <v>143.91299999999998</v>
          </cell>
          <cell r="AA170">
            <v>0</v>
          </cell>
        </row>
        <row r="171">
          <cell r="J171">
            <v>1213</v>
          </cell>
          <cell r="M171">
            <v>9044</v>
          </cell>
          <cell r="P171">
            <v>6272</v>
          </cell>
          <cell r="S171">
            <v>1156.8545454545454</v>
          </cell>
          <cell r="U171" t="e">
            <v>#REF!</v>
          </cell>
          <cell r="V171">
            <v>0</v>
          </cell>
          <cell r="W171">
            <v>16528</v>
          </cell>
          <cell r="X171">
            <v>620.43636363636358</v>
          </cell>
          <cell r="Z171">
            <v>31875</v>
          </cell>
          <cell r="AA171">
            <v>0</v>
          </cell>
        </row>
        <row r="172">
          <cell r="J172" t="e">
            <v>#REF!</v>
          </cell>
          <cell r="M172" t="e">
            <v>#REF!</v>
          </cell>
          <cell r="P172" t="e">
            <v>#REF!</v>
          </cell>
          <cell r="Q172">
            <v>0</v>
          </cell>
          <cell r="R172">
            <v>0</v>
          </cell>
          <cell r="S172">
            <v>1737.3999999999999</v>
          </cell>
          <cell r="T172">
            <v>0</v>
          </cell>
          <cell r="U172" t="e">
            <v>#REF!</v>
          </cell>
          <cell r="V172">
            <v>80</v>
          </cell>
          <cell r="W172">
            <v>16529</v>
          </cell>
          <cell r="X172">
            <v>75.839416058394164</v>
          </cell>
          <cell r="Y172">
            <v>0</v>
          </cell>
          <cell r="Z172">
            <v>0</v>
          </cell>
          <cell r="AA172">
            <v>300</v>
          </cell>
        </row>
        <row r="173">
          <cell r="J173">
            <v>0</v>
          </cell>
          <cell r="M173" t="e">
            <v>#REF!</v>
          </cell>
          <cell r="P173" t="e">
            <v>#REF!</v>
          </cell>
          <cell r="Q173">
            <v>0</v>
          </cell>
          <cell r="R173">
            <v>0</v>
          </cell>
          <cell r="S173">
            <v>0</v>
          </cell>
          <cell r="T173">
            <v>0</v>
          </cell>
          <cell r="U173" t="e">
            <v>#REF!</v>
          </cell>
          <cell r="V173">
            <v>80</v>
          </cell>
          <cell r="W173">
            <v>135.76</v>
          </cell>
          <cell r="X173">
            <v>103.9</v>
          </cell>
          <cell r="Y173">
            <v>0</v>
          </cell>
          <cell r="Z173">
            <v>0</v>
          </cell>
          <cell r="AA173">
            <v>300</v>
          </cell>
        </row>
        <row r="174">
          <cell r="C174">
            <v>75</v>
          </cell>
          <cell r="I174">
            <v>75</v>
          </cell>
          <cell r="J174">
            <v>46.136000000000003</v>
          </cell>
          <cell r="M174">
            <v>55.003999999999998</v>
          </cell>
          <cell r="P174">
            <v>53.512999999999998</v>
          </cell>
          <cell r="R174">
            <v>0</v>
          </cell>
          <cell r="S174">
            <v>0</v>
          </cell>
          <cell r="T174">
            <v>0</v>
          </cell>
          <cell r="U174">
            <v>0</v>
          </cell>
          <cell r="V174">
            <v>0</v>
          </cell>
          <cell r="W174">
            <v>154.65299999999999</v>
          </cell>
          <cell r="X174">
            <v>99.938587512794271</v>
          </cell>
          <cell r="Y174">
            <v>0</v>
          </cell>
          <cell r="Z174">
            <v>0</v>
          </cell>
          <cell r="AA174">
            <v>75</v>
          </cell>
        </row>
        <row r="175">
          <cell r="J175">
            <v>0</v>
          </cell>
          <cell r="K175">
            <v>0</v>
          </cell>
          <cell r="L175">
            <v>0</v>
          </cell>
          <cell r="M175" t="e">
            <v>#REF!</v>
          </cell>
          <cell r="P175" t="e">
            <v>#REF!</v>
          </cell>
          <cell r="Q175">
            <v>0</v>
          </cell>
          <cell r="R175">
            <v>0</v>
          </cell>
          <cell r="S175">
            <v>4262</v>
          </cell>
          <cell r="T175">
            <v>0</v>
          </cell>
          <cell r="U175" t="e">
            <v>#REF!</v>
          </cell>
          <cell r="V175">
            <v>0</v>
          </cell>
          <cell r="W175">
            <v>63.33</v>
          </cell>
          <cell r="X175">
            <v>195.28</v>
          </cell>
          <cell r="Y175">
            <v>0</v>
          </cell>
          <cell r="Z175">
            <v>0</v>
          </cell>
          <cell r="AA175">
            <v>0</v>
          </cell>
        </row>
        <row r="176">
          <cell r="J176" t="e">
            <v>#REF!</v>
          </cell>
          <cell r="M176" t="e">
            <v>#REF!</v>
          </cell>
          <cell r="P176" t="e">
            <v>#REF!</v>
          </cell>
          <cell r="Q176">
            <v>0</v>
          </cell>
          <cell r="R176">
            <v>0</v>
          </cell>
          <cell r="S176">
            <v>4262</v>
          </cell>
          <cell r="T176">
            <v>0</v>
          </cell>
          <cell r="U176" t="e">
            <v>#REF!</v>
          </cell>
          <cell r="V176">
            <v>0</v>
          </cell>
          <cell r="W176">
            <v>216.84</v>
          </cell>
          <cell r="X176">
            <v>14810</v>
          </cell>
          <cell r="Y176">
            <v>0</v>
          </cell>
          <cell r="Z176">
            <v>0</v>
          </cell>
          <cell r="AA176">
            <v>0</v>
          </cell>
        </row>
        <row r="177">
          <cell r="J177">
            <v>8977</v>
          </cell>
          <cell r="M177" t="e">
            <v>#REF!</v>
          </cell>
          <cell r="P177" t="e">
            <v>#REF!</v>
          </cell>
          <cell r="R177">
            <v>0</v>
          </cell>
          <cell r="S177">
            <v>0</v>
          </cell>
          <cell r="T177">
            <v>0</v>
          </cell>
          <cell r="U177" t="e">
            <v>#REF!</v>
          </cell>
          <cell r="V177" t="e">
            <v>#REF!</v>
          </cell>
          <cell r="W177">
            <v>29438</v>
          </cell>
          <cell r="X177">
            <v>0</v>
          </cell>
          <cell r="Y177">
            <v>0</v>
          </cell>
          <cell r="Z177">
            <v>0</v>
          </cell>
          <cell r="AA177">
            <v>0</v>
          </cell>
        </row>
        <row r="178">
          <cell r="J178" t="e">
            <v>#REF!</v>
          </cell>
          <cell r="M178" t="e">
            <v>#REF!</v>
          </cell>
          <cell r="N178" t="e">
            <v>#REF!</v>
          </cell>
          <cell r="O178" t="e">
            <v>#REF!</v>
          </cell>
          <cell r="P178" t="e">
            <v>#REF!</v>
          </cell>
          <cell r="Q178" t="e">
            <v>#REF!</v>
          </cell>
          <cell r="R178" t="e">
            <v>#REF!</v>
          </cell>
          <cell r="S178">
            <v>2085.52</v>
          </cell>
          <cell r="T178">
            <v>707.75479999999993</v>
          </cell>
          <cell r="U178" t="e">
            <v>#REF!</v>
          </cell>
          <cell r="V178" t="e">
            <v>#REF!</v>
          </cell>
          <cell r="W178" t="e">
            <v>#REF!</v>
          </cell>
          <cell r="X178">
            <v>356.4</v>
          </cell>
          <cell r="Y178">
            <v>74.900000000000006</v>
          </cell>
          <cell r="Z178">
            <v>281.5</v>
          </cell>
          <cell r="AA178">
            <v>597.66</v>
          </cell>
        </row>
        <row r="179">
          <cell r="J179" t="e">
            <v>#REF!</v>
          </cell>
          <cell r="M179" t="e">
            <v>#REF!</v>
          </cell>
          <cell r="N179" t="e">
            <v>#REF!</v>
          </cell>
          <cell r="O179" t="e">
            <v>#REF!</v>
          </cell>
          <cell r="P179" t="e">
            <v>#REF!</v>
          </cell>
          <cell r="Q179" t="e">
            <v>#REF!</v>
          </cell>
          <cell r="R179" t="e">
            <v>#REF!</v>
          </cell>
          <cell r="S179">
            <v>640</v>
          </cell>
          <cell r="T179">
            <v>0</v>
          </cell>
          <cell r="U179" t="e">
            <v>#REF!</v>
          </cell>
          <cell r="V179" t="e">
            <v>#REF!</v>
          </cell>
          <cell r="W179" t="e">
            <v>#REF!</v>
          </cell>
          <cell r="X179">
            <v>43374</v>
          </cell>
          <cell r="Y179">
            <v>9115.3552188552203</v>
          </cell>
          <cell r="Z179">
            <v>34258.64478114478</v>
          </cell>
          <cell r="AA179">
            <v>216.09090909090909</v>
          </cell>
        </row>
        <row r="180">
          <cell r="J180" t="e">
            <v>#REF!</v>
          </cell>
          <cell r="M180" t="e">
            <v>#REF!</v>
          </cell>
          <cell r="N180" t="e">
            <v>#REF!</v>
          </cell>
          <cell r="O180" t="e">
            <v>#REF!</v>
          </cell>
          <cell r="P180" t="e">
            <v>#REF!</v>
          </cell>
          <cell r="Q180" t="e">
            <v>#REF!</v>
          </cell>
          <cell r="R180" t="e">
            <v>#REF!</v>
          </cell>
          <cell r="S180">
            <v>0</v>
          </cell>
          <cell r="T180">
            <v>0</v>
          </cell>
          <cell r="U180" t="e">
            <v>#REF!</v>
          </cell>
          <cell r="V180" t="e">
            <v>#REF!</v>
          </cell>
          <cell r="W180" t="e">
            <v>#REF!</v>
          </cell>
          <cell r="X180">
            <v>121.7</v>
          </cell>
          <cell r="Y180">
            <v>121.7</v>
          </cell>
          <cell r="Z180">
            <v>121.7</v>
          </cell>
          <cell r="AA180">
            <v>0</v>
          </cell>
        </row>
        <row r="181">
          <cell r="C181">
            <v>75</v>
          </cell>
          <cell r="I181">
            <v>75</v>
          </cell>
          <cell r="J181">
            <v>100.5</v>
          </cell>
          <cell r="M181">
            <v>100.5</v>
          </cell>
          <cell r="P181">
            <v>100.5</v>
          </cell>
          <cell r="Q181">
            <v>0</v>
          </cell>
          <cell r="R181">
            <v>0</v>
          </cell>
          <cell r="S181">
            <v>1895.42</v>
          </cell>
          <cell r="T181">
            <v>0</v>
          </cell>
          <cell r="U181" t="e">
            <v>#REF!</v>
          </cell>
          <cell r="V181" t="e">
            <v>#REF!</v>
          </cell>
          <cell r="W181" t="e">
            <v>#REF!</v>
          </cell>
          <cell r="X181">
            <v>52</v>
          </cell>
          <cell r="Y181">
            <v>52</v>
          </cell>
          <cell r="Z181">
            <v>89.557440953909662</v>
          </cell>
          <cell r="AA181">
            <v>0</v>
          </cell>
        </row>
        <row r="182">
          <cell r="J182">
            <v>351.75</v>
          </cell>
          <cell r="K182">
            <v>0</v>
          </cell>
          <cell r="L182">
            <v>0</v>
          </cell>
          <cell r="M182" t="e">
            <v>#REF!</v>
          </cell>
          <cell r="P182" t="e">
            <v>#REF!</v>
          </cell>
          <cell r="Q182">
            <v>0</v>
          </cell>
          <cell r="R182">
            <v>0</v>
          </cell>
          <cell r="S182">
            <v>580.5454545454545</v>
          </cell>
          <cell r="T182">
            <v>0</v>
          </cell>
          <cell r="U182" t="e">
            <v>#REF!</v>
          </cell>
          <cell r="V182" t="e">
            <v>#REF!</v>
          </cell>
          <cell r="W182" t="e">
            <v>#REF!</v>
          </cell>
          <cell r="X182">
            <v>43426</v>
          </cell>
          <cell r="Y182">
            <v>9167.3552188552203</v>
          </cell>
          <cell r="Z182">
            <v>34258.64478114478</v>
          </cell>
          <cell r="AA182">
            <v>0</v>
          </cell>
        </row>
        <row r="183">
          <cell r="J183">
            <v>0</v>
          </cell>
          <cell r="M183">
            <v>0</v>
          </cell>
          <cell r="P183">
            <v>0</v>
          </cell>
          <cell r="Q183">
            <v>0</v>
          </cell>
          <cell r="R183">
            <v>0</v>
          </cell>
          <cell r="S183">
            <v>91</v>
          </cell>
          <cell r="T183">
            <v>10</v>
          </cell>
          <cell r="U183" t="e">
            <v>#REF!</v>
          </cell>
          <cell r="V183">
            <v>0</v>
          </cell>
          <cell r="W183">
            <v>0</v>
          </cell>
          <cell r="X183">
            <v>206.66666666666666</v>
          </cell>
          <cell r="Z183">
            <v>14810</v>
          </cell>
          <cell r="AA183">
            <v>0</v>
          </cell>
        </row>
        <row r="184">
          <cell r="W184">
            <v>0</v>
          </cell>
        </row>
        <row r="185">
          <cell r="J185">
            <v>50.9</v>
          </cell>
          <cell r="M185" t="str">
            <v>ТЕЦ-5 ВСЬОГО</v>
          </cell>
          <cell r="N185" t="str">
            <v>Е/Е</v>
          </cell>
          <cell r="O185" t="str">
            <v xml:space="preserve"> Т/Е</v>
          </cell>
          <cell r="P185" t="str">
            <v>ТЕЦ-6 ВСЬОГО</v>
          </cell>
          <cell r="Q185" t="str">
            <v>Е/Е</v>
          </cell>
          <cell r="R185" t="str">
            <v xml:space="preserve"> Т/Е</v>
          </cell>
          <cell r="U185" t="str">
            <v>АК КЕ ВСЬОГО</v>
          </cell>
          <cell r="V185" t="str">
            <v>Е/Е</v>
          </cell>
          <cell r="W185" t="str">
            <v xml:space="preserve"> Т/Е</v>
          </cell>
          <cell r="X185">
            <v>79.099999999999994</v>
          </cell>
          <cell r="Y185">
            <v>140.69999999999999</v>
          </cell>
          <cell r="Z185">
            <v>356.4</v>
          </cell>
          <cell r="AA185">
            <v>74.900000000000006</v>
          </cell>
        </row>
        <row r="186">
          <cell r="J186">
            <v>10190</v>
          </cell>
          <cell r="M186">
            <v>19746</v>
          </cell>
          <cell r="N186">
            <v>130.30000000000001</v>
          </cell>
          <cell r="O186">
            <v>68</v>
          </cell>
          <cell r="P186">
            <v>16686</v>
          </cell>
          <cell r="Q186">
            <v>233.6</v>
          </cell>
          <cell r="R186">
            <v>67</v>
          </cell>
          <cell r="S186">
            <v>-2490.3333333333335</v>
          </cell>
          <cell r="W186">
            <v>45967</v>
          </cell>
          <cell r="X186">
            <v>17090</v>
          </cell>
          <cell r="Y186">
            <v>28877</v>
          </cell>
          <cell r="Z186">
            <v>46685</v>
          </cell>
          <cell r="AA186">
            <v>9811.1854657688</v>
          </cell>
        </row>
        <row r="187">
          <cell r="J187">
            <v>200.2</v>
          </cell>
          <cell r="M187">
            <v>217.95</v>
          </cell>
          <cell r="N187">
            <v>193</v>
          </cell>
          <cell r="O187">
            <v>164.8</v>
          </cell>
          <cell r="P187">
            <v>213.1</v>
          </cell>
          <cell r="Q187">
            <v>198.5</v>
          </cell>
          <cell r="R187">
            <v>163.30000000000001</v>
          </cell>
          <cell r="S187">
            <v>0</v>
          </cell>
          <cell r="T187">
            <v>0</v>
          </cell>
          <cell r="V187" t="str">
            <v>ТЕЦ-5 ВСЬОГО</v>
          </cell>
          <cell r="W187">
            <v>209.13</v>
          </cell>
          <cell r="X187">
            <v>216.06</v>
          </cell>
          <cell r="Y187">
            <v>205.24</v>
          </cell>
          <cell r="Z187">
            <v>130.99</v>
          </cell>
          <cell r="AA187">
            <v>130.99</v>
          </cell>
        </row>
        <row r="188">
          <cell r="N188">
            <v>303.89999999999998</v>
          </cell>
          <cell r="O188">
            <v>112.3</v>
          </cell>
          <cell r="Q188">
            <v>301.2</v>
          </cell>
          <cell r="R188">
            <v>115.6</v>
          </cell>
          <cell r="W188" t="e">
            <v>#REF!</v>
          </cell>
          <cell r="X188" t="e">
            <v>#REF!</v>
          </cell>
          <cell r="Y188" t="e">
            <v>#REF!</v>
          </cell>
          <cell r="Z188">
            <v>52</v>
          </cell>
          <cell r="AA188">
            <v>52</v>
          </cell>
        </row>
        <row r="189">
          <cell r="M189">
            <v>19746</v>
          </cell>
          <cell r="N189">
            <v>110.89999999999998</v>
          </cell>
          <cell r="O189">
            <v>-52.500000000000014</v>
          </cell>
          <cell r="P189">
            <v>16686</v>
          </cell>
          <cell r="Q189">
            <v>102.69999999999999</v>
          </cell>
          <cell r="R189">
            <v>-47.700000000000017</v>
          </cell>
          <cell r="W189" t="e">
            <v>#REF!</v>
          </cell>
          <cell r="X189" t="e">
            <v>#REF!</v>
          </cell>
          <cell r="Y189" t="e">
            <v>#REF!</v>
          </cell>
          <cell r="Z189">
            <v>46737</v>
          </cell>
          <cell r="AA189">
            <v>9863.1854657688</v>
          </cell>
        </row>
        <row r="190">
          <cell r="N190" t="e">
            <v>#REF!</v>
          </cell>
          <cell r="O190" t="e">
            <v>#REF!</v>
          </cell>
          <cell r="P190" t="str">
            <v>ККМ</v>
          </cell>
          <cell r="Q190" t="e">
            <v>#REF!</v>
          </cell>
          <cell r="R190" t="e">
            <v>#REF!</v>
          </cell>
          <cell r="S190" t="str">
            <v>КТМ</v>
          </cell>
          <cell r="V190">
            <v>58.7</v>
          </cell>
          <cell r="X190" t="str">
            <v>ТЕЦ-5 ВСЬОГО</v>
          </cell>
          <cell r="Y190" t="str">
            <v>Е/Е</v>
          </cell>
          <cell r="Z190" t="str">
            <v xml:space="preserve"> Т/Е</v>
          </cell>
          <cell r="AA190">
            <v>55</v>
          </cell>
        </row>
        <row r="191">
          <cell r="N191" t="e">
            <v>#REF!</v>
          </cell>
          <cell r="O191" t="e">
            <v>#REF!</v>
          </cell>
          <cell r="Q191" t="e">
            <v>#REF!</v>
          </cell>
          <cell r="R191" t="e">
            <v>#REF!</v>
          </cell>
          <cell r="S191">
            <v>12.9</v>
          </cell>
          <cell r="V191">
            <v>67.3</v>
          </cell>
          <cell r="AA191">
            <v>63</v>
          </cell>
        </row>
        <row r="192">
          <cell r="N192" t="e">
            <v>#REF!</v>
          </cell>
          <cell r="O192" t="e">
            <v>#REF!</v>
          </cell>
          <cell r="P192">
            <v>0</v>
          </cell>
          <cell r="Q192" t="e">
            <v>#REF!</v>
          </cell>
          <cell r="R192" t="e">
            <v>#REF!</v>
          </cell>
          <cell r="S192">
            <v>0</v>
          </cell>
          <cell r="V192" t="e">
            <v>#REF!</v>
          </cell>
          <cell r="W192" t="e">
            <v>#REF!</v>
          </cell>
          <cell r="AA192">
            <v>0</v>
          </cell>
        </row>
        <row r="193">
          <cell r="P193">
            <v>0</v>
          </cell>
          <cell r="S193">
            <v>6.4</v>
          </cell>
          <cell r="V193">
            <v>192.5</v>
          </cell>
          <cell r="X193">
            <v>65.3</v>
          </cell>
          <cell r="AA193">
            <v>192.5</v>
          </cell>
        </row>
        <row r="194">
          <cell r="S194">
            <v>7.3</v>
          </cell>
          <cell r="V194">
            <v>11300</v>
          </cell>
          <cell r="X194">
            <v>74.7</v>
          </cell>
          <cell r="AA194">
            <v>10588</v>
          </cell>
        </row>
        <row r="195">
          <cell r="P195">
            <v>0</v>
          </cell>
          <cell r="S195">
            <v>0</v>
          </cell>
          <cell r="X195">
            <v>0</v>
          </cell>
        </row>
        <row r="196">
          <cell r="P196">
            <v>0</v>
          </cell>
          <cell r="S196">
            <v>192.5</v>
          </cell>
          <cell r="V196">
            <v>0</v>
          </cell>
          <cell r="X196">
            <v>192.5</v>
          </cell>
          <cell r="AA196">
            <v>0</v>
          </cell>
        </row>
        <row r="197">
          <cell r="S197">
            <v>1232</v>
          </cell>
          <cell r="V197">
            <v>0</v>
          </cell>
          <cell r="X197">
            <v>12570</v>
          </cell>
          <cell r="AA197">
            <v>0</v>
          </cell>
        </row>
        <row r="198">
          <cell r="V198">
            <v>82.5</v>
          </cell>
          <cell r="Y198">
            <v>1507.2</v>
          </cell>
          <cell r="AA198">
            <v>82.5</v>
          </cell>
        </row>
        <row r="199">
          <cell r="V199">
            <v>0</v>
          </cell>
          <cell r="X199">
            <v>0</v>
          </cell>
          <cell r="AA199">
            <v>0</v>
          </cell>
        </row>
        <row r="200">
          <cell r="S200">
            <v>0</v>
          </cell>
          <cell r="V200">
            <v>0</v>
          </cell>
          <cell r="X200">
            <v>0</v>
          </cell>
          <cell r="AA200">
            <v>0</v>
          </cell>
        </row>
        <row r="201">
          <cell r="X201">
            <v>82.5</v>
          </cell>
        </row>
        <row r="202">
          <cell r="V202">
            <v>0</v>
          </cell>
          <cell r="X202">
            <v>0</v>
          </cell>
          <cell r="AA202">
            <v>0</v>
          </cell>
        </row>
        <row r="203">
          <cell r="S203">
            <v>0</v>
          </cell>
          <cell r="V203">
            <v>0</v>
          </cell>
          <cell r="X203">
            <v>0</v>
          </cell>
          <cell r="AA203">
            <v>0</v>
          </cell>
        </row>
        <row r="204">
          <cell r="P204">
            <v>75</v>
          </cell>
        </row>
        <row r="205">
          <cell r="S205">
            <v>385</v>
          </cell>
          <cell r="V205">
            <v>385</v>
          </cell>
          <cell r="X205">
            <v>0</v>
          </cell>
          <cell r="AA205">
            <v>385</v>
          </cell>
        </row>
        <row r="206">
          <cell r="S206">
            <v>0</v>
          </cell>
          <cell r="V206">
            <v>0</v>
          </cell>
          <cell r="X206">
            <v>0</v>
          </cell>
          <cell r="AA206">
            <v>0</v>
          </cell>
        </row>
        <row r="207">
          <cell r="P207">
            <v>75</v>
          </cell>
        </row>
        <row r="208">
          <cell r="S208">
            <v>385</v>
          </cell>
          <cell r="V208">
            <v>67.3</v>
          </cell>
          <cell r="W208">
            <v>54.6</v>
          </cell>
          <cell r="X208">
            <v>385</v>
          </cell>
          <cell r="AA208">
            <v>63</v>
          </cell>
        </row>
        <row r="209">
          <cell r="S209">
            <v>0</v>
          </cell>
          <cell r="V209">
            <v>11300</v>
          </cell>
          <cell r="W209">
            <v>9168</v>
          </cell>
          <cell r="X209">
            <v>0</v>
          </cell>
          <cell r="Y209">
            <v>2132</v>
          </cell>
          <cell r="AA209">
            <v>10588</v>
          </cell>
        </row>
        <row r="210">
          <cell r="S210">
            <v>168.6</v>
          </cell>
          <cell r="V210">
            <v>167.9</v>
          </cell>
          <cell r="W210">
            <v>167.91</v>
          </cell>
          <cell r="X210">
            <v>167.87</v>
          </cell>
          <cell r="AA210">
            <v>168.06</v>
          </cell>
        </row>
        <row r="211">
          <cell r="M211" t="str">
            <v>ЗАТВЕРДЖУЮ</v>
          </cell>
          <cell r="S211">
            <v>7.3</v>
          </cell>
          <cell r="X211">
            <v>74.7</v>
          </cell>
          <cell r="Y211">
            <v>55.2</v>
          </cell>
          <cell r="Z211">
            <v>19.5</v>
          </cell>
        </row>
        <row r="212">
          <cell r="M212" t="str">
            <v>ГЕНЕРАЛЬНИЙ ДИРЕКТОР -</v>
          </cell>
          <cell r="S212">
            <v>1232</v>
          </cell>
          <cell r="V212">
            <v>11300</v>
          </cell>
          <cell r="X212">
            <v>12570</v>
          </cell>
          <cell r="Y212">
            <v>9289</v>
          </cell>
          <cell r="Z212">
            <v>3281</v>
          </cell>
          <cell r="AA212">
            <v>3281</v>
          </cell>
        </row>
        <row r="213">
          <cell r="M213" t="str">
            <v>ГОЛОВА ПРАВЛІННЯ КЕ</v>
          </cell>
          <cell r="S213">
            <v>168.77</v>
          </cell>
          <cell r="X213">
            <v>168.27</v>
          </cell>
          <cell r="Y213">
            <v>168.28</v>
          </cell>
          <cell r="Z213">
            <v>168.26</v>
          </cell>
        </row>
        <row r="214">
          <cell r="M214" t="str">
            <v>ЗАТВЕРДЖУЮ</v>
          </cell>
          <cell r="N214" t="str">
            <v xml:space="preserve">      І.В.ПЛАЧКОВ</v>
          </cell>
        </row>
        <row r="215">
          <cell r="M215" t="str">
            <v>ГОЛОВА ПРАЛІННЯ АК КЕ</v>
          </cell>
          <cell r="X215">
            <v>12570</v>
          </cell>
        </row>
        <row r="216">
          <cell r="M216" t="str">
            <v xml:space="preserve">                        І.В.ПЛАЧКОВ</v>
          </cell>
          <cell r="N216" t="str">
            <v xml:space="preserve">      І.В.ПЛАЧКОВ</v>
          </cell>
        </row>
        <row r="221">
          <cell r="C221" t="str">
            <v>ПОТРЕБА   В КОШТАХ НА  жовтень 1998 року</v>
          </cell>
        </row>
        <row r="222">
          <cell r="C222" t="str">
            <v>ПО ФІЛІАЛАХ АК КИЇВЕНЕРГО</v>
          </cell>
        </row>
        <row r="223">
          <cell r="C223" t="str">
            <v>ПОТРЕБА   В КОШТАХ НА  червень 1998 року</v>
          </cell>
        </row>
        <row r="224">
          <cell r="C224" t="str">
            <v>ПО ФІЛІАЛАХ АК КИЇВЕНЕРГО</v>
          </cell>
        </row>
        <row r="225">
          <cell r="S225" t="str">
            <v>ТИС.ГРН.</v>
          </cell>
        </row>
        <row r="226">
          <cell r="C226" t="str">
            <v>ВИКОН.ДИР.</v>
          </cell>
          <cell r="D226" t="str">
            <v>АПАРАТ ЕЛЕКТРО</v>
          </cell>
          <cell r="E226" t="str">
            <v>АПАРАТ ТЕПЛО</v>
          </cell>
          <cell r="I226" t="str">
            <v>ККМ</v>
          </cell>
          <cell r="J226" t="str">
            <v>КТМ</v>
          </cell>
          <cell r="K226" t="str">
            <v>ВИРОБН</v>
          </cell>
          <cell r="L226" t="str">
            <v>ПЕРЕД</v>
          </cell>
          <cell r="M226" t="str">
            <v>ТЕЦ-5 ВСЬОГО</v>
          </cell>
          <cell r="N226" t="str">
            <v>Е/Е</v>
          </cell>
          <cell r="O226" t="str">
            <v xml:space="preserve"> Т/Е</v>
          </cell>
          <cell r="P226" t="str">
            <v>ТЕЦ-6 ВСЬОГО</v>
          </cell>
          <cell r="Q226" t="str">
            <v>Е/Е</v>
          </cell>
          <cell r="R226" t="str">
            <v xml:space="preserve"> Т/Е</v>
          </cell>
          <cell r="S226" t="str">
            <v xml:space="preserve">ДОП.ВИР. </v>
          </cell>
          <cell r="T226" t="str">
            <v>ДОП.ВИР. СТ.ОРГ.</v>
          </cell>
          <cell r="W226" t="str">
            <v>АК КЕ ВСЬОГО</v>
          </cell>
          <cell r="X226" t="str">
            <v>Е/Е</v>
          </cell>
          <cell r="Y226" t="str">
            <v xml:space="preserve"> Т/Е</v>
          </cell>
          <cell r="Z226" t="str">
            <v>СТАНЦІї ЕЛЕКТРО</v>
          </cell>
          <cell r="AA226" t="str">
            <v>СТАНЦІІ ТЕПЛОВІ</v>
          </cell>
        </row>
        <row r="227">
          <cell r="S227" t="str">
            <v>ТИС.ГРН.</v>
          </cell>
        </row>
        <row r="228">
          <cell r="C228" t="str">
            <v>ВИКОН.ДИР.</v>
          </cell>
          <cell r="D228" t="str">
            <v>АПАРАТ ЕЛЕКТРО</v>
          </cell>
          <cell r="E228" t="str">
            <v>АПАРАТ ТЕПЛО</v>
          </cell>
          <cell r="I228" t="str">
            <v>ККМ</v>
          </cell>
          <cell r="J228" t="str">
            <v>КТМ</v>
          </cell>
          <cell r="K228" t="str">
            <v>ВИРОБН</v>
          </cell>
          <cell r="L228" t="str">
            <v>ПЕРЕД</v>
          </cell>
          <cell r="M228" t="str">
            <v>ТЕЦ-5 ВСЬОГО</v>
          </cell>
          <cell r="N228" t="str">
            <v>Е/Е</v>
          </cell>
          <cell r="O228" t="str">
            <v xml:space="preserve"> Т/Е</v>
          </cell>
          <cell r="P228" t="str">
            <v>ТЕЦ-6 ВСЬОГО</v>
          </cell>
          <cell r="Q228" t="str">
            <v>Е/Е</v>
          </cell>
          <cell r="R228" t="str">
            <v xml:space="preserve"> Т/Е</v>
          </cell>
          <cell r="S228" t="str">
            <v xml:space="preserve">ДОП.ВИР. </v>
          </cell>
          <cell r="T228" t="str">
            <v>ДОП.ВИР. СТ.ОРГ.</v>
          </cell>
          <cell r="U228" t="str">
            <v>АК КЕ ВСЬОГО</v>
          </cell>
          <cell r="V228" t="str">
            <v>Е/Е</v>
          </cell>
          <cell r="W228" t="str">
            <v xml:space="preserve"> Т/Е</v>
          </cell>
          <cell r="X228" t="str">
            <v>СТАНЦІї ЕЛЕКТРО</v>
          </cell>
          <cell r="Y228" t="str">
            <v>СТАНЦІІ ТЕПЛОВІ</v>
          </cell>
          <cell r="Z228" t="str">
            <v>МЕРЕЖІ ЕЛЕКТРО</v>
          </cell>
          <cell r="AA228" t="str">
            <v>МЕРЕЖІ ТЕПЛОВІ</v>
          </cell>
        </row>
        <row r="229">
          <cell r="C229" t="e">
            <v>#REF!</v>
          </cell>
          <cell r="D229" t="e">
            <v>#REF!</v>
          </cell>
          <cell r="E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v>889</v>
          </cell>
          <cell r="W229" t="e">
            <v>#REF!</v>
          </cell>
          <cell r="X229" t="e">
            <v>#REF!</v>
          </cell>
          <cell r="Y229" t="e">
            <v>#REF!</v>
          </cell>
        </row>
        <row r="230">
          <cell r="C230" t="e">
            <v>#REF!</v>
          </cell>
          <cell r="D230" t="e">
            <v>#REF!</v>
          </cell>
          <cell r="E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v>889</v>
          </cell>
          <cell r="W230" t="e">
            <v>#REF!</v>
          </cell>
          <cell r="X230" t="e">
            <v>#REF!</v>
          </cell>
        </row>
        <row r="231">
          <cell r="C231" t="e">
            <v>#REF!</v>
          </cell>
          <cell r="D231" t="e">
            <v>#REF!</v>
          </cell>
          <cell r="E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v>1129</v>
          </cell>
          <cell r="U231" t="e">
            <v>#REF!</v>
          </cell>
          <cell r="V231" t="e">
            <v>#REF!</v>
          </cell>
          <cell r="W231" t="e">
            <v>#REF!</v>
          </cell>
        </row>
        <row r="232">
          <cell r="C232" t="e">
            <v>#REF!</v>
          </cell>
          <cell r="D232" t="e">
            <v>#REF!</v>
          </cell>
          <cell r="E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v>117</v>
          </cell>
          <cell r="U232" t="e">
            <v>#REF!</v>
          </cell>
          <cell r="V232" t="e">
            <v>#REF!</v>
          </cell>
          <cell r="W232" t="e">
            <v>#REF!</v>
          </cell>
          <cell r="X232" t="e">
            <v>#REF!</v>
          </cell>
        </row>
        <row r="233">
          <cell r="C233" t="e">
            <v>#REF!</v>
          </cell>
          <cell r="D233" t="e">
            <v>#REF!</v>
          </cell>
          <cell r="E233" t="e">
            <v>#REF!</v>
          </cell>
          <cell r="I233" t="e">
            <v>#REF!</v>
          </cell>
          <cell r="J233" t="e">
            <v>#REF!</v>
          </cell>
          <cell r="K233" t="e">
            <v>#REF!</v>
          </cell>
          <cell r="L233" t="e">
            <v>#REF!</v>
          </cell>
          <cell r="M233" t="e">
            <v>#REF!</v>
          </cell>
          <cell r="N233" t="e">
            <v>#REF!</v>
          </cell>
          <cell r="O233" t="e">
            <v>#REF!</v>
          </cell>
          <cell r="P233" t="e">
            <v>#REF!</v>
          </cell>
          <cell r="Q233" t="e">
            <v>#REF!</v>
          </cell>
          <cell r="R233" t="e">
            <v>#REF!</v>
          </cell>
          <cell r="S233">
            <v>708.125</v>
          </cell>
          <cell r="T233">
            <v>0</v>
          </cell>
          <cell r="V233" t="e">
            <v>#REF!</v>
          </cell>
          <cell r="W233" t="e">
            <v>#REF!</v>
          </cell>
          <cell r="X233" t="e">
            <v>#REF!</v>
          </cell>
        </row>
        <row r="234">
          <cell r="C234" t="e">
            <v>#REF!</v>
          </cell>
          <cell r="D234" t="e">
            <v>#REF!</v>
          </cell>
          <cell r="E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v>1012</v>
          </cell>
          <cell r="U234" t="e">
            <v>#REF!</v>
          </cell>
          <cell r="V234" t="e">
            <v>#REF!</v>
          </cell>
          <cell r="W234" t="e">
            <v>#REF!</v>
          </cell>
          <cell r="X234" t="e">
            <v>#REF!</v>
          </cell>
        </row>
        <row r="235">
          <cell r="C235" t="e">
            <v>#REF!</v>
          </cell>
          <cell r="I235" t="e">
            <v>#REF!</v>
          </cell>
          <cell r="J235" t="e">
            <v>#REF!</v>
          </cell>
          <cell r="K235">
            <v>0</v>
          </cell>
          <cell r="L235">
            <v>0</v>
          </cell>
          <cell r="M235" t="e">
            <v>#REF!</v>
          </cell>
          <cell r="N235">
            <v>0</v>
          </cell>
          <cell r="O235">
            <v>0</v>
          </cell>
          <cell r="P235" t="e">
            <v>#REF!</v>
          </cell>
          <cell r="Q235">
            <v>0</v>
          </cell>
          <cell r="R235">
            <v>0</v>
          </cell>
          <cell r="S235" t="e">
            <v>#REF!</v>
          </cell>
          <cell r="T235">
            <v>0</v>
          </cell>
          <cell r="U235" t="e">
            <v>#REF!</v>
          </cell>
          <cell r="V235" t="e">
            <v>#REF!</v>
          </cell>
          <cell r="W235" t="e">
            <v>#REF!</v>
          </cell>
          <cell r="X235" t="e">
            <v>#REF!</v>
          </cell>
        </row>
        <row r="236">
          <cell r="C236" t="e">
            <v>#REF!</v>
          </cell>
          <cell r="I236" t="e">
            <v>#REF!</v>
          </cell>
          <cell r="J236" t="e">
            <v>#REF!</v>
          </cell>
          <cell r="K236">
            <v>0</v>
          </cell>
          <cell r="L236">
            <v>0</v>
          </cell>
          <cell r="M236" t="e">
            <v>#REF!</v>
          </cell>
          <cell r="N236" t="e">
            <v>#REF!</v>
          </cell>
          <cell r="O236" t="e">
            <v>#REF!</v>
          </cell>
          <cell r="P236" t="e">
            <v>#REF!</v>
          </cell>
          <cell r="Q236" t="e">
            <v>#REF!</v>
          </cell>
          <cell r="R236" t="e">
            <v>#REF!</v>
          </cell>
          <cell r="S236" t="e">
            <v>#REF!</v>
          </cell>
          <cell r="T236">
            <v>0</v>
          </cell>
          <cell r="U236" t="e">
            <v>#REF!</v>
          </cell>
          <cell r="V236" t="e">
            <v>#REF!</v>
          </cell>
          <cell r="W236" t="e">
            <v>#REF!</v>
          </cell>
          <cell r="X236" t="e">
            <v>#REF!</v>
          </cell>
        </row>
        <row r="237">
          <cell r="C237" t="e">
            <v>#REF!</v>
          </cell>
          <cell r="I237" t="e">
            <v>#REF!</v>
          </cell>
          <cell r="J237" t="e">
            <v>#REF!</v>
          </cell>
          <cell r="M237" t="e">
            <v>#REF!</v>
          </cell>
          <cell r="P237" t="e">
            <v>#REF!</v>
          </cell>
          <cell r="S237">
            <v>0</v>
          </cell>
          <cell r="U237" t="e">
            <v>#REF!</v>
          </cell>
          <cell r="V237" t="e">
            <v>#REF!</v>
          </cell>
          <cell r="W237" t="e">
            <v>#REF!</v>
          </cell>
          <cell r="X237" t="e">
            <v>#REF!</v>
          </cell>
          <cell r="Z237">
            <v>6</v>
          </cell>
          <cell r="AA237">
            <v>6</v>
          </cell>
        </row>
        <row r="238">
          <cell r="C238" t="e">
            <v>#REF!</v>
          </cell>
          <cell r="I238" t="e">
            <v>#REF!</v>
          </cell>
          <cell r="J238" t="e">
            <v>#REF!</v>
          </cell>
          <cell r="M238" t="e">
            <v>#REF!</v>
          </cell>
          <cell r="P238" t="e">
            <v>#REF!</v>
          </cell>
          <cell r="S238" t="e">
            <v>#REF!</v>
          </cell>
          <cell r="U238" t="e">
            <v>#REF!</v>
          </cell>
          <cell r="V238" t="e">
            <v>#REF!</v>
          </cell>
          <cell r="W238">
            <v>0</v>
          </cell>
          <cell r="X238">
            <v>6</v>
          </cell>
          <cell r="Y238">
            <v>6</v>
          </cell>
          <cell r="Z238">
            <v>12</v>
          </cell>
        </row>
        <row r="239">
          <cell r="C239">
            <v>0</v>
          </cell>
          <cell r="U239">
            <v>0</v>
          </cell>
          <cell r="V239">
            <v>0</v>
          </cell>
          <cell r="W239">
            <v>2421.3333333333335</v>
          </cell>
          <cell r="X239">
            <v>2421.3333333333335</v>
          </cell>
        </row>
        <row r="240">
          <cell r="C240">
            <v>2421.3333333333335</v>
          </cell>
          <cell r="D240" t="e">
            <v>#REF!</v>
          </cell>
          <cell r="E240" t="e">
            <v>#REF!</v>
          </cell>
          <cell r="I240">
            <v>0</v>
          </cell>
          <cell r="J240">
            <v>0</v>
          </cell>
          <cell r="K240">
            <v>0</v>
          </cell>
          <cell r="L240">
            <v>0</v>
          </cell>
          <cell r="M240" t="e">
            <v>#REF!</v>
          </cell>
          <cell r="N240">
            <v>0</v>
          </cell>
          <cell r="O240">
            <v>0</v>
          </cell>
          <cell r="P240" t="e">
            <v>#REF!</v>
          </cell>
          <cell r="Q240">
            <v>0</v>
          </cell>
          <cell r="R240">
            <v>0</v>
          </cell>
          <cell r="S240">
            <v>0</v>
          </cell>
          <cell r="U240">
            <v>2421.3333333333335</v>
          </cell>
          <cell r="V240">
            <v>2421.3333333333335</v>
          </cell>
          <cell r="W240" t="e">
            <v>#REF!</v>
          </cell>
          <cell r="X240" t="e">
            <v>#REF!</v>
          </cell>
        </row>
        <row r="241">
          <cell r="C241" t="e">
            <v>#REF!</v>
          </cell>
          <cell r="D241" t="e">
            <v>#REF!</v>
          </cell>
          <cell r="E241" t="e">
            <v>#REF!</v>
          </cell>
          <cell r="I241">
            <v>0</v>
          </cell>
          <cell r="J241">
            <v>0</v>
          </cell>
          <cell r="K241">
            <v>0</v>
          </cell>
          <cell r="L241">
            <v>0</v>
          </cell>
          <cell r="M241" t="e">
            <v>#REF!</v>
          </cell>
          <cell r="N241" t="e">
            <v>#REF!</v>
          </cell>
          <cell r="O241" t="e">
            <v>#REF!</v>
          </cell>
          <cell r="P241" t="e">
            <v>#REF!</v>
          </cell>
          <cell r="Q241" t="e">
            <v>#REF!</v>
          </cell>
          <cell r="R241" t="e">
            <v>#REF!</v>
          </cell>
          <cell r="S241" t="e">
            <v>#REF!</v>
          </cell>
          <cell r="U241" t="e">
            <v>#REF!</v>
          </cell>
          <cell r="V241" t="e">
            <v>#REF!</v>
          </cell>
          <cell r="X241">
            <v>0</v>
          </cell>
        </row>
        <row r="242">
          <cell r="C242" t="e">
            <v>#REF!</v>
          </cell>
          <cell r="I242" t="e">
            <v>#REF!</v>
          </cell>
          <cell r="J242" t="e">
            <v>#REF!</v>
          </cell>
          <cell r="M242" t="e">
            <v>#REF!</v>
          </cell>
          <cell r="P242" t="e">
            <v>#REF!</v>
          </cell>
          <cell r="S242">
            <v>163</v>
          </cell>
          <cell r="V242">
            <v>0</v>
          </cell>
          <cell r="W242" t="e">
            <v>#REF!</v>
          </cell>
          <cell r="X242" t="e">
            <v>#REF!</v>
          </cell>
        </row>
        <row r="243">
          <cell r="C243" t="e">
            <v>#REF!</v>
          </cell>
          <cell r="I243" t="e">
            <v>#REF!</v>
          </cell>
          <cell r="J243" t="e">
            <v>#REF!</v>
          </cell>
          <cell r="M243" t="e">
            <v>#REF!</v>
          </cell>
          <cell r="P243" t="e">
            <v>#REF!</v>
          </cell>
          <cell r="S243" t="e">
            <v>#REF!</v>
          </cell>
          <cell r="U243" t="e">
            <v>#REF!</v>
          </cell>
          <cell r="V243" t="e">
            <v>#REF!</v>
          </cell>
          <cell r="W243">
            <v>2595.8000000000002</v>
          </cell>
          <cell r="X243">
            <v>2401.8000000000002</v>
          </cell>
        </row>
        <row r="244">
          <cell r="C244">
            <v>40</v>
          </cell>
          <cell r="I244">
            <v>0</v>
          </cell>
          <cell r="J244">
            <v>0</v>
          </cell>
          <cell r="M244">
            <v>0</v>
          </cell>
          <cell r="P244">
            <v>0</v>
          </cell>
          <cell r="S244">
            <v>0</v>
          </cell>
          <cell r="U244">
            <v>0</v>
          </cell>
          <cell r="V244">
            <v>40</v>
          </cell>
          <cell r="X244">
            <v>0</v>
          </cell>
        </row>
        <row r="245">
          <cell r="C245">
            <v>0</v>
          </cell>
          <cell r="I245">
            <v>-195.33333333333334</v>
          </cell>
          <cell r="J245">
            <v>-166</v>
          </cell>
          <cell r="K245">
            <v>0</v>
          </cell>
          <cell r="L245">
            <v>0</v>
          </cell>
          <cell r="M245">
            <v>-272</v>
          </cell>
          <cell r="N245">
            <v>0</v>
          </cell>
          <cell r="O245">
            <v>0</v>
          </cell>
          <cell r="P245">
            <v>-165.33333333333334</v>
          </cell>
          <cell r="Q245">
            <v>0</v>
          </cell>
          <cell r="R245">
            <v>0</v>
          </cell>
          <cell r="S245">
            <v>0</v>
          </cell>
          <cell r="T245">
            <v>0</v>
          </cell>
          <cell r="V245">
            <v>0</v>
          </cell>
          <cell r="W245">
            <v>-798.66666666666674</v>
          </cell>
          <cell r="X245">
            <v>-798.66666666666674</v>
          </cell>
        </row>
        <row r="246">
          <cell r="C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row>
        <row r="247">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X247">
            <v>0</v>
          </cell>
        </row>
        <row r="248">
          <cell r="C248">
            <v>29</v>
          </cell>
          <cell r="I248">
            <v>0</v>
          </cell>
          <cell r="J248">
            <v>252</v>
          </cell>
          <cell r="M248">
            <v>2</v>
          </cell>
          <cell r="P248">
            <v>4</v>
          </cell>
          <cell r="S248">
            <v>0</v>
          </cell>
          <cell r="V248">
            <v>0</v>
          </cell>
          <cell r="W248">
            <v>298.7</v>
          </cell>
          <cell r="X248">
            <v>298.7</v>
          </cell>
        </row>
        <row r="249">
          <cell r="C249" t="e">
            <v>#REF!</v>
          </cell>
          <cell r="I249" t="e">
            <v>#REF!</v>
          </cell>
          <cell r="J249" t="e">
            <v>#REF!</v>
          </cell>
          <cell r="M249" t="e">
            <v>#REF!</v>
          </cell>
          <cell r="P249" t="e">
            <v>#REF!</v>
          </cell>
          <cell r="S249">
            <v>0</v>
          </cell>
          <cell r="U249" t="e">
            <v>#REF!</v>
          </cell>
          <cell r="V249" t="e">
            <v>#REF!</v>
          </cell>
          <cell r="W249">
            <v>200</v>
          </cell>
          <cell r="X249">
            <v>200</v>
          </cell>
        </row>
        <row r="250">
          <cell r="C250" t="e">
            <v>#REF!</v>
          </cell>
          <cell r="I250" t="e">
            <v>#REF!</v>
          </cell>
          <cell r="J250" t="e">
            <v>#REF!</v>
          </cell>
          <cell r="M250" t="e">
            <v>#REF!</v>
          </cell>
          <cell r="P250" t="e">
            <v>#REF!</v>
          </cell>
          <cell r="S250">
            <v>0</v>
          </cell>
          <cell r="U250" t="e">
            <v>#REF!</v>
          </cell>
          <cell r="V250" t="e">
            <v>#REF!</v>
          </cell>
          <cell r="X250">
            <v>0</v>
          </cell>
        </row>
        <row r="251">
          <cell r="C251">
            <v>0</v>
          </cell>
          <cell r="I251">
            <v>0</v>
          </cell>
          <cell r="J251">
            <v>0</v>
          </cell>
          <cell r="M251">
            <v>42.300000000000004</v>
          </cell>
          <cell r="N251">
            <v>24</v>
          </cell>
          <cell r="O251">
            <v>18.300000000000004</v>
          </cell>
          <cell r="P251">
            <v>91.8</v>
          </cell>
          <cell r="Q251">
            <v>36</v>
          </cell>
          <cell r="R251">
            <v>55.8</v>
          </cell>
          <cell r="S251">
            <v>0</v>
          </cell>
          <cell r="T251">
            <v>0</v>
          </cell>
          <cell r="V251">
            <v>0</v>
          </cell>
          <cell r="W251">
            <v>134.1</v>
          </cell>
          <cell r="X251">
            <v>134.1</v>
          </cell>
        </row>
        <row r="252">
          <cell r="C252" t="e">
            <v>#REF!</v>
          </cell>
          <cell r="I252" t="e">
            <v>#REF!</v>
          </cell>
          <cell r="J252" t="e">
            <v>#REF!</v>
          </cell>
          <cell r="M252" t="e">
            <v>#REF!</v>
          </cell>
          <cell r="N252" t="e">
            <v>#REF!</v>
          </cell>
          <cell r="O252" t="e">
            <v>#REF!</v>
          </cell>
          <cell r="P252" t="e">
            <v>#REF!</v>
          </cell>
          <cell r="Q252" t="e">
            <v>#REF!</v>
          </cell>
          <cell r="R252" t="e">
            <v>#REF!</v>
          </cell>
          <cell r="S252">
            <v>0</v>
          </cell>
          <cell r="T252">
            <v>0</v>
          </cell>
          <cell r="U252" t="e">
            <v>#REF!</v>
          </cell>
          <cell r="V252" t="e">
            <v>#REF!</v>
          </cell>
          <cell r="W252" t="e">
            <v>#REF!</v>
          </cell>
          <cell r="X252" t="e">
            <v>#REF!</v>
          </cell>
          <cell r="AA252" t="str">
            <v>ТЕЦ-6 ВСЬОГО</v>
          </cell>
        </row>
        <row r="253">
          <cell r="C253" t="e">
            <v>#REF!</v>
          </cell>
          <cell r="I253" t="e">
            <v>#REF!</v>
          </cell>
          <cell r="J253" t="e">
            <v>#REF!</v>
          </cell>
          <cell r="M253" t="e">
            <v>#REF!</v>
          </cell>
          <cell r="P253" t="e">
            <v>#REF!</v>
          </cell>
          <cell r="S253">
            <v>0</v>
          </cell>
          <cell r="U253" t="e">
            <v>#REF!</v>
          </cell>
          <cell r="V253" t="e">
            <v>#REF!</v>
          </cell>
          <cell r="W253">
            <v>580</v>
          </cell>
          <cell r="X253">
            <v>580</v>
          </cell>
          <cell r="AA253">
            <v>2709.5690909090908</v>
          </cell>
        </row>
        <row r="254">
          <cell r="I254">
            <v>20</v>
          </cell>
          <cell r="J254">
            <v>152</v>
          </cell>
          <cell r="M254">
            <v>20</v>
          </cell>
          <cell r="P254">
            <v>10</v>
          </cell>
          <cell r="U254">
            <v>202</v>
          </cell>
          <cell r="V254">
            <v>202</v>
          </cell>
          <cell r="W254">
            <v>0</v>
          </cell>
          <cell r="X254">
            <v>0</v>
          </cell>
        </row>
        <row r="255">
          <cell r="C255" t="e">
            <v>#REF!</v>
          </cell>
          <cell r="I255" t="e">
            <v>#REF!</v>
          </cell>
          <cell r="J255" t="e">
            <v>#REF!</v>
          </cell>
          <cell r="M255" t="e">
            <v>#REF!</v>
          </cell>
          <cell r="P255" t="e">
            <v>#REF!</v>
          </cell>
          <cell r="Q255" t="str">
            <v>ТМ</v>
          </cell>
          <cell r="R255">
            <v>0</v>
          </cell>
          <cell r="S255">
            <v>0</v>
          </cell>
          <cell r="T255" t="str">
            <v>ВИРОБН</v>
          </cell>
          <cell r="U255" t="e">
            <v>#REF!</v>
          </cell>
          <cell r="V255" t="e">
            <v>#REF!</v>
          </cell>
          <cell r="W255" t="e">
            <v>#REF!</v>
          </cell>
          <cell r="X255" t="e">
            <v>#REF!</v>
          </cell>
          <cell r="Y255" t="str">
            <v>Е/Е</v>
          </cell>
          <cell r="Z255" t="str">
            <v xml:space="preserve"> Т/Е</v>
          </cell>
          <cell r="AA255">
            <v>2709.5690909090908</v>
          </cell>
        </row>
        <row r="256">
          <cell r="C256" t="e">
            <v>#REF!</v>
          </cell>
          <cell r="I256">
            <v>0</v>
          </cell>
          <cell r="J256">
            <v>0</v>
          </cell>
          <cell r="M256" t="e">
            <v>#REF!</v>
          </cell>
          <cell r="P256" t="e">
            <v>#REF!</v>
          </cell>
          <cell r="S256">
            <v>0</v>
          </cell>
          <cell r="T256">
            <v>1750.1999999999996</v>
          </cell>
          <cell r="U256" t="e">
            <v>#REF!</v>
          </cell>
          <cell r="V256" t="e">
            <v>#REF!</v>
          </cell>
          <cell r="W256" t="e">
            <v>#REF!</v>
          </cell>
          <cell r="X256" t="e">
            <v>#REF!</v>
          </cell>
          <cell r="AA256">
            <v>624</v>
          </cell>
        </row>
        <row r="257">
          <cell r="C257" t="e">
            <v>#REF!</v>
          </cell>
          <cell r="I257" t="e">
            <v>#REF!</v>
          </cell>
          <cell r="J257" t="e">
            <v>#REF!</v>
          </cell>
          <cell r="M257" t="e">
            <v>#REF!</v>
          </cell>
          <cell r="N257" t="e">
            <v>#REF!</v>
          </cell>
          <cell r="O257">
            <v>0</v>
          </cell>
          <cell r="P257" t="e">
            <v>#REF!</v>
          </cell>
          <cell r="Q257" t="e">
            <v>#REF!</v>
          </cell>
          <cell r="R257">
            <v>0</v>
          </cell>
          <cell r="S257">
            <v>0</v>
          </cell>
          <cell r="T257">
            <v>0</v>
          </cell>
          <cell r="U257" t="e">
            <v>#REF!</v>
          </cell>
          <cell r="V257" t="e">
            <v>#REF!</v>
          </cell>
          <cell r="W257">
            <v>0</v>
          </cell>
          <cell r="X257">
            <v>0</v>
          </cell>
          <cell r="Y257">
            <v>0</v>
          </cell>
          <cell r="Z257">
            <v>0</v>
          </cell>
          <cell r="AA257">
            <v>18</v>
          </cell>
        </row>
        <row r="258">
          <cell r="C258" t="e">
            <v>#REF!</v>
          </cell>
          <cell r="I258">
            <v>0</v>
          </cell>
          <cell r="J258">
            <v>0</v>
          </cell>
          <cell r="M258" t="e">
            <v>#REF!</v>
          </cell>
          <cell r="N258" t="e">
            <v>#REF!</v>
          </cell>
          <cell r="O258" t="e">
            <v>#REF!</v>
          </cell>
          <cell r="P258" t="e">
            <v>#REF!</v>
          </cell>
          <cell r="Q258" t="e">
            <v>#REF!</v>
          </cell>
          <cell r="R258" t="e">
            <v>#REF!</v>
          </cell>
          <cell r="S258">
            <v>0</v>
          </cell>
          <cell r="T258">
            <v>2221.1818606060606</v>
          </cell>
          <cell r="U258">
            <v>2612.759351515152</v>
          </cell>
          <cell r="V258">
            <v>0</v>
          </cell>
          <cell r="W258" t="e">
            <v>#REF!</v>
          </cell>
          <cell r="X258" t="e">
            <v>#REF!</v>
          </cell>
          <cell r="Y258">
            <v>1372</v>
          </cell>
          <cell r="Z258">
            <v>484.85303030302975</v>
          </cell>
          <cell r="AA258">
            <v>0</v>
          </cell>
        </row>
        <row r="259">
          <cell r="C259" t="e">
            <v>#REF!</v>
          </cell>
          <cell r="I259" t="e">
            <v>#REF!</v>
          </cell>
          <cell r="J259" t="e">
            <v>#REF!</v>
          </cell>
          <cell r="M259" t="e">
            <v>#REF!</v>
          </cell>
          <cell r="P259" t="e">
            <v>#REF!</v>
          </cell>
          <cell r="S259" t="e">
            <v>#REF!</v>
          </cell>
          <cell r="T259">
            <v>1413.9233333333332</v>
          </cell>
          <cell r="U259" t="e">
            <v>#REF!</v>
          </cell>
          <cell r="V259" t="e">
            <v>#REF!</v>
          </cell>
          <cell r="W259" t="e">
            <v>#REF!</v>
          </cell>
          <cell r="X259" t="e">
            <v>#REF!</v>
          </cell>
          <cell r="Y259">
            <v>691</v>
          </cell>
          <cell r="Z259">
            <v>244.46666666666613</v>
          </cell>
        </row>
        <row r="260">
          <cell r="C260" t="e">
            <v>#REF!</v>
          </cell>
          <cell r="D260" t="e">
            <v>#REF!</v>
          </cell>
          <cell r="E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v>0</v>
          </cell>
          <cell r="U260" t="e">
            <v>#REF!</v>
          </cell>
          <cell r="V260" t="e">
            <v>#REF!</v>
          </cell>
          <cell r="W260" t="e">
            <v>#REF!</v>
          </cell>
          <cell r="X260" t="e">
            <v>#REF!</v>
          </cell>
          <cell r="Y260">
            <v>0</v>
          </cell>
          <cell r="Z260">
            <v>0</v>
          </cell>
          <cell r="AA260">
            <v>0</v>
          </cell>
        </row>
        <row r="261">
          <cell r="C261" t="e">
            <v>#REF!</v>
          </cell>
          <cell r="D261" t="e">
            <v>#REF!</v>
          </cell>
          <cell r="E261" t="e">
            <v>#REF!</v>
          </cell>
          <cell r="I261" t="e">
            <v>#REF!</v>
          </cell>
          <cell r="J261" t="e">
            <v>#REF!</v>
          </cell>
          <cell r="K261" t="e">
            <v>#REF!</v>
          </cell>
          <cell r="L261" t="e">
            <v>#REF!</v>
          </cell>
          <cell r="M261" t="e">
            <v>#REF!</v>
          </cell>
          <cell r="N261" t="e">
            <v>#REF!</v>
          </cell>
          <cell r="O261" t="e">
            <v>#REF!</v>
          </cell>
          <cell r="P261" t="e">
            <v>#REF!</v>
          </cell>
          <cell r="Q261" t="e">
            <v>#REF!</v>
          </cell>
          <cell r="R261" t="e">
            <v>#REF!</v>
          </cell>
          <cell r="S261">
            <v>0</v>
          </cell>
          <cell r="T261">
            <v>0</v>
          </cell>
          <cell r="U261" t="e">
            <v>#REF!</v>
          </cell>
          <cell r="V261" t="e">
            <v>#REF!</v>
          </cell>
          <cell r="W261" t="e">
            <v>#REF!</v>
          </cell>
        </row>
        <row r="262">
          <cell r="C262" t="e">
            <v>#REF!</v>
          </cell>
          <cell r="I262" t="e">
            <v>#REF!</v>
          </cell>
          <cell r="J262" t="e">
            <v>#REF!</v>
          </cell>
          <cell r="K262" t="e">
            <v>#REF!</v>
          </cell>
          <cell r="L262" t="e">
            <v>#REF!</v>
          </cell>
          <cell r="M262" t="e">
            <v>#REF!</v>
          </cell>
          <cell r="N262" t="e">
            <v>#REF!</v>
          </cell>
          <cell r="O262" t="e">
            <v>#REF!</v>
          </cell>
          <cell r="P262" t="e">
            <v>#REF!</v>
          </cell>
          <cell r="Q262" t="e">
            <v>#REF!</v>
          </cell>
          <cell r="R262" t="e">
            <v>#REF!</v>
          </cell>
          <cell r="S262">
            <v>0</v>
          </cell>
          <cell r="T262">
            <v>16</v>
          </cell>
          <cell r="U262" t="e">
            <v>#REF!</v>
          </cell>
          <cell r="W262" t="e">
            <v>#REF!</v>
          </cell>
        </row>
        <row r="263">
          <cell r="C263" t="e">
            <v>#REF!</v>
          </cell>
          <cell r="I263" t="e">
            <v>#REF!</v>
          </cell>
          <cell r="J263" t="e">
            <v>#REF!</v>
          </cell>
          <cell r="K263" t="e">
            <v>#REF!</v>
          </cell>
          <cell r="L263" t="e">
            <v>#REF!</v>
          </cell>
          <cell r="M263" t="e">
            <v>#REF!</v>
          </cell>
          <cell r="N263" t="e">
            <v>#REF!</v>
          </cell>
          <cell r="O263" t="e">
            <v>#REF!</v>
          </cell>
          <cell r="P263" t="e">
            <v>#REF!</v>
          </cell>
          <cell r="Q263" t="e">
            <v>#REF!</v>
          </cell>
          <cell r="R263" t="e">
            <v>#REF!</v>
          </cell>
          <cell r="S263">
            <v>0</v>
          </cell>
          <cell r="T263">
            <v>51</v>
          </cell>
          <cell r="U263" t="e">
            <v>#REF!</v>
          </cell>
          <cell r="V263">
            <v>0</v>
          </cell>
          <cell r="W263" t="e">
            <v>#REF!</v>
          </cell>
          <cell r="X263" t="e">
            <v>#REF!</v>
          </cell>
          <cell r="Y263">
            <v>0</v>
          </cell>
          <cell r="Z263">
            <v>0</v>
          </cell>
          <cell r="AA263">
            <v>0</v>
          </cell>
        </row>
        <row r="264">
          <cell r="C264" t="e">
            <v>#REF!</v>
          </cell>
          <cell r="I264" t="e">
            <v>#REF!</v>
          </cell>
          <cell r="J264" t="e">
            <v>#REF!</v>
          </cell>
          <cell r="K264" t="e">
            <v>#REF!</v>
          </cell>
          <cell r="L264" t="e">
            <v>#REF!</v>
          </cell>
          <cell r="M264" t="e">
            <v>#REF!</v>
          </cell>
          <cell r="N264" t="e">
            <v>#REF!</v>
          </cell>
          <cell r="O264" t="e">
            <v>#REF!</v>
          </cell>
          <cell r="P264" t="e">
            <v>#REF!</v>
          </cell>
          <cell r="Q264" t="e">
            <v>#REF!</v>
          </cell>
          <cell r="R264" t="e">
            <v>#REF!</v>
          </cell>
          <cell r="S264">
            <v>0</v>
          </cell>
          <cell r="T264">
            <v>12</v>
          </cell>
          <cell r="U264" t="e">
            <v>#REF!</v>
          </cell>
          <cell r="V264" t="e">
            <v>#REF!</v>
          </cell>
          <cell r="W264">
            <v>0</v>
          </cell>
          <cell r="X264" t="e">
            <v>#REF!</v>
          </cell>
        </row>
        <row r="265">
          <cell r="C265">
            <v>0</v>
          </cell>
          <cell r="I265" t="e">
            <v>#REF!</v>
          </cell>
          <cell r="J265" t="e">
            <v>#REF!</v>
          </cell>
          <cell r="M265" t="e">
            <v>#REF!</v>
          </cell>
          <cell r="N265" t="e">
            <v>#REF!</v>
          </cell>
          <cell r="O265" t="e">
            <v>#REF!</v>
          </cell>
          <cell r="P265" t="e">
            <v>#REF!</v>
          </cell>
          <cell r="Q265" t="e">
            <v>#REF!</v>
          </cell>
          <cell r="R265" t="e">
            <v>#REF!</v>
          </cell>
          <cell r="S265">
            <v>0</v>
          </cell>
          <cell r="U265">
            <v>0</v>
          </cell>
          <cell r="V265" t="e">
            <v>#REF!</v>
          </cell>
        </row>
        <row r="266">
          <cell r="I266">
            <v>0</v>
          </cell>
          <cell r="P266">
            <v>0</v>
          </cell>
          <cell r="S266">
            <v>0</v>
          </cell>
          <cell r="V266">
            <v>0</v>
          </cell>
          <cell r="AA266">
            <v>0</v>
          </cell>
        </row>
        <row r="267">
          <cell r="J267">
            <v>413</v>
          </cell>
        </row>
        <row r="268">
          <cell r="P268">
            <v>3090</v>
          </cell>
          <cell r="S268">
            <v>0</v>
          </cell>
          <cell r="V268">
            <v>0</v>
          </cell>
          <cell r="AA268">
            <v>18</v>
          </cell>
        </row>
        <row r="269">
          <cell r="P269">
            <v>0</v>
          </cell>
          <cell r="Q269">
            <v>0</v>
          </cell>
          <cell r="R269">
            <v>0</v>
          </cell>
          <cell r="S269">
            <v>0</v>
          </cell>
          <cell r="T269">
            <v>0</v>
          </cell>
          <cell r="U269">
            <v>0</v>
          </cell>
          <cell r="V269">
            <v>2576.1318181818187</v>
          </cell>
          <cell r="W269">
            <v>0</v>
          </cell>
          <cell r="X269">
            <v>0</v>
          </cell>
          <cell r="Y269">
            <v>0</v>
          </cell>
          <cell r="Z269">
            <v>0</v>
          </cell>
          <cell r="AA269">
            <v>2727.5690909090908</v>
          </cell>
        </row>
        <row r="270">
          <cell r="P270">
            <v>1965.62</v>
          </cell>
          <cell r="Q270">
            <v>0</v>
          </cell>
          <cell r="R270">
            <v>0</v>
          </cell>
          <cell r="S270">
            <v>4127.5200000000004</v>
          </cell>
          <cell r="T270">
            <v>717.75479999999993</v>
          </cell>
          <cell r="U270">
            <v>735.76520000000005</v>
          </cell>
          <cell r="V270">
            <v>1973.95</v>
          </cell>
          <cell r="W270">
            <v>951</v>
          </cell>
          <cell r="X270">
            <v>222.13181818181818</v>
          </cell>
          <cell r="Y270">
            <v>0</v>
          </cell>
          <cell r="Z270">
            <v>0</v>
          </cell>
          <cell r="AA270">
            <v>623.99333333333334</v>
          </cell>
        </row>
        <row r="271">
          <cell r="P271">
            <v>0</v>
          </cell>
          <cell r="S271">
            <v>0</v>
          </cell>
          <cell r="T271">
            <v>707.75479999999993</v>
          </cell>
          <cell r="U271">
            <v>735.76520000000005</v>
          </cell>
          <cell r="V271">
            <v>721.95</v>
          </cell>
          <cell r="W271">
            <v>213</v>
          </cell>
          <cell r="X271">
            <v>0</v>
          </cell>
          <cell r="AA271">
            <v>597.66</v>
          </cell>
        </row>
        <row r="272">
          <cell r="P272">
            <v>3642.12</v>
          </cell>
          <cell r="Q272">
            <v>0</v>
          </cell>
          <cell r="R272">
            <v>0</v>
          </cell>
          <cell r="S272">
            <v>4914.9412121212117</v>
          </cell>
          <cell r="T272">
            <v>0</v>
          </cell>
          <cell r="U272">
            <v>0</v>
          </cell>
          <cell r="V272">
            <v>0</v>
          </cell>
          <cell r="W272">
            <v>0</v>
          </cell>
          <cell r="X272">
            <v>1941.8530303030293</v>
          </cell>
          <cell r="Y272">
            <v>0</v>
          </cell>
          <cell r="Z272">
            <v>0</v>
          </cell>
          <cell r="AA272">
            <v>0</v>
          </cell>
        </row>
        <row r="273">
          <cell r="P273">
            <v>1933.62</v>
          </cell>
          <cell r="Q273">
            <v>0</v>
          </cell>
          <cell r="R273">
            <v>0</v>
          </cell>
          <cell r="S273">
            <v>3984.42</v>
          </cell>
          <cell r="T273">
            <v>654.3785272727273</v>
          </cell>
          <cell r="U273">
            <v>670.49601818181827</v>
          </cell>
          <cell r="V273">
            <v>0</v>
          </cell>
          <cell r="W273">
            <v>0</v>
          </cell>
          <cell r="X273">
            <v>1314.75</v>
          </cell>
          <cell r="Y273">
            <v>522</v>
          </cell>
          <cell r="Z273">
            <v>184.38636363636363</v>
          </cell>
          <cell r="AA273">
            <v>0</v>
          </cell>
        </row>
        <row r="274">
          <cell r="P274">
            <v>955.62</v>
          </cell>
          <cell r="S274">
            <v>1895.42</v>
          </cell>
          <cell r="T274">
            <v>644.3785272727273</v>
          </cell>
          <cell r="U274">
            <v>670.49601818181827</v>
          </cell>
          <cell r="V274">
            <v>132</v>
          </cell>
          <cell r="X274">
            <v>640.75</v>
          </cell>
          <cell r="Y274">
            <v>274</v>
          </cell>
          <cell r="Z274">
            <v>96.386363636363626</v>
          </cell>
          <cell r="AA274">
            <v>100</v>
          </cell>
        </row>
        <row r="275">
          <cell r="N275" t="str">
            <v>Собівартість</v>
          </cell>
          <cell r="P275">
            <v>0</v>
          </cell>
          <cell r="Q275">
            <v>0</v>
          </cell>
          <cell r="R275">
            <v>0</v>
          </cell>
          <cell r="S275">
            <v>10</v>
          </cell>
          <cell r="T275">
            <v>10</v>
          </cell>
          <cell r="U275">
            <v>0</v>
          </cell>
          <cell r="V275">
            <v>0</v>
          </cell>
          <cell r="W275">
            <v>0</v>
          </cell>
          <cell r="X275">
            <v>336</v>
          </cell>
          <cell r="Y275">
            <v>248</v>
          </cell>
          <cell r="Z275">
            <v>88</v>
          </cell>
          <cell r="AA275">
            <v>0</v>
          </cell>
        </row>
        <row r="276">
          <cell r="P276">
            <v>-25</v>
          </cell>
          <cell r="Q276">
            <v>0</v>
          </cell>
          <cell r="R276">
            <v>0</v>
          </cell>
          <cell r="S276">
            <v>1409</v>
          </cell>
          <cell r="T276">
            <v>0</v>
          </cell>
          <cell r="U276">
            <v>0</v>
          </cell>
          <cell r="V276">
            <v>0</v>
          </cell>
          <cell r="W276">
            <v>0</v>
          </cell>
          <cell r="X276">
            <v>338</v>
          </cell>
          <cell r="Y276">
            <v>0</v>
          </cell>
          <cell r="Z276">
            <v>0</v>
          </cell>
          <cell r="AA276">
            <v>0</v>
          </cell>
        </row>
        <row r="277">
          <cell r="P277">
            <v>-1.375</v>
          </cell>
          <cell r="S277">
            <v>750</v>
          </cell>
          <cell r="V277">
            <v>66</v>
          </cell>
          <cell r="X277">
            <v>115</v>
          </cell>
          <cell r="AA277">
            <v>50</v>
          </cell>
        </row>
        <row r="278">
          <cell r="N278" t="str">
            <v>Собівартість</v>
          </cell>
          <cell r="P278">
            <v>-8</v>
          </cell>
          <cell r="Q278">
            <v>0</v>
          </cell>
          <cell r="R278">
            <v>0</v>
          </cell>
          <cell r="S278">
            <v>84</v>
          </cell>
          <cell r="T278">
            <v>0</v>
          </cell>
          <cell r="U278">
            <v>0</v>
          </cell>
          <cell r="V278">
            <v>0</v>
          </cell>
          <cell r="W278">
            <v>0</v>
          </cell>
          <cell r="X278">
            <v>57</v>
          </cell>
          <cell r="Y278">
            <v>0</v>
          </cell>
          <cell r="Z278">
            <v>0</v>
          </cell>
          <cell r="AA278">
            <v>-300</v>
          </cell>
        </row>
        <row r="279">
          <cell r="P279">
            <v>-2.1590909090909096</v>
          </cell>
          <cell r="S279">
            <v>430</v>
          </cell>
          <cell r="V279">
            <v>0</v>
          </cell>
          <cell r="X279">
            <v>100</v>
          </cell>
          <cell r="AA279">
            <v>-300</v>
          </cell>
        </row>
        <row r="280">
          <cell r="P280">
            <v>145</v>
          </cell>
          <cell r="S280">
            <v>145</v>
          </cell>
          <cell r="V280">
            <v>0</v>
          </cell>
          <cell r="X280">
            <v>66</v>
          </cell>
          <cell r="AA280">
            <v>0</v>
          </cell>
        </row>
        <row r="281">
          <cell r="P281">
            <v>14</v>
          </cell>
          <cell r="Q281">
            <v>0</v>
          </cell>
          <cell r="R281">
            <v>0</v>
          </cell>
          <cell r="S281">
            <v>420</v>
          </cell>
          <cell r="T281">
            <v>0</v>
          </cell>
          <cell r="U281">
            <v>0</v>
          </cell>
          <cell r="V281">
            <v>0</v>
          </cell>
          <cell r="W281">
            <v>0</v>
          </cell>
          <cell r="X281">
            <v>0</v>
          </cell>
          <cell r="Y281">
            <v>0</v>
          </cell>
          <cell r="Z281">
            <v>0</v>
          </cell>
          <cell r="AA281">
            <v>0</v>
          </cell>
        </row>
        <row r="282">
          <cell r="P282">
            <v>0</v>
          </cell>
          <cell r="S282">
            <v>0</v>
          </cell>
          <cell r="X282">
            <v>0</v>
          </cell>
        </row>
        <row r="283">
          <cell r="P283">
            <v>14</v>
          </cell>
          <cell r="Q283">
            <v>0</v>
          </cell>
          <cell r="R283">
            <v>0</v>
          </cell>
          <cell r="S283">
            <v>420</v>
          </cell>
          <cell r="T283">
            <v>-717.75479999999993</v>
          </cell>
          <cell r="U283">
            <v>-735.76520000000005</v>
          </cell>
          <cell r="V283">
            <v>602.1818181818187</v>
          </cell>
          <cell r="W283">
            <v>-951</v>
          </cell>
          <cell r="X283">
            <v>0</v>
          </cell>
          <cell r="Y283">
            <v>0</v>
          </cell>
          <cell r="Z283">
            <v>0</v>
          </cell>
          <cell r="AA283">
            <v>2103.5757575757575</v>
          </cell>
        </row>
        <row r="285">
          <cell r="N285" t="str">
            <v>ФМЗ ( з відрахуван)</v>
          </cell>
          <cell r="P285">
            <v>25</v>
          </cell>
          <cell r="Q285">
            <v>0</v>
          </cell>
          <cell r="R285">
            <v>0</v>
          </cell>
          <cell r="S285">
            <v>250</v>
          </cell>
          <cell r="T285">
            <v>0</v>
          </cell>
          <cell r="U285">
            <v>0</v>
          </cell>
          <cell r="V285">
            <v>602.18181818181824</v>
          </cell>
          <cell r="W285">
            <v>0</v>
          </cell>
          <cell r="X285">
            <v>0</v>
          </cell>
          <cell r="Y285">
            <v>0</v>
          </cell>
          <cell r="Z285">
            <v>0</v>
          </cell>
          <cell r="AA285">
            <v>2066.909090909091</v>
          </cell>
        </row>
        <row r="286">
          <cell r="P286">
            <v>1708.5</v>
          </cell>
          <cell r="Q286">
            <v>0</v>
          </cell>
          <cell r="R286">
            <v>0</v>
          </cell>
          <cell r="S286">
            <v>930.52121212121165</v>
          </cell>
          <cell r="T286">
            <v>-654.3785272727273</v>
          </cell>
          <cell r="U286">
            <v>-670.49601818181827</v>
          </cell>
          <cell r="V286">
            <v>0</v>
          </cell>
          <cell r="W286">
            <v>0</v>
          </cell>
          <cell r="X286">
            <v>627.1030303030293</v>
          </cell>
          <cell r="Y286">
            <v>-522</v>
          </cell>
          <cell r="Z286">
            <v>-184.38636363636363</v>
          </cell>
          <cell r="AA286">
            <v>0</v>
          </cell>
        </row>
        <row r="287">
          <cell r="P287">
            <v>655</v>
          </cell>
          <cell r="Q287">
            <v>0</v>
          </cell>
          <cell r="R287">
            <v>0</v>
          </cell>
          <cell r="S287">
            <v>655</v>
          </cell>
          <cell r="T287">
            <v>0</v>
          </cell>
          <cell r="U287">
            <v>0</v>
          </cell>
          <cell r="V287">
            <v>545.18181818181824</v>
          </cell>
          <cell r="W287">
            <v>0</v>
          </cell>
          <cell r="X287">
            <v>0</v>
          </cell>
          <cell r="Y287">
            <v>0</v>
          </cell>
          <cell r="Z287">
            <v>0</v>
          </cell>
          <cell r="AA287">
            <v>1510.909090909091</v>
          </cell>
        </row>
        <row r="288">
          <cell r="N288" t="str">
            <v>ФМЗ ( з відрахуван)</v>
          </cell>
          <cell r="P288">
            <v>25</v>
          </cell>
          <cell r="Q288">
            <v>0</v>
          </cell>
          <cell r="R288">
            <v>0</v>
          </cell>
          <cell r="S288">
            <v>5192.5212121212126</v>
          </cell>
          <cell r="T288">
            <v>0</v>
          </cell>
          <cell r="U288">
            <v>0</v>
          </cell>
          <cell r="V288">
            <v>0</v>
          </cell>
          <cell r="W288">
            <v>0</v>
          </cell>
          <cell r="X288">
            <v>627.10303030303021</v>
          </cell>
          <cell r="Y288">
            <v>0</v>
          </cell>
          <cell r="Z288">
            <v>0</v>
          </cell>
          <cell r="AA288">
            <v>0</v>
          </cell>
        </row>
        <row r="289">
          <cell r="P289">
            <v>1187</v>
          </cell>
          <cell r="S289">
            <v>3582</v>
          </cell>
          <cell r="V289">
            <v>0</v>
          </cell>
          <cell r="X289">
            <v>-15</v>
          </cell>
          <cell r="AA289">
            <v>0</v>
          </cell>
        </row>
        <row r="290">
          <cell r="P290">
            <v>450.5</v>
          </cell>
          <cell r="Q290">
            <v>0</v>
          </cell>
          <cell r="R290">
            <v>0</v>
          </cell>
          <cell r="S290">
            <v>1011.8545454545454</v>
          </cell>
          <cell r="T290">
            <v>0</v>
          </cell>
          <cell r="U290">
            <v>0</v>
          </cell>
          <cell r="V290">
            <v>0</v>
          </cell>
          <cell r="W290">
            <v>0</v>
          </cell>
          <cell r="X290">
            <v>554.43636363636358</v>
          </cell>
          <cell r="Y290">
            <v>0</v>
          </cell>
          <cell r="Z290">
            <v>0</v>
          </cell>
          <cell r="AA290">
            <v>0</v>
          </cell>
        </row>
        <row r="291">
          <cell r="P291">
            <v>0</v>
          </cell>
          <cell r="S291">
            <v>0</v>
          </cell>
          <cell r="V291">
            <v>11</v>
          </cell>
          <cell r="X291">
            <v>0</v>
          </cell>
          <cell r="AA291">
            <v>201</v>
          </cell>
        </row>
        <row r="292">
          <cell r="P292">
            <v>0</v>
          </cell>
          <cell r="S292">
            <v>0</v>
          </cell>
          <cell r="V292">
            <v>85</v>
          </cell>
          <cell r="X292">
            <v>0</v>
          </cell>
          <cell r="AA292">
            <v>84</v>
          </cell>
        </row>
        <row r="293">
          <cell r="P293">
            <v>129</v>
          </cell>
          <cell r="Q293">
            <v>0</v>
          </cell>
          <cell r="R293">
            <v>0</v>
          </cell>
          <cell r="S293">
            <v>517.66666666666663</v>
          </cell>
          <cell r="T293">
            <v>0</v>
          </cell>
          <cell r="U293">
            <v>0</v>
          </cell>
          <cell r="V293">
            <v>0</v>
          </cell>
          <cell r="W293">
            <v>0</v>
          </cell>
          <cell r="X293">
            <v>217</v>
          </cell>
          <cell r="Y293">
            <v>0</v>
          </cell>
          <cell r="Z293">
            <v>0</v>
          </cell>
          <cell r="AA293">
            <v>0</v>
          </cell>
        </row>
        <row r="294">
          <cell r="P294">
            <v>1</v>
          </cell>
          <cell r="S294">
            <v>97.666666666666629</v>
          </cell>
          <cell r="X294">
            <v>12</v>
          </cell>
        </row>
        <row r="295">
          <cell r="P295">
            <v>42</v>
          </cell>
          <cell r="S295">
            <v>319</v>
          </cell>
          <cell r="V295">
            <v>-129</v>
          </cell>
          <cell r="X295">
            <v>85</v>
          </cell>
          <cell r="AA295">
            <v>0</v>
          </cell>
        </row>
        <row r="296">
          <cell r="P296">
            <v>86</v>
          </cell>
          <cell r="Q296">
            <v>0</v>
          </cell>
          <cell r="R296">
            <v>0</v>
          </cell>
          <cell r="S296">
            <v>101</v>
          </cell>
          <cell r="T296">
            <v>-717.75479999999993</v>
          </cell>
          <cell r="U296">
            <v>-735.76520000000005</v>
          </cell>
          <cell r="V296">
            <v>602.1818181818187</v>
          </cell>
          <cell r="W296">
            <v>-951</v>
          </cell>
          <cell r="X296">
            <v>120</v>
          </cell>
          <cell r="Y296">
            <v>0</v>
          </cell>
          <cell r="Z296">
            <v>0</v>
          </cell>
          <cell r="AA296">
            <v>2103.5757575757575</v>
          </cell>
        </row>
        <row r="297">
          <cell r="P297">
            <v>0</v>
          </cell>
        </row>
        <row r="298">
          <cell r="P298">
            <v>62</v>
          </cell>
          <cell r="S298">
            <v>81</v>
          </cell>
          <cell r="X298">
            <v>-129.33333333333334</v>
          </cell>
        </row>
        <row r="299">
          <cell r="P299">
            <v>1708.5</v>
          </cell>
          <cell r="Q299">
            <v>0</v>
          </cell>
          <cell r="R299">
            <v>0</v>
          </cell>
          <cell r="S299">
            <v>930.52121212121165</v>
          </cell>
          <cell r="T299">
            <v>-654.3785272727273</v>
          </cell>
          <cell r="U299">
            <v>-670.49601818181827</v>
          </cell>
          <cell r="V299">
            <v>0</v>
          </cell>
          <cell r="W299">
            <v>0</v>
          </cell>
          <cell r="X299">
            <v>627.1030303030293</v>
          </cell>
          <cell r="Y299">
            <v>-522</v>
          </cell>
          <cell r="Z299">
            <v>-184.38636363636363</v>
          </cell>
          <cell r="AA299">
            <v>0</v>
          </cell>
        </row>
        <row r="301">
          <cell r="P301">
            <v>0</v>
          </cell>
          <cell r="Q301">
            <v>0</v>
          </cell>
          <cell r="R301">
            <v>0</v>
          </cell>
          <cell r="S301">
            <v>0</v>
          </cell>
          <cell r="T301">
            <v>0</v>
          </cell>
          <cell r="U301">
            <v>0</v>
          </cell>
          <cell r="V301">
            <v>0</v>
          </cell>
          <cell r="W301">
            <v>0</v>
          </cell>
          <cell r="X301">
            <v>0</v>
          </cell>
          <cell r="Y301">
            <v>0</v>
          </cell>
          <cell r="Z301">
            <v>0</v>
          </cell>
          <cell r="AA301">
            <v>0</v>
          </cell>
        </row>
        <row r="302">
          <cell r="P302">
            <v>1708.5</v>
          </cell>
          <cell r="Q302">
            <v>0</v>
          </cell>
          <cell r="R302">
            <v>0</v>
          </cell>
          <cell r="S302">
            <v>930.52121212121165</v>
          </cell>
          <cell r="T302">
            <v>-654.3785272727273</v>
          </cell>
          <cell r="U302">
            <v>-670.49601818181827</v>
          </cell>
          <cell r="V302">
            <v>0</v>
          </cell>
          <cell r="W302">
            <v>0</v>
          </cell>
          <cell r="X302">
            <v>627.1030303030293</v>
          </cell>
          <cell r="Y302">
            <v>-522</v>
          </cell>
          <cell r="Z302">
            <v>-184.38636363636363</v>
          </cell>
          <cell r="AA302">
            <v>0</v>
          </cell>
        </row>
        <row r="304">
          <cell r="P304">
            <v>0</v>
          </cell>
          <cell r="Q304">
            <v>0</v>
          </cell>
          <cell r="R304">
            <v>0</v>
          </cell>
          <cell r="S304">
            <v>0</v>
          </cell>
          <cell r="T304">
            <v>0</v>
          </cell>
          <cell r="U304">
            <v>0</v>
          </cell>
          <cell r="V304">
            <v>0</v>
          </cell>
          <cell r="W304">
            <v>0</v>
          </cell>
          <cell r="X304">
            <v>0</v>
          </cell>
          <cell r="Y304">
            <v>0</v>
          </cell>
          <cell r="Z304">
            <v>0</v>
          </cell>
          <cell r="AA304">
            <v>0</v>
          </cell>
        </row>
        <row r="305">
          <cell r="P305">
            <v>0</v>
          </cell>
          <cell r="S305">
            <v>0</v>
          </cell>
          <cell r="X305">
            <v>0</v>
          </cell>
        </row>
        <row r="306">
          <cell r="P306">
            <v>0</v>
          </cell>
        </row>
        <row r="307">
          <cell r="P307">
            <v>1708.5</v>
          </cell>
          <cell r="Q307">
            <v>0</v>
          </cell>
          <cell r="R307">
            <v>0</v>
          </cell>
          <cell r="S307">
            <v>930.52121212121165</v>
          </cell>
          <cell r="T307">
            <v>-654.3785272727273</v>
          </cell>
          <cell r="U307">
            <v>-670.49601818181827</v>
          </cell>
          <cell r="V307">
            <v>0</v>
          </cell>
          <cell r="W307">
            <v>0</v>
          </cell>
          <cell r="X307">
            <v>627.1030303030293</v>
          </cell>
          <cell r="Y307">
            <v>-522</v>
          </cell>
          <cell r="Z307">
            <v>-184.38636363636363</v>
          </cell>
          <cell r="AA307">
            <v>0</v>
          </cell>
        </row>
        <row r="309">
          <cell r="P309">
            <v>0</v>
          </cell>
          <cell r="S309">
            <v>0</v>
          </cell>
        </row>
        <row r="310">
          <cell r="S310">
            <v>0</v>
          </cell>
        </row>
        <row r="312">
          <cell r="S312">
            <v>0</v>
          </cell>
        </row>
        <row r="314">
          <cell r="S314">
            <v>0</v>
          </cell>
        </row>
        <row r="315">
          <cell r="P315">
            <v>1115</v>
          </cell>
          <cell r="Q315">
            <v>0</v>
          </cell>
          <cell r="R315">
            <v>0</v>
          </cell>
          <cell r="S315">
            <v>4296</v>
          </cell>
          <cell r="T315">
            <v>-717.75479999999993</v>
          </cell>
          <cell r="U315">
            <v>-735.76520000000005</v>
          </cell>
          <cell r="V315">
            <v>602.1818181818187</v>
          </cell>
          <cell r="W315">
            <v>-951</v>
          </cell>
          <cell r="X315">
            <v>-222.13181818181818</v>
          </cell>
          <cell r="Y315">
            <v>0</v>
          </cell>
          <cell r="Z315">
            <v>0</v>
          </cell>
          <cell r="AA315">
            <v>2103.5757575757575</v>
          </cell>
        </row>
        <row r="317">
          <cell r="S317">
            <v>0</v>
          </cell>
        </row>
        <row r="318">
          <cell r="P318">
            <v>1708.5</v>
          </cell>
          <cell r="Q318">
            <v>0</v>
          </cell>
          <cell r="R318">
            <v>0</v>
          </cell>
          <cell r="S318">
            <v>930.52121212121165</v>
          </cell>
          <cell r="T318">
            <v>-654.3785272727273</v>
          </cell>
          <cell r="U318">
            <v>-670.49601818181827</v>
          </cell>
          <cell r="V318">
            <v>0</v>
          </cell>
          <cell r="W318">
            <v>0</v>
          </cell>
          <cell r="X318">
            <v>627.1030303030293</v>
          </cell>
          <cell r="Y318">
            <v>-522</v>
          </cell>
          <cell r="Z318">
            <v>-184.38636363636363</v>
          </cell>
          <cell r="AA318">
            <v>0</v>
          </cell>
        </row>
        <row r="325">
          <cell r="P325">
            <v>329</v>
          </cell>
          <cell r="S325">
            <v>570</v>
          </cell>
          <cell r="V325">
            <v>197</v>
          </cell>
          <cell r="AA325">
            <v>163</v>
          </cell>
        </row>
        <row r="328">
          <cell r="P328">
            <v>348</v>
          </cell>
          <cell r="S328">
            <v>517</v>
          </cell>
          <cell r="X328">
            <v>175</v>
          </cell>
        </row>
        <row r="348">
          <cell r="P348">
            <v>225</v>
          </cell>
          <cell r="S348">
            <v>296</v>
          </cell>
          <cell r="V348">
            <v>56</v>
          </cell>
          <cell r="AA348">
            <v>-78.090909090909093</v>
          </cell>
        </row>
        <row r="350">
          <cell r="P350">
            <v>0</v>
          </cell>
          <cell r="S350">
            <v>0</v>
          </cell>
          <cell r="V350">
            <v>0</v>
          </cell>
          <cell r="AA350">
            <v>0</v>
          </cell>
        </row>
        <row r="351">
          <cell r="P351">
            <v>225</v>
          </cell>
          <cell r="S351">
            <v>296</v>
          </cell>
          <cell r="X351">
            <v>56</v>
          </cell>
        </row>
        <row r="353">
          <cell r="P353">
            <v>0</v>
          </cell>
          <cell r="S353">
            <v>0</v>
          </cell>
          <cell r="X353">
            <v>0</v>
          </cell>
        </row>
        <row r="358">
          <cell r="P358">
            <v>0</v>
          </cell>
          <cell r="S358">
            <v>0</v>
          </cell>
          <cell r="T358">
            <v>162.88</v>
          </cell>
          <cell r="U358">
            <v>855.12</v>
          </cell>
          <cell r="V358">
            <v>471</v>
          </cell>
          <cell r="W358">
            <v>447</v>
          </cell>
          <cell r="X358">
            <v>104</v>
          </cell>
          <cell r="AA358">
            <v>273</v>
          </cell>
        </row>
        <row r="361">
          <cell r="P361">
            <v>0</v>
          </cell>
          <cell r="S361">
            <v>1018</v>
          </cell>
          <cell r="T361">
            <v>162.88</v>
          </cell>
          <cell r="U361">
            <v>855.12</v>
          </cell>
          <cell r="X361">
            <v>466</v>
          </cell>
          <cell r="Y361">
            <v>407</v>
          </cell>
          <cell r="Z361">
            <v>144</v>
          </cell>
        </row>
        <row r="381">
          <cell r="P381" t="str">
            <v>лютий</v>
          </cell>
          <cell r="V381" t="str">
            <v>лютий</v>
          </cell>
          <cell r="AA381" t="str">
            <v>лютий</v>
          </cell>
        </row>
        <row r="382">
          <cell r="P382" t="str">
            <v>ККМ</v>
          </cell>
          <cell r="V382" t="str">
            <v>ТЕЦ5</v>
          </cell>
          <cell r="AA382" t="str">
            <v>ТЕЦ6</v>
          </cell>
        </row>
        <row r="383">
          <cell r="P383" t="str">
            <v>ПЛАН</v>
          </cell>
          <cell r="V383" t="str">
            <v>ПЛАН</v>
          </cell>
          <cell r="AA383" t="str">
            <v>ПЛАН</v>
          </cell>
        </row>
        <row r="384">
          <cell r="P384" t="str">
            <v>лютий</v>
          </cell>
          <cell r="S384">
            <v>14.333333333333332</v>
          </cell>
          <cell r="V384">
            <v>182</v>
          </cell>
          <cell r="W384">
            <v>148</v>
          </cell>
          <cell r="X384" t="str">
            <v>лютий</v>
          </cell>
          <cell r="AA384">
            <v>323.66666666666674</v>
          </cell>
        </row>
        <row r="385">
          <cell r="P385" t="str">
            <v>ККМ</v>
          </cell>
          <cell r="V385">
            <v>0</v>
          </cell>
          <cell r="W385">
            <v>0</v>
          </cell>
          <cell r="X385" t="str">
            <v>ТЕЦ5</v>
          </cell>
          <cell r="AA385">
            <v>3.6666666666666665</v>
          </cell>
        </row>
        <row r="386">
          <cell r="P386" t="str">
            <v>ПЛАН</v>
          </cell>
          <cell r="V386">
            <v>146.66666666666666</v>
          </cell>
          <cell r="W386">
            <v>119</v>
          </cell>
          <cell r="X386" t="str">
            <v>ПЛАН</v>
          </cell>
          <cell r="AA386">
            <v>280.66666666666669</v>
          </cell>
        </row>
        <row r="387">
          <cell r="P387">
            <v>14.333333333333332</v>
          </cell>
          <cell r="S387">
            <v>14.333333333333332</v>
          </cell>
          <cell r="V387">
            <v>0</v>
          </cell>
          <cell r="W387">
            <v>0</v>
          </cell>
          <cell r="X387">
            <v>182</v>
          </cell>
          <cell r="Y387">
            <v>134</v>
          </cell>
          <cell r="Z387">
            <v>134</v>
          </cell>
          <cell r="AA387">
            <v>25</v>
          </cell>
        </row>
        <row r="388">
          <cell r="P388">
            <v>0</v>
          </cell>
          <cell r="V388">
            <v>25.333333333333332</v>
          </cell>
          <cell r="W388">
            <v>21</v>
          </cell>
          <cell r="X388">
            <v>0</v>
          </cell>
          <cell r="Y388">
            <v>0</v>
          </cell>
          <cell r="AA388">
            <v>0.66666666666666663</v>
          </cell>
        </row>
        <row r="389">
          <cell r="P389">
            <v>0.66666666666666663</v>
          </cell>
          <cell r="V389">
            <v>0</v>
          </cell>
          <cell r="W389">
            <v>0</v>
          </cell>
          <cell r="X389">
            <v>146.66666666666666</v>
          </cell>
          <cell r="Y389">
            <v>108</v>
          </cell>
          <cell r="AA389">
            <v>0</v>
          </cell>
        </row>
        <row r="390">
          <cell r="P390">
            <v>2</v>
          </cell>
          <cell r="V390">
            <v>0</v>
          </cell>
          <cell r="W390">
            <v>0</v>
          </cell>
          <cell r="X390">
            <v>0</v>
          </cell>
          <cell r="Y390">
            <v>0</v>
          </cell>
          <cell r="AA390">
            <v>0</v>
          </cell>
        </row>
        <row r="391">
          <cell r="P391">
            <v>0</v>
          </cell>
          <cell r="V391">
            <v>0</v>
          </cell>
          <cell r="W391">
            <v>0</v>
          </cell>
          <cell r="X391">
            <v>25.333333333333332</v>
          </cell>
          <cell r="Y391">
            <v>19</v>
          </cell>
          <cell r="AA391">
            <v>0</v>
          </cell>
        </row>
        <row r="392">
          <cell r="P392">
            <v>0</v>
          </cell>
          <cell r="V392">
            <v>0</v>
          </cell>
          <cell r="W392">
            <v>0</v>
          </cell>
          <cell r="X392">
            <v>0</v>
          </cell>
          <cell r="Y392">
            <v>0</v>
          </cell>
          <cell r="AA392">
            <v>0</v>
          </cell>
        </row>
        <row r="393">
          <cell r="P393">
            <v>0</v>
          </cell>
          <cell r="V393">
            <v>0</v>
          </cell>
          <cell r="W393">
            <v>0</v>
          </cell>
          <cell r="X393">
            <v>0</v>
          </cell>
          <cell r="Y393">
            <v>0</v>
          </cell>
          <cell r="AA393">
            <v>0</v>
          </cell>
        </row>
        <row r="394">
          <cell r="P394">
            <v>5.333333333333333</v>
          </cell>
          <cell r="V394">
            <v>10</v>
          </cell>
          <cell r="W394">
            <v>8</v>
          </cell>
          <cell r="X394">
            <v>0</v>
          </cell>
          <cell r="Y394">
            <v>0</v>
          </cell>
          <cell r="AA394">
            <v>13.666666666666666</v>
          </cell>
        </row>
        <row r="395">
          <cell r="P395">
            <v>0</v>
          </cell>
          <cell r="V395">
            <v>0</v>
          </cell>
          <cell r="W395">
            <v>0</v>
          </cell>
          <cell r="X395">
            <v>0</v>
          </cell>
          <cell r="Y395">
            <v>0</v>
          </cell>
          <cell r="AA395">
            <v>0</v>
          </cell>
        </row>
        <row r="396">
          <cell r="P396">
            <v>4.333333333333333</v>
          </cell>
          <cell r="V396">
            <v>522.33333333333337</v>
          </cell>
          <cell r="W396">
            <v>424</v>
          </cell>
          <cell r="X396">
            <v>0</v>
          </cell>
          <cell r="Y396">
            <v>0</v>
          </cell>
          <cell r="AA396">
            <v>43</v>
          </cell>
        </row>
        <row r="397">
          <cell r="P397">
            <v>2</v>
          </cell>
          <cell r="V397">
            <v>0</v>
          </cell>
          <cell r="W397">
            <v>0</v>
          </cell>
          <cell r="X397">
            <v>10</v>
          </cell>
          <cell r="Y397">
            <v>7</v>
          </cell>
          <cell r="AA397">
            <v>0</v>
          </cell>
        </row>
        <row r="398">
          <cell r="P398">
            <v>0</v>
          </cell>
          <cell r="V398">
            <v>480.66666666666669</v>
          </cell>
          <cell r="W398">
            <v>390</v>
          </cell>
          <cell r="X398">
            <v>0</v>
          </cell>
          <cell r="Y398">
            <v>0</v>
          </cell>
          <cell r="AA398">
            <v>11</v>
          </cell>
        </row>
        <row r="399">
          <cell r="P399">
            <v>20.5</v>
          </cell>
          <cell r="V399">
            <v>0</v>
          </cell>
          <cell r="W399">
            <v>0</v>
          </cell>
          <cell r="X399">
            <v>522.33333333333337</v>
          </cell>
          <cell r="Y399">
            <v>386</v>
          </cell>
          <cell r="AA399">
            <v>0</v>
          </cell>
        </row>
        <row r="400">
          <cell r="P400">
            <v>0</v>
          </cell>
          <cell r="V400">
            <v>41.666666666666664</v>
          </cell>
          <cell r="W400">
            <v>34</v>
          </cell>
          <cell r="X400">
            <v>0</v>
          </cell>
          <cell r="Y400">
            <v>0</v>
          </cell>
          <cell r="AA400">
            <v>32</v>
          </cell>
        </row>
        <row r="401">
          <cell r="P401">
            <v>0</v>
          </cell>
          <cell r="V401">
            <v>0</v>
          </cell>
          <cell r="W401">
            <v>0</v>
          </cell>
          <cell r="X401">
            <v>480.66666666666669</v>
          </cell>
          <cell r="Y401">
            <v>355</v>
          </cell>
          <cell r="AA401">
            <v>0</v>
          </cell>
        </row>
        <row r="402">
          <cell r="P402">
            <v>0</v>
          </cell>
          <cell r="V402">
            <v>0</v>
          </cell>
          <cell r="W402">
            <v>0</v>
          </cell>
          <cell r="X402">
            <v>0</v>
          </cell>
          <cell r="Y402">
            <v>0</v>
          </cell>
          <cell r="AA402">
            <v>0</v>
          </cell>
        </row>
        <row r="403">
          <cell r="P403">
            <v>15.833333333333334</v>
          </cell>
          <cell r="V403">
            <v>0</v>
          </cell>
          <cell r="W403">
            <v>0</v>
          </cell>
          <cell r="X403">
            <v>41.666666666666664</v>
          </cell>
          <cell r="Y403">
            <v>31</v>
          </cell>
          <cell r="AA403">
            <v>0</v>
          </cell>
        </row>
        <row r="404">
          <cell r="P404">
            <v>4.666666666666667</v>
          </cell>
          <cell r="V404">
            <v>0</v>
          </cell>
          <cell r="W404">
            <v>0</v>
          </cell>
          <cell r="X404">
            <v>0</v>
          </cell>
          <cell r="Y404">
            <v>0</v>
          </cell>
          <cell r="AA404">
            <v>0</v>
          </cell>
        </row>
        <row r="405">
          <cell r="P405">
            <v>0</v>
          </cell>
          <cell r="V405">
            <v>0</v>
          </cell>
          <cell r="W405">
            <v>0</v>
          </cell>
          <cell r="X405">
            <v>0</v>
          </cell>
          <cell r="Y405">
            <v>0</v>
          </cell>
          <cell r="AA405">
            <v>0</v>
          </cell>
        </row>
        <row r="406">
          <cell r="P406">
            <v>39</v>
          </cell>
          <cell r="V406">
            <v>0</v>
          </cell>
          <cell r="W406">
            <v>0</v>
          </cell>
          <cell r="X406">
            <v>0</v>
          </cell>
          <cell r="Y406">
            <v>0</v>
          </cell>
          <cell r="AA406">
            <v>0</v>
          </cell>
        </row>
        <row r="407">
          <cell r="P407">
            <v>3.3333333333333335</v>
          </cell>
          <cell r="S407">
            <v>50.166666666666671</v>
          </cell>
          <cell r="V407">
            <v>37.833333333333343</v>
          </cell>
          <cell r="W407">
            <v>31</v>
          </cell>
          <cell r="X407">
            <v>0</v>
          </cell>
          <cell r="Y407">
            <v>0</v>
          </cell>
          <cell r="AA407">
            <v>26.000000000000004</v>
          </cell>
        </row>
        <row r="408">
          <cell r="P408">
            <v>35.666666666666664</v>
          </cell>
          <cell r="V408">
            <v>0</v>
          </cell>
          <cell r="W408">
            <v>0</v>
          </cell>
          <cell r="X408">
            <v>0</v>
          </cell>
          <cell r="Y408">
            <v>0</v>
          </cell>
          <cell r="AA408">
            <v>0</v>
          </cell>
        </row>
        <row r="409">
          <cell r="P409">
            <v>0</v>
          </cell>
          <cell r="V409">
            <v>0</v>
          </cell>
          <cell r="W409">
            <v>0</v>
          </cell>
          <cell r="X409">
            <v>0</v>
          </cell>
          <cell r="Y409">
            <v>0</v>
          </cell>
          <cell r="AA409">
            <v>0</v>
          </cell>
        </row>
        <row r="410">
          <cell r="P410">
            <v>50.166666666666671</v>
          </cell>
          <cell r="S410">
            <v>50.166666666666671</v>
          </cell>
          <cell r="V410">
            <v>0</v>
          </cell>
          <cell r="W410">
            <v>0</v>
          </cell>
          <cell r="X410">
            <v>37.833333333333343</v>
          </cell>
          <cell r="Y410">
            <v>28</v>
          </cell>
          <cell r="AA410">
            <v>0</v>
          </cell>
        </row>
        <row r="411">
          <cell r="P411">
            <v>0</v>
          </cell>
          <cell r="V411">
            <v>0</v>
          </cell>
          <cell r="W411">
            <v>0</v>
          </cell>
          <cell r="X411">
            <v>0</v>
          </cell>
          <cell r="Y411">
            <v>0</v>
          </cell>
          <cell r="AA411">
            <v>0</v>
          </cell>
        </row>
        <row r="412">
          <cell r="P412">
            <v>0</v>
          </cell>
          <cell r="V412">
            <v>0</v>
          </cell>
          <cell r="W412">
            <v>0</v>
          </cell>
          <cell r="X412">
            <v>0</v>
          </cell>
          <cell r="Y412">
            <v>0</v>
          </cell>
          <cell r="AA412">
            <v>0</v>
          </cell>
        </row>
        <row r="413">
          <cell r="P413">
            <v>0</v>
          </cell>
          <cell r="V413">
            <v>3</v>
          </cell>
          <cell r="W413">
            <v>2</v>
          </cell>
          <cell r="X413">
            <v>0</v>
          </cell>
          <cell r="Y413">
            <v>0</v>
          </cell>
          <cell r="AA413">
            <v>3</v>
          </cell>
        </row>
        <row r="414">
          <cell r="P414">
            <v>12.333333333333334</v>
          </cell>
          <cell r="V414">
            <v>0</v>
          </cell>
          <cell r="W414">
            <v>0</v>
          </cell>
          <cell r="X414">
            <v>0</v>
          </cell>
          <cell r="Y414">
            <v>0</v>
          </cell>
          <cell r="AA414">
            <v>0</v>
          </cell>
        </row>
        <row r="415">
          <cell r="P415">
            <v>0</v>
          </cell>
          <cell r="V415">
            <v>0</v>
          </cell>
          <cell r="W415">
            <v>0</v>
          </cell>
          <cell r="X415">
            <v>0</v>
          </cell>
          <cell r="Y415">
            <v>0</v>
          </cell>
          <cell r="AA415">
            <v>0</v>
          </cell>
        </row>
        <row r="416">
          <cell r="P416">
            <v>5</v>
          </cell>
          <cell r="V416">
            <v>4.5</v>
          </cell>
          <cell r="W416">
            <v>4</v>
          </cell>
          <cell r="X416">
            <v>3</v>
          </cell>
          <cell r="Y416">
            <v>2</v>
          </cell>
          <cell r="AA416">
            <v>1.3333333333333333</v>
          </cell>
        </row>
        <row r="417">
          <cell r="P417">
            <v>0</v>
          </cell>
          <cell r="V417">
            <v>0</v>
          </cell>
          <cell r="W417">
            <v>0</v>
          </cell>
          <cell r="X417">
            <v>0</v>
          </cell>
          <cell r="Y417">
            <v>0</v>
          </cell>
          <cell r="AA417">
            <v>1.6666666666666667</v>
          </cell>
        </row>
        <row r="418">
          <cell r="P418">
            <v>0</v>
          </cell>
          <cell r="V418">
            <v>0</v>
          </cell>
          <cell r="W418">
            <v>0</v>
          </cell>
          <cell r="X418">
            <v>0</v>
          </cell>
          <cell r="Y418">
            <v>0</v>
          </cell>
          <cell r="AA418">
            <v>0</v>
          </cell>
        </row>
        <row r="419">
          <cell r="P419">
            <v>18.5</v>
          </cell>
          <cell r="V419">
            <v>10</v>
          </cell>
          <cell r="W419">
            <v>8</v>
          </cell>
          <cell r="X419">
            <v>4.5</v>
          </cell>
          <cell r="Y419">
            <v>3</v>
          </cell>
          <cell r="AA419">
            <v>7.666666666666667</v>
          </cell>
        </row>
        <row r="420">
          <cell r="P420">
            <v>1.3333333333333333</v>
          </cell>
          <cell r="V420">
            <v>1.3333333333333333</v>
          </cell>
          <cell r="W420">
            <v>1</v>
          </cell>
          <cell r="X420">
            <v>0</v>
          </cell>
          <cell r="Y420">
            <v>0</v>
          </cell>
          <cell r="AA420">
            <v>1</v>
          </cell>
        </row>
        <row r="421">
          <cell r="P421">
            <v>0</v>
          </cell>
          <cell r="V421">
            <v>1</v>
          </cell>
          <cell r="W421">
            <v>1</v>
          </cell>
          <cell r="X421">
            <v>0</v>
          </cell>
          <cell r="Y421">
            <v>0</v>
          </cell>
          <cell r="AA421">
            <v>0.66666666666666663</v>
          </cell>
        </row>
        <row r="422">
          <cell r="P422">
            <v>0</v>
          </cell>
          <cell r="V422">
            <v>6</v>
          </cell>
          <cell r="W422">
            <v>5</v>
          </cell>
          <cell r="X422">
            <v>10</v>
          </cell>
          <cell r="Y422">
            <v>7</v>
          </cell>
          <cell r="AA422">
            <v>5</v>
          </cell>
        </row>
        <row r="423">
          <cell r="P423">
            <v>2</v>
          </cell>
          <cell r="V423">
            <v>0</v>
          </cell>
          <cell r="W423">
            <v>0</v>
          </cell>
          <cell r="X423">
            <v>1.3333333333333333</v>
          </cell>
          <cell r="Y423">
            <v>1</v>
          </cell>
          <cell r="AA423">
            <v>0</v>
          </cell>
        </row>
        <row r="424">
          <cell r="P424">
            <v>0.33333333333333331</v>
          </cell>
          <cell r="V424">
            <v>0</v>
          </cell>
          <cell r="W424">
            <v>0</v>
          </cell>
          <cell r="X424">
            <v>1</v>
          </cell>
          <cell r="Y424">
            <v>1</v>
          </cell>
          <cell r="AA424">
            <v>0</v>
          </cell>
        </row>
        <row r="425">
          <cell r="P425">
            <v>2.3333333333333335</v>
          </cell>
          <cell r="V425">
            <v>0</v>
          </cell>
          <cell r="W425">
            <v>0</v>
          </cell>
          <cell r="X425">
            <v>6</v>
          </cell>
          <cell r="Y425">
            <v>4</v>
          </cell>
          <cell r="AA425">
            <v>0</v>
          </cell>
        </row>
        <row r="426">
          <cell r="P426">
            <v>0</v>
          </cell>
          <cell r="V426">
            <v>0</v>
          </cell>
          <cell r="W426">
            <v>0</v>
          </cell>
          <cell r="X426">
            <v>0</v>
          </cell>
          <cell r="Y426">
            <v>0</v>
          </cell>
          <cell r="AA426">
            <v>0</v>
          </cell>
        </row>
        <row r="427">
          <cell r="P427">
            <v>0</v>
          </cell>
          <cell r="V427">
            <v>0.66666666666666663</v>
          </cell>
          <cell r="W427">
            <v>1</v>
          </cell>
          <cell r="X427">
            <v>0</v>
          </cell>
          <cell r="Y427">
            <v>0</v>
          </cell>
          <cell r="AA427">
            <v>0.66666666666666663</v>
          </cell>
        </row>
        <row r="428">
          <cell r="P428">
            <v>1</v>
          </cell>
          <cell r="V428">
            <v>0.66666666666666663</v>
          </cell>
          <cell r="W428">
            <v>1</v>
          </cell>
          <cell r="X428">
            <v>0</v>
          </cell>
          <cell r="Y428">
            <v>0</v>
          </cell>
          <cell r="AA428">
            <v>0.66666666666666663</v>
          </cell>
        </row>
        <row r="429">
          <cell r="P429">
            <v>0</v>
          </cell>
          <cell r="V429">
            <v>3</v>
          </cell>
          <cell r="W429">
            <v>2</v>
          </cell>
          <cell r="X429">
            <v>0</v>
          </cell>
          <cell r="Y429">
            <v>0</v>
          </cell>
          <cell r="AA429">
            <v>2</v>
          </cell>
        </row>
        <row r="430">
          <cell r="P430">
            <v>0.66666666666666663</v>
          </cell>
          <cell r="V430">
            <v>0</v>
          </cell>
          <cell r="W430">
            <v>0</v>
          </cell>
          <cell r="X430">
            <v>0.66666666666666663</v>
          </cell>
          <cell r="Y430">
            <v>0</v>
          </cell>
          <cell r="AA430">
            <v>0</v>
          </cell>
        </row>
        <row r="431">
          <cell r="P431">
            <v>0.66666666666666663</v>
          </cell>
          <cell r="V431">
            <v>0</v>
          </cell>
          <cell r="W431">
            <v>0</v>
          </cell>
          <cell r="X431">
            <v>0.66666666666666663</v>
          </cell>
          <cell r="Y431">
            <v>0</v>
          </cell>
          <cell r="AA431">
            <v>0</v>
          </cell>
        </row>
        <row r="432">
          <cell r="P432">
            <v>4.666666666666667</v>
          </cell>
          <cell r="V432">
            <v>0</v>
          </cell>
          <cell r="W432">
            <v>0</v>
          </cell>
          <cell r="X432">
            <v>3</v>
          </cell>
          <cell r="Y432">
            <v>2</v>
          </cell>
          <cell r="AA432">
            <v>0</v>
          </cell>
        </row>
        <row r="433">
          <cell r="P433">
            <v>0</v>
          </cell>
          <cell r="V433">
            <v>0</v>
          </cell>
          <cell r="W433">
            <v>0</v>
          </cell>
          <cell r="X433">
            <v>0</v>
          </cell>
          <cell r="Y433">
            <v>0</v>
          </cell>
          <cell r="AA433">
            <v>0</v>
          </cell>
        </row>
        <row r="434">
          <cell r="P434">
            <v>0</v>
          </cell>
          <cell r="V434">
            <v>0</v>
          </cell>
          <cell r="W434">
            <v>0</v>
          </cell>
          <cell r="X434">
            <v>0</v>
          </cell>
          <cell r="Y434">
            <v>0</v>
          </cell>
          <cell r="AA434">
            <v>0</v>
          </cell>
        </row>
        <row r="435">
          <cell r="P435">
            <v>0</v>
          </cell>
          <cell r="V435">
            <v>4</v>
          </cell>
          <cell r="W435">
            <v>3</v>
          </cell>
          <cell r="X435">
            <v>0</v>
          </cell>
          <cell r="Y435">
            <v>0</v>
          </cell>
          <cell r="AA435">
            <v>2</v>
          </cell>
        </row>
        <row r="436">
          <cell r="P436">
            <v>0</v>
          </cell>
          <cell r="V436">
            <v>0</v>
          </cell>
          <cell r="W436">
            <v>0</v>
          </cell>
          <cell r="X436">
            <v>0</v>
          </cell>
          <cell r="Y436">
            <v>0</v>
          </cell>
          <cell r="AA436">
            <v>0</v>
          </cell>
        </row>
        <row r="437">
          <cell r="P437">
            <v>0</v>
          </cell>
          <cell r="V437">
            <v>3.3333333333333335</v>
          </cell>
          <cell r="W437">
            <v>3</v>
          </cell>
          <cell r="X437">
            <v>0</v>
          </cell>
          <cell r="Y437">
            <v>0</v>
          </cell>
          <cell r="AA437">
            <v>0</v>
          </cell>
        </row>
        <row r="438">
          <cell r="P438">
            <v>1</v>
          </cell>
          <cell r="V438">
            <v>0.33333333333333331</v>
          </cell>
          <cell r="W438">
            <v>0</v>
          </cell>
          <cell r="X438">
            <v>4</v>
          </cell>
          <cell r="Y438">
            <v>3</v>
          </cell>
          <cell r="AA438">
            <v>0.33333333333333331</v>
          </cell>
        </row>
        <row r="439">
          <cell r="P439">
            <v>0</v>
          </cell>
          <cell r="V439">
            <v>0</v>
          </cell>
          <cell r="W439">
            <v>0</v>
          </cell>
          <cell r="X439">
            <v>0</v>
          </cell>
          <cell r="Y439">
            <v>0</v>
          </cell>
          <cell r="AA439">
            <v>0</v>
          </cell>
        </row>
        <row r="440">
          <cell r="P440">
            <v>0</v>
          </cell>
          <cell r="V440">
            <v>0</v>
          </cell>
          <cell r="W440">
            <v>0</v>
          </cell>
          <cell r="X440">
            <v>3.3333333333333335</v>
          </cell>
          <cell r="Y440">
            <v>2</v>
          </cell>
          <cell r="AA440">
            <v>0</v>
          </cell>
        </row>
        <row r="441">
          <cell r="P441">
            <v>0.33333333333333331</v>
          </cell>
          <cell r="V441">
            <v>0</v>
          </cell>
          <cell r="W441">
            <v>0</v>
          </cell>
          <cell r="X441">
            <v>0.33333333333333331</v>
          </cell>
          <cell r="Y441">
            <v>0</v>
          </cell>
          <cell r="AA441">
            <v>0</v>
          </cell>
        </row>
        <row r="442">
          <cell r="P442">
            <v>0</v>
          </cell>
          <cell r="V442">
            <v>0</v>
          </cell>
          <cell r="W442">
            <v>0</v>
          </cell>
          <cell r="X442">
            <v>0</v>
          </cell>
          <cell r="Y442">
            <v>0</v>
          </cell>
          <cell r="AA442">
            <v>0</v>
          </cell>
        </row>
        <row r="443">
          <cell r="P443">
            <v>0</v>
          </cell>
          <cell r="V443">
            <v>0</v>
          </cell>
          <cell r="W443">
            <v>0</v>
          </cell>
          <cell r="X443">
            <v>0</v>
          </cell>
          <cell r="Y443">
            <v>0</v>
          </cell>
          <cell r="AA443">
            <v>0</v>
          </cell>
        </row>
        <row r="444">
          <cell r="P444">
            <v>0</v>
          </cell>
          <cell r="V444">
            <v>0</v>
          </cell>
          <cell r="W444">
            <v>0</v>
          </cell>
          <cell r="X444">
            <v>0</v>
          </cell>
          <cell r="Y444">
            <v>0</v>
          </cell>
          <cell r="AA444">
            <v>0</v>
          </cell>
        </row>
        <row r="445">
          <cell r="P445">
            <v>0</v>
          </cell>
          <cell r="V445">
            <v>0</v>
          </cell>
          <cell r="W445">
            <v>0</v>
          </cell>
          <cell r="X445">
            <v>0</v>
          </cell>
          <cell r="Y445">
            <v>0</v>
          </cell>
          <cell r="AA445">
            <v>0</v>
          </cell>
        </row>
        <row r="446">
          <cell r="P446">
            <v>0</v>
          </cell>
          <cell r="V446">
            <v>0</v>
          </cell>
          <cell r="W446">
            <v>0</v>
          </cell>
          <cell r="X446">
            <v>0</v>
          </cell>
          <cell r="Y446">
            <v>0</v>
          </cell>
          <cell r="AA446">
            <v>0</v>
          </cell>
        </row>
        <row r="447">
          <cell r="P447">
            <v>0</v>
          </cell>
          <cell r="X447">
            <v>0</v>
          </cell>
          <cell r="Y447">
            <v>0</v>
          </cell>
        </row>
        <row r="448">
          <cell r="P448">
            <v>0</v>
          </cell>
          <cell r="X448">
            <v>0</v>
          </cell>
          <cell r="Y448">
            <v>0</v>
          </cell>
        </row>
        <row r="449">
          <cell r="P449">
            <v>0</v>
          </cell>
          <cell r="X449">
            <v>0</v>
          </cell>
          <cell r="Y449">
            <v>0</v>
          </cell>
        </row>
      </sheetData>
      <sheetData sheetId="16" refreshError="1">
        <row r="8">
          <cell r="S8" t="str">
            <v>ЗАТВЕРДЖУЮ</v>
          </cell>
        </row>
        <row r="20">
          <cell r="W20" t="str">
            <v>ЗАТВЕРДЖУЮ</v>
          </cell>
        </row>
        <row r="21">
          <cell r="W21" t="str">
            <v>ГЕНЕРАЛЬНИЙ ДИРЕКТОР -</v>
          </cell>
        </row>
        <row r="22">
          <cell r="U22" t="str">
            <v>ЗАТВЕРДЖУЮ</v>
          </cell>
          <cell r="W22" t="str">
            <v>ГОЛОВА ПРАВЛІННЯ КЕ</v>
          </cell>
        </row>
        <row r="23">
          <cell r="U23" t="str">
            <v>ЗАТВЕРДЖУЮ</v>
          </cell>
        </row>
        <row r="24">
          <cell r="S24" t="str">
            <v>ЗАТВЕРДЖУЮ</v>
          </cell>
        </row>
        <row r="25">
          <cell r="S25" t="str">
            <v>ГОЛОВА ПРАЛІННЯ  КЕ</v>
          </cell>
          <cell r="W25">
            <v>0</v>
          </cell>
          <cell r="X25" t="str">
            <v>ПЛАЧКОВ І.В.</v>
          </cell>
        </row>
        <row r="26">
          <cell r="W26" t="str">
            <v>ЗАТВЕРДЖУЮ</v>
          </cell>
        </row>
        <row r="27">
          <cell r="U27" t="str">
            <v>ГЕНЕРАЛЬНИЙ ДИРЕКТОР -</v>
          </cell>
        </row>
        <row r="28">
          <cell r="S28" t="str">
            <v>ЗАТВЕРДЖУЮ</v>
          </cell>
          <cell r="T28" t="str">
            <v>І.В.ПЛАЧКОВ</v>
          </cell>
          <cell r="U28" t="str">
            <v>ГОЛОВА ПРАВЛІННЯ КЕ</v>
          </cell>
          <cell r="X28" t="str">
            <v>ВЕРЕСЕНЬ очІк.</v>
          </cell>
          <cell r="Y28" t="str">
            <v>8 мес звіт</v>
          </cell>
          <cell r="Z28" t="str">
            <v>9 мес.очІк.</v>
          </cell>
          <cell r="AA28" t="str">
            <v>4 кв. план</v>
          </cell>
          <cell r="AB28" t="str">
            <v>1998 рік очІк.</v>
          </cell>
        </row>
        <row r="29">
          <cell r="S29" t="str">
            <v>ГОЛОВА ПРАЛІННЯ  КЕ</v>
          </cell>
          <cell r="U29" t="str">
            <v xml:space="preserve">                      ПЛАЧКОВ І.В.</v>
          </cell>
        </row>
        <row r="30">
          <cell r="U30" t="str">
            <v>ЗАТВЕРДЖУЮ</v>
          </cell>
        </row>
        <row r="31">
          <cell r="C31" t="str">
            <v>ВИКОН.ДИР.</v>
          </cell>
          <cell r="D31" t="str">
            <v>Е/Е</v>
          </cell>
          <cell r="E31" t="str">
            <v xml:space="preserve"> Т/Е</v>
          </cell>
          <cell r="I31" t="str">
            <v>ККМ</v>
          </cell>
          <cell r="J31" t="str">
            <v>КТМ</v>
          </cell>
          <cell r="K31" t="str">
            <v>ВИРОБН</v>
          </cell>
          <cell r="L31" t="str">
            <v>ПЕРЕД</v>
          </cell>
          <cell r="M31" t="str">
            <v>ТЕЦ-5 ВСЬОГО</v>
          </cell>
          <cell r="N31" t="str">
            <v>Е/Е</v>
          </cell>
          <cell r="O31" t="str">
            <v xml:space="preserve"> Т/Е</v>
          </cell>
          <cell r="P31" t="str">
            <v>ТЕЦ-6 ВСЬОГО</v>
          </cell>
          <cell r="Q31" t="str">
            <v>Е/Е</v>
          </cell>
          <cell r="R31" t="str">
            <v xml:space="preserve"> Т/Е</v>
          </cell>
          <cell r="S31" t="str">
            <v>ЗАТВЕРДЖУЮ</v>
          </cell>
          <cell r="T31" t="str">
            <v>ДОП.ВИР. СТ.ОРГ.</v>
          </cell>
          <cell r="U31" t="str">
            <v>АК КЕ ВСЬОГО</v>
          </cell>
          <cell r="V31" t="str">
            <v>Е/Е</v>
          </cell>
          <cell r="W31" t="str">
            <v xml:space="preserve"> Т/Е</v>
          </cell>
          <cell r="X31" t="str">
            <v>СТАНЦІї ЕЛЕКТРО</v>
          </cell>
          <cell r="Y31" t="str">
            <v>СТАНЦІІ ТЕПЛОВІ</v>
          </cell>
          <cell r="Z31" t="str">
            <v>МЕРЕЖІ ЕЛЕКТРО</v>
          </cell>
          <cell r="AA31" t="str">
            <v>МЕРЕЖІ ТЕПЛОВІ</v>
          </cell>
        </row>
        <row r="32">
          <cell r="N32">
            <v>143</v>
          </cell>
          <cell r="Q32">
            <v>248</v>
          </cell>
          <cell r="S32" t="str">
            <v xml:space="preserve">                   ПЛАЧКОВ І.В.</v>
          </cell>
          <cell r="T32" t="str">
            <v>І.В.ПЛАЧКОВ</v>
          </cell>
          <cell r="V32">
            <v>391</v>
          </cell>
        </row>
        <row r="33">
          <cell r="N33">
            <v>130.30000000000001</v>
          </cell>
          <cell r="Q33">
            <v>233.6</v>
          </cell>
          <cell r="S33">
            <v>52204</v>
          </cell>
          <cell r="V33">
            <v>363.9</v>
          </cell>
          <cell r="W33" t="str">
            <v xml:space="preserve">                      ПЛАЧКОВ І.В.</v>
          </cell>
        </row>
        <row r="34">
          <cell r="Q34" t="str">
            <v>КТМ</v>
          </cell>
          <cell r="V34">
            <v>0</v>
          </cell>
          <cell r="AA34" t="str">
            <v xml:space="preserve">ТЕЦ-6 </v>
          </cell>
        </row>
        <row r="35">
          <cell r="S35" t="str">
            <v xml:space="preserve">                   ПЛАЧКОВ І.В.</v>
          </cell>
          <cell r="T35" t="str">
            <v>І.В.ПЛАЧКОВ</v>
          </cell>
          <cell r="V35">
            <v>0</v>
          </cell>
        </row>
        <row r="36">
          <cell r="C36" t="str">
            <v>ВИК.ДИР.</v>
          </cell>
          <cell r="D36" t="str">
            <v>Е/Е</v>
          </cell>
          <cell r="E36" t="str">
            <v xml:space="preserve"> Т/Е</v>
          </cell>
          <cell r="I36" t="str">
            <v>ККМ</v>
          </cell>
          <cell r="J36" t="str">
            <v>КТМ</v>
          </cell>
          <cell r="K36" t="str">
            <v>ВИРОБН</v>
          </cell>
          <cell r="L36" t="str">
            <v>ПЕРЕД</v>
          </cell>
          <cell r="M36" t="str">
            <v>ТЕЦ-5 ВСЬОГО</v>
          </cell>
          <cell r="N36" t="str">
            <v>Е/Е</v>
          </cell>
          <cell r="O36" t="str">
            <v xml:space="preserve"> Т/Е</v>
          </cell>
          <cell r="P36" t="str">
            <v>ТЕЦ-6 ВСЬОГО</v>
          </cell>
          <cell r="Q36" t="str">
            <v>Е/Е</v>
          </cell>
          <cell r="R36" t="str">
            <v xml:space="preserve"> Т/Е</v>
          </cell>
          <cell r="S36" t="str">
            <v xml:space="preserve">ДОП.ВИР. </v>
          </cell>
          <cell r="T36" t="str">
            <v>РЕЗЕРВ</v>
          </cell>
          <cell r="U36" t="str">
            <v>Е/Е</v>
          </cell>
          <cell r="V36" t="str">
            <v xml:space="preserve"> Т/Е</v>
          </cell>
          <cell r="W36" t="str">
            <v>АК КЕ ВСЬОГО</v>
          </cell>
          <cell r="X36" t="str">
            <v>Е/Е</v>
          </cell>
          <cell r="Y36" t="str">
            <v xml:space="preserve"> Т/Е</v>
          </cell>
          <cell r="Z36" t="str">
            <v>СТАНЦІї ЕЛЕКТРО</v>
          </cell>
          <cell r="AA36" t="str">
            <v>СТАНЦІІ ТЕПЛОВІ</v>
          </cell>
          <cell r="AB36" t="str">
            <v>МЕРЕЖІ ЕЛЕКТРО</v>
          </cell>
          <cell r="AC36" t="str">
            <v>МЕРЕЖІ ТЕПЛОВІ</v>
          </cell>
        </row>
        <row r="37">
          <cell r="N37">
            <v>225</v>
          </cell>
          <cell r="Q37">
            <v>158</v>
          </cell>
          <cell r="U37" t="str">
            <v xml:space="preserve">                      ПЛАЧКОВ І.В.</v>
          </cell>
          <cell r="V37">
            <v>0</v>
          </cell>
          <cell r="X37">
            <v>383</v>
          </cell>
        </row>
        <row r="38">
          <cell r="C38" t="str">
            <v>ВИК.ДИР.</v>
          </cell>
          <cell r="D38" t="str">
            <v>Е/Е</v>
          </cell>
          <cell r="E38" t="str">
            <v xml:space="preserve"> Т/Е</v>
          </cell>
          <cell r="I38" t="str">
            <v>ККМ</v>
          </cell>
          <cell r="J38" t="str">
            <v>КТМ</v>
          </cell>
          <cell r="K38" t="str">
            <v>ВИРОБН</v>
          </cell>
          <cell r="L38" t="str">
            <v>ПЕРЕД</v>
          </cell>
          <cell r="M38" t="str">
            <v>ТЕЦ-5 ВСЬОГО</v>
          </cell>
          <cell r="N38">
            <v>200.95</v>
          </cell>
          <cell r="O38" t="str">
            <v xml:space="preserve"> Т/Е</v>
          </cell>
          <cell r="P38" t="str">
            <v>ТЕЦ-6 ВСЬОГО</v>
          </cell>
          <cell r="Q38">
            <v>135.85</v>
          </cell>
          <cell r="R38" t="str">
            <v xml:space="preserve"> Т/Е</v>
          </cell>
          <cell r="S38" t="str">
            <v xml:space="preserve">ДОП.ВИР. </v>
          </cell>
          <cell r="T38" t="str">
            <v>ДОП.ВИР. СТ.ОРГ.</v>
          </cell>
          <cell r="U38" t="str">
            <v>АК КЕ ВСЬОГО</v>
          </cell>
          <cell r="V38" t="str">
            <v>Е/Е</v>
          </cell>
          <cell r="W38" t="str">
            <v xml:space="preserve"> Т/Е</v>
          </cell>
          <cell r="X38">
            <v>336.79999999999995</v>
          </cell>
          <cell r="Y38" t="str">
            <v xml:space="preserve"> Т/Е</v>
          </cell>
          <cell r="Z38" t="str">
            <v xml:space="preserve"> Т/Е</v>
          </cell>
          <cell r="AB38" t="str">
            <v xml:space="preserve"> Т/Е</v>
          </cell>
          <cell r="AC38" t="str">
            <v>СТАНЦІї ЕЛЕКТРО</v>
          </cell>
        </row>
        <row r="39">
          <cell r="I39">
            <v>0</v>
          </cell>
          <cell r="N39">
            <v>220</v>
          </cell>
          <cell r="Q39">
            <v>160</v>
          </cell>
          <cell r="V39">
            <v>380</v>
          </cell>
          <cell r="X39">
            <v>0</v>
          </cell>
        </row>
        <row r="40">
          <cell r="J40">
            <v>126</v>
          </cell>
          <cell r="N40">
            <v>202.3</v>
          </cell>
          <cell r="O40">
            <v>68</v>
          </cell>
          <cell r="Q40">
            <v>145</v>
          </cell>
          <cell r="R40">
            <v>67</v>
          </cell>
          <cell r="V40">
            <v>347.3</v>
          </cell>
          <cell r="W40">
            <v>261</v>
          </cell>
          <cell r="X40">
            <v>199.5</v>
          </cell>
        </row>
        <row r="41">
          <cell r="V41">
            <v>0</v>
          </cell>
          <cell r="W41">
            <v>0</v>
          </cell>
          <cell r="X41">
            <v>0</v>
          </cell>
        </row>
        <row r="42">
          <cell r="J42">
            <v>126</v>
          </cell>
          <cell r="O42">
            <v>68</v>
          </cell>
          <cell r="R42">
            <v>67</v>
          </cell>
          <cell r="V42">
            <v>33</v>
          </cell>
          <cell r="W42">
            <v>171</v>
          </cell>
          <cell r="X42">
            <v>0</v>
          </cell>
        </row>
        <row r="43">
          <cell r="V43">
            <v>0</v>
          </cell>
          <cell r="X43">
            <v>480.7</v>
          </cell>
        </row>
        <row r="44">
          <cell r="C44" t="e">
            <v>#REF!</v>
          </cell>
          <cell r="D44" t="e">
            <v>#REF!</v>
          </cell>
          <cell r="E44" t="e">
            <v>#REF!</v>
          </cell>
          <cell r="I44">
            <v>0</v>
          </cell>
          <cell r="J44" t="e">
            <v>#REF!</v>
          </cell>
          <cell r="K44" t="e">
            <v>#REF!</v>
          </cell>
          <cell r="L44" t="e">
            <v>#REF!</v>
          </cell>
          <cell r="M44" t="e">
            <v>#REF!</v>
          </cell>
          <cell r="N44" t="e">
            <v>#REF!</v>
          </cell>
          <cell r="O44" t="e">
            <v>#REF!</v>
          </cell>
          <cell r="P44" t="e">
            <v>#REF!</v>
          </cell>
          <cell r="Q44" t="e">
            <v>#REF!</v>
          </cell>
          <cell r="R44" t="e">
            <v>#REF!</v>
          </cell>
          <cell r="T44">
            <v>16</v>
          </cell>
          <cell r="U44" t="e">
            <v>#REF!</v>
          </cell>
          <cell r="V44">
            <v>0</v>
          </cell>
          <cell r="W44" t="e">
            <v>#REF!</v>
          </cell>
          <cell r="X44">
            <v>480.7</v>
          </cell>
          <cell r="Y44">
            <v>0</v>
          </cell>
          <cell r="Z44" t="e">
            <v>#REF!</v>
          </cell>
          <cell r="AA44" t="e">
            <v>#REF!</v>
          </cell>
        </row>
        <row r="45">
          <cell r="C45" t="e">
            <v>#REF!</v>
          </cell>
          <cell r="D45" t="e">
            <v>#REF!</v>
          </cell>
          <cell r="E45" t="e">
            <v>#REF!</v>
          </cell>
          <cell r="I45" t="e">
            <v>#REF!</v>
          </cell>
          <cell r="J45">
            <v>330</v>
          </cell>
          <cell r="M45" t="e">
            <v>#REF!</v>
          </cell>
          <cell r="N45" t="e">
            <v>#REF!</v>
          </cell>
          <cell r="O45">
            <v>280</v>
          </cell>
          <cell r="P45" t="e">
            <v>#REF!</v>
          </cell>
          <cell r="Q45" t="e">
            <v>#REF!</v>
          </cell>
          <cell r="R45">
            <v>320</v>
          </cell>
          <cell r="U45" t="e">
            <v>#REF!</v>
          </cell>
          <cell r="V45">
            <v>350</v>
          </cell>
          <cell r="Y45">
            <v>930</v>
          </cell>
        </row>
        <row r="46">
          <cell r="C46" t="e">
            <v>#REF!</v>
          </cell>
          <cell r="D46" t="e">
            <v>#REF!</v>
          </cell>
          <cell r="E46" t="e">
            <v>#REF!</v>
          </cell>
          <cell r="I46">
            <v>0</v>
          </cell>
          <cell r="J46" t="e">
            <v>#REF!</v>
          </cell>
          <cell r="M46" t="e">
            <v>#REF!</v>
          </cell>
          <cell r="N46" t="e">
            <v>#REF!</v>
          </cell>
          <cell r="O46" t="e">
            <v>#REF!</v>
          </cell>
          <cell r="P46" t="e">
            <v>#REF!</v>
          </cell>
          <cell r="Q46" t="e">
            <v>#REF!</v>
          </cell>
          <cell r="R46" t="e">
            <v>#REF!</v>
          </cell>
          <cell r="U46" t="e">
            <v>#REF!</v>
          </cell>
          <cell r="V46">
            <v>350</v>
          </cell>
          <cell r="Y46">
            <v>0</v>
          </cell>
        </row>
        <row r="47">
          <cell r="C47" t="e">
            <v>#REF!</v>
          </cell>
          <cell r="D47" t="e">
            <v>#REF!</v>
          </cell>
          <cell r="E47" t="e">
            <v>#REF!</v>
          </cell>
          <cell r="I47" t="e">
            <v>#REF!</v>
          </cell>
          <cell r="J47">
            <v>330</v>
          </cell>
          <cell r="M47" t="e">
            <v>#REF!</v>
          </cell>
          <cell r="N47" t="e">
            <v>#REF!</v>
          </cell>
          <cell r="O47">
            <v>280</v>
          </cell>
          <cell r="P47" t="e">
            <v>#REF!</v>
          </cell>
          <cell r="Q47" t="e">
            <v>#REF!</v>
          </cell>
          <cell r="R47">
            <v>320</v>
          </cell>
          <cell r="U47" t="e">
            <v>#REF!</v>
          </cell>
          <cell r="W47">
            <v>385</v>
          </cell>
          <cell r="Y47">
            <v>812</v>
          </cell>
        </row>
        <row r="48">
          <cell r="C48" t="e">
            <v>#REF!</v>
          </cell>
          <cell r="D48" t="e">
            <v>#REF!</v>
          </cell>
          <cell r="E48" t="e">
            <v>#REF!</v>
          </cell>
          <cell r="I48" t="e">
            <v>#REF!</v>
          </cell>
          <cell r="J48" t="e">
            <v>#REF!</v>
          </cell>
          <cell r="K48" t="e">
            <v>#REF!</v>
          </cell>
          <cell r="L48" t="e">
            <v>#REF!</v>
          </cell>
          <cell r="M48" t="e">
            <v>#REF!</v>
          </cell>
          <cell r="N48" t="e">
            <v>#REF!</v>
          </cell>
          <cell r="O48" t="e">
            <v>#REF!</v>
          </cell>
          <cell r="P48" t="e">
            <v>#REF!</v>
          </cell>
          <cell r="Q48" t="e">
            <v>#REF!</v>
          </cell>
          <cell r="R48" t="e">
            <v>#REF!</v>
          </cell>
          <cell r="S48">
            <v>4914.9412121212117</v>
          </cell>
          <cell r="T48">
            <v>51</v>
          </cell>
          <cell r="U48" t="e">
            <v>#REF!</v>
          </cell>
          <cell r="V48" t="e">
            <v>#REF!</v>
          </cell>
          <cell r="W48">
            <v>0</v>
          </cell>
          <cell r="X48" t="e">
            <v>#REF!</v>
          </cell>
          <cell r="Y48" t="e">
            <v>#REF!</v>
          </cell>
          <cell r="Z48" t="e">
            <v>#REF!</v>
          </cell>
          <cell r="AA48" t="e">
            <v>#REF!</v>
          </cell>
        </row>
        <row r="49">
          <cell r="C49" t="e">
            <v>#REF!</v>
          </cell>
          <cell r="D49" t="e">
            <v>#REF!</v>
          </cell>
          <cell r="E49" t="e">
            <v>#REF!</v>
          </cell>
          <cell r="I49" t="e">
            <v>#REF!</v>
          </cell>
          <cell r="J49" t="e">
            <v>#REF!</v>
          </cell>
          <cell r="K49" t="e">
            <v>#REF!</v>
          </cell>
          <cell r="L49" t="e">
            <v>#REF!</v>
          </cell>
          <cell r="M49" t="e">
            <v>#REF!</v>
          </cell>
          <cell r="N49" t="e">
            <v>#REF!</v>
          </cell>
          <cell r="O49" t="e">
            <v>#REF!</v>
          </cell>
          <cell r="P49" t="e">
            <v>#REF!</v>
          </cell>
          <cell r="Q49" t="e">
            <v>#REF!</v>
          </cell>
          <cell r="R49" t="e">
            <v>#REF!</v>
          </cell>
          <cell r="T49">
            <v>112</v>
          </cell>
          <cell r="U49">
            <v>28</v>
          </cell>
          <cell r="V49">
            <v>84</v>
          </cell>
          <cell r="W49" t="e">
            <v>#REF!</v>
          </cell>
          <cell r="X49" t="e">
            <v>#REF!</v>
          </cell>
          <cell r="Y49" t="e">
            <v>#REF!</v>
          </cell>
          <cell r="Z49" t="e">
            <v>#REF!</v>
          </cell>
          <cell r="AA49" t="e">
            <v>#REF!</v>
          </cell>
          <cell r="AB49" t="e">
            <v>#REF!</v>
          </cell>
          <cell r="AC49" t="e">
            <v>#REF!</v>
          </cell>
        </row>
        <row r="50">
          <cell r="C50">
            <v>29</v>
          </cell>
          <cell r="D50">
            <v>10</v>
          </cell>
          <cell r="E50">
            <v>19</v>
          </cell>
          <cell r="I50">
            <v>0</v>
          </cell>
          <cell r="J50">
            <v>252</v>
          </cell>
          <cell r="K50" t="e">
            <v>#REF!</v>
          </cell>
          <cell r="L50" t="e">
            <v>#REF!</v>
          </cell>
          <cell r="M50">
            <v>2</v>
          </cell>
          <cell r="N50">
            <v>1</v>
          </cell>
          <cell r="O50">
            <v>1</v>
          </cell>
          <cell r="P50">
            <v>4</v>
          </cell>
          <cell r="Q50">
            <v>2</v>
          </cell>
          <cell r="R50">
            <v>2</v>
          </cell>
          <cell r="T50">
            <v>0</v>
          </cell>
          <cell r="U50" t="e">
            <v>#REF!</v>
          </cell>
          <cell r="V50">
            <v>0</v>
          </cell>
          <cell r="W50">
            <v>298.7</v>
          </cell>
          <cell r="X50">
            <v>23</v>
          </cell>
          <cell r="Y50">
            <v>275.7</v>
          </cell>
          <cell r="Z50" t="e">
            <v>#REF!</v>
          </cell>
          <cell r="AA50" t="e">
            <v>#REF!</v>
          </cell>
        </row>
        <row r="51">
          <cell r="C51">
            <v>0</v>
          </cell>
          <cell r="D51">
            <v>0</v>
          </cell>
          <cell r="E51">
            <v>0</v>
          </cell>
          <cell r="I51">
            <v>0</v>
          </cell>
          <cell r="J51">
            <v>380</v>
          </cell>
          <cell r="K51">
            <v>190</v>
          </cell>
          <cell r="L51">
            <v>190</v>
          </cell>
          <cell r="M51">
            <v>42.300000000000004</v>
          </cell>
          <cell r="N51">
            <v>24</v>
          </cell>
          <cell r="O51">
            <v>18.300000000000004</v>
          </cell>
          <cell r="P51">
            <v>91.8</v>
          </cell>
          <cell r="Q51">
            <v>36</v>
          </cell>
          <cell r="R51">
            <v>55.8</v>
          </cell>
          <cell r="S51">
            <v>0</v>
          </cell>
          <cell r="T51">
            <v>16</v>
          </cell>
          <cell r="U51">
            <v>1046.3333333333335</v>
          </cell>
          <cell r="V51">
            <v>0</v>
          </cell>
          <cell r="W51">
            <v>134.1</v>
          </cell>
          <cell r="X51">
            <v>60</v>
          </cell>
          <cell r="Y51">
            <v>74.099999999999994</v>
          </cell>
          <cell r="Z51">
            <v>5116.3333333333339</v>
          </cell>
          <cell r="AA51">
            <v>2319</v>
          </cell>
          <cell r="AB51">
            <v>7435.3333333333339</v>
          </cell>
          <cell r="AC51">
            <v>250</v>
          </cell>
        </row>
        <row r="52">
          <cell r="C52">
            <v>200</v>
          </cell>
          <cell r="D52">
            <v>72</v>
          </cell>
          <cell r="E52">
            <v>128</v>
          </cell>
          <cell r="I52">
            <v>0</v>
          </cell>
          <cell r="J52">
            <v>280</v>
          </cell>
          <cell r="K52" t="e">
            <v>#REF!</v>
          </cell>
          <cell r="L52" t="e">
            <v>#REF!</v>
          </cell>
          <cell r="M52">
            <v>3</v>
          </cell>
          <cell r="N52">
            <v>2</v>
          </cell>
          <cell r="O52">
            <v>1</v>
          </cell>
          <cell r="P52">
            <v>6</v>
          </cell>
          <cell r="Q52">
            <v>4</v>
          </cell>
          <cell r="R52">
            <v>2</v>
          </cell>
          <cell r="S52">
            <v>750</v>
          </cell>
          <cell r="U52">
            <v>331</v>
          </cell>
          <cell r="V52">
            <v>0</v>
          </cell>
          <cell r="W52">
            <v>200</v>
          </cell>
          <cell r="X52">
            <v>72</v>
          </cell>
          <cell r="Y52">
            <v>128</v>
          </cell>
          <cell r="Z52">
            <v>30</v>
          </cell>
        </row>
        <row r="53">
          <cell r="C53" t="e">
            <v>#REF!</v>
          </cell>
          <cell r="D53" t="e">
            <v>#REF!</v>
          </cell>
          <cell r="E53" t="e">
            <v>#REF!</v>
          </cell>
          <cell r="I53" t="e">
            <v>#REF!</v>
          </cell>
          <cell r="J53" t="e">
            <v>#REF!</v>
          </cell>
          <cell r="K53" t="e">
            <v>#REF!</v>
          </cell>
          <cell r="L53" t="e">
            <v>#REF!</v>
          </cell>
          <cell r="M53" t="e">
            <v>#REF!</v>
          </cell>
          <cell r="N53" t="e">
            <v>#REF!</v>
          </cell>
          <cell r="O53" t="e">
            <v>#REF!</v>
          </cell>
          <cell r="P53" t="e">
            <v>#REF!</v>
          </cell>
          <cell r="Q53" t="e">
            <v>#REF!</v>
          </cell>
          <cell r="R53" t="e">
            <v>#REF!</v>
          </cell>
          <cell r="T53">
            <v>90</v>
          </cell>
          <cell r="U53">
            <v>30</v>
          </cell>
          <cell r="V53">
            <v>60</v>
          </cell>
          <cell r="W53" t="e">
            <v>#REF!</v>
          </cell>
          <cell r="X53" t="e">
            <v>#REF!</v>
          </cell>
          <cell r="Y53" t="e">
            <v>#REF!</v>
          </cell>
          <cell r="Z53" t="e">
            <v>#REF!</v>
          </cell>
          <cell r="AA53" t="e">
            <v>#REF!</v>
          </cell>
          <cell r="AB53" t="e">
            <v>#REF!</v>
          </cell>
          <cell r="AC53" t="e">
            <v>#REF!</v>
          </cell>
        </row>
        <row r="54">
          <cell r="C54" t="e">
            <v>#REF!</v>
          </cell>
          <cell r="D54" t="e">
            <v>#REF!</v>
          </cell>
          <cell r="E54" t="e">
            <v>#REF!</v>
          </cell>
          <cell r="I54" t="e">
            <v>#REF!</v>
          </cell>
          <cell r="J54" t="e">
            <v>#REF!</v>
          </cell>
          <cell r="K54" t="e">
            <v>#REF!</v>
          </cell>
          <cell r="L54" t="e">
            <v>#REF!</v>
          </cell>
          <cell r="M54" t="e">
            <v>#REF!</v>
          </cell>
          <cell r="N54" t="e">
            <v>#REF!</v>
          </cell>
          <cell r="O54" t="e">
            <v>#REF!</v>
          </cell>
          <cell r="P54" t="e">
            <v>#REF!</v>
          </cell>
          <cell r="Q54" t="e">
            <v>#REF!</v>
          </cell>
          <cell r="R54" t="e">
            <v>#REF!</v>
          </cell>
          <cell r="S54">
            <v>84</v>
          </cell>
          <cell r="T54">
            <v>42</v>
          </cell>
          <cell r="U54">
            <v>22</v>
          </cell>
          <cell r="V54">
            <v>20</v>
          </cell>
          <cell r="W54" t="e">
            <v>#REF!</v>
          </cell>
          <cell r="X54" t="e">
            <v>#REF!</v>
          </cell>
          <cell r="Y54" t="e">
            <v>#REF!</v>
          </cell>
          <cell r="Z54" t="e">
            <v>#REF!</v>
          </cell>
          <cell r="AA54" t="e">
            <v>#REF!</v>
          </cell>
          <cell r="AB54" t="e">
            <v>#REF!</v>
          </cell>
          <cell r="AC54" t="e">
            <v>#REF!</v>
          </cell>
        </row>
        <row r="55">
          <cell r="C55" t="e">
            <v>#REF!</v>
          </cell>
          <cell r="D55" t="e">
            <v>#REF!</v>
          </cell>
          <cell r="E55" t="e">
            <v>#REF!</v>
          </cell>
          <cell r="I55" t="e">
            <v>#REF!</v>
          </cell>
          <cell r="J55" t="e">
            <v>#REF!</v>
          </cell>
          <cell r="K55" t="e">
            <v>#REF!</v>
          </cell>
          <cell r="L55" t="e">
            <v>#REF!</v>
          </cell>
          <cell r="M55" t="e">
            <v>#REF!</v>
          </cell>
          <cell r="N55" t="e">
            <v>#REF!</v>
          </cell>
          <cell r="O55" t="e">
            <v>#REF!</v>
          </cell>
          <cell r="P55" t="e">
            <v>#REF!</v>
          </cell>
          <cell r="Q55" t="e">
            <v>#REF!</v>
          </cell>
          <cell r="R55" t="e">
            <v>#REF!</v>
          </cell>
          <cell r="S55">
            <v>329</v>
          </cell>
          <cell r="T55">
            <v>0</v>
          </cell>
          <cell r="U55">
            <v>1084</v>
          </cell>
          <cell r="V55">
            <v>0</v>
          </cell>
          <cell r="W55" t="e">
            <v>#REF!</v>
          </cell>
          <cell r="X55" t="e">
            <v>#REF!</v>
          </cell>
          <cell r="Y55" t="e">
            <v>#REF!</v>
          </cell>
          <cell r="Z55" t="e">
            <v>#REF!</v>
          </cell>
          <cell r="AA55" t="e">
            <v>#REF!</v>
          </cell>
          <cell r="AB55" t="e">
            <v>#REF!</v>
          </cell>
          <cell r="AC55" t="e">
            <v>#REF!</v>
          </cell>
        </row>
        <row r="56">
          <cell r="C56" t="e">
            <v>#REF!</v>
          </cell>
          <cell r="D56" t="e">
            <v>#REF!</v>
          </cell>
          <cell r="E56" t="e">
            <v>#REF!</v>
          </cell>
          <cell r="I56" t="e">
            <v>#REF!</v>
          </cell>
          <cell r="J56" t="e">
            <v>#REF!</v>
          </cell>
          <cell r="K56" t="e">
            <v>#REF!</v>
          </cell>
          <cell r="L56" t="e">
            <v>#REF!</v>
          </cell>
          <cell r="M56" t="e">
            <v>#REF!</v>
          </cell>
          <cell r="N56" t="e">
            <v>#REF!</v>
          </cell>
          <cell r="O56" t="e">
            <v>#REF!</v>
          </cell>
          <cell r="P56" t="e">
            <v>#REF!</v>
          </cell>
          <cell r="Q56" t="e">
            <v>#REF!</v>
          </cell>
          <cell r="R56" t="e">
            <v>#REF!</v>
          </cell>
          <cell r="S56">
            <v>0</v>
          </cell>
          <cell r="T56">
            <v>0</v>
          </cell>
          <cell r="U56">
            <v>589</v>
          </cell>
          <cell r="V56">
            <v>0</v>
          </cell>
          <cell r="W56" t="e">
            <v>#REF!</v>
          </cell>
          <cell r="X56" t="e">
            <v>#REF!</v>
          </cell>
          <cell r="Y56" t="e">
            <v>#REF!</v>
          </cell>
          <cell r="Z56" t="e">
            <v>#REF!</v>
          </cell>
          <cell r="AA56" t="e">
            <v>#REF!</v>
          </cell>
          <cell r="AB56" t="e">
            <v>#REF!</v>
          </cell>
          <cell r="AC56" t="e">
            <v>#REF!</v>
          </cell>
        </row>
        <row r="57">
          <cell r="C57" t="e">
            <v>#REF!</v>
          </cell>
          <cell r="D57" t="e">
            <v>#REF!</v>
          </cell>
          <cell r="E57" t="e">
            <v>#REF!</v>
          </cell>
          <cell r="I57" t="e">
            <v>#REF!</v>
          </cell>
          <cell r="J57" t="e">
            <v>#REF!</v>
          </cell>
          <cell r="K57" t="e">
            <v>#REF!</v>
          </cell>
          <cell r="L57" t="e">
            <v>#REF!</v>
          </cell>
          <cell r="M57" t="e">
            <v>#REF!</v>
          </cell>
          <cell r="N57" t="e">
            <v>#REF!</v>
          </cell>
          <cell r="O57">
            <v>0</v>
          </cell>
          <cell r="P57" t="e">
            <v>#REF!</v>
          </cell>
          <cell r="Q57" t="e">
            <v>#REF!</v>
          </cell>
          <cell r="R57">
            <v>0</v>
          </cell>
          <cell r="S57">
            <v>1232</v>
          </cell>
          <cell r="T57">
            <v>0</v>
          </cell>
          <cell r="U57">
            <v>20645</v>
          </cell>
          <cell r="V57">
            <v>0</v>
          </cell>
          <cell r="W57" t="e">
            <v>#REF!</v>
          </cell>
          <cell r="X57" t="e">
            <v>#REF!</v>
          </cell>
          <cell r="Y57" t="e">
            <v>#REF!</v>
          </cell>
          <cell r="Z57">
            <v>148014</v>
          </cell>
          <cell r="AA57" t="e">
            <v>#REF!</v>
          </cell>
          <cell r="AB57">
            <v>294840</v>
          </cell>
          <cell r="AC57">
            <v>12849</v>
          </cell>
        </row>
        <row r="58">
          <cell r="C58" t="e">
            <v>#REF!</v>
          </cell>
          <cell r="D58" t="e">
            <v>#REF!</v>
          </cell>
          <cell r="E58" t="e">
            <v>#REF!</v>
          </cell>
          <cell r="I58" t="e">
            <v>#REF!</v>
          </cell>
          <cell r="J58" t="e">
            <v>#REF!</v>
          </cell>
          <cell r="K58" t="e">
            <v>#REF!</v>
          </cell>
          <cell r="L58" t="e">
            <v>#REF!</v>
          </cell>
          <cell r="M58" t="e">
            <v>#REF!</v>
          </cell>
          <cell r="N58" t="e">
            <v>#REF!</v>
          </cell>
          <cell r="O58" t="e">
            <v>#REF!</v>
          </cell>
          <cell r="P58" t="e">
            <v>#REF!</v>
          </cell>
          <cell r="Q58" t="e">
            <v>#REF!</v>
          </cell>
          <cell r="R58" t="e">
            <v>#REF!</v>
          </cell>
          <cell r="S58">
            <v>0</v>
          </cell>
          <cell r="T58">
            <v>139</v>
          </cell>
          <cell r="U58">
            <v>2</v>
          </cell>
          <cell r="V58">
            <v>137</v>
          </cell>
          <cell r="W58" t="e">
            <v>#REF!</v>
          </cell>
          <cell r="X58" t="e">
            <v>#REF!</v>
          </cell>
          <cell r="Y58" t="e">
            <v>#REF!</v>
          </cell>
          <cell r="Z58" t="e">
            <v>#REF!</v>
          </cell>
          <cell r="AA58" t="e">
            <v>#REF!</v>
          </cell>
          <cell r="AB58" t="e">
            <v>#REF!</v>
          </cell>
          <cell r="AC58" t="e">
            <v>#REF!</v>
          </cell>
        </row>
        <row r="59">
          <cell r="C59" t="e">
            <v>#REF!</v>
          </cell>
          <cell r="D59" t="e">
            <v>#REF!</v>
          </cell>
          <cell r="E59" t="e">
            <v>#REF!</v>
          </cell>
          <cell r="I59" t="e">
            <v>#REF!</v>
          </cell>
          <cell r="J59" t="e">
            <v>#REF!</v>
          </cell>
          <cell r="K59" t="e">
            <v>#REF!</v>
          </cell>
          <cell r="L59" t="e">
            <v>#REF!</v>
          </cell>
          <cell r="M59" t="e">
            <v>#REF!</v>
          </cell>
          <cell r="N59" t="e">
            <v>#REF!</v>
          </cell>
          <cell r="O59" t="e">
            <v>#REF!</v>
          </cell>
          <cell r="P59" t="e">
            <v>#REF!</v>
          </cell>
          <cell r="Q59" t="e">
            <v>#REF!</v>
          </cell>
          <cell r="R59" t="e">
            <v>#REF!</v>
          </cell>
          <cell r="T59">
            <v>0</v>
          </cell>
          <cell r="U59">
            <v>0</v>
          </cell>
          <cell r="V59">
            <v>0</v>
          </cell>
          <cell r="W59" t="e">
            <v>#REF!</v>
          </cell>
          <cell r="X59" t="e">
            <v>#REF!</v>
          </cell>
          <cell r="Y59" t="e">
            <v>#REF!</v>
          </cell>
          <cell r="Z59" t="e">
            <v>#REF!</v>
          </cell>
          <cell r="AA59" t="e">
            <v>#REF!</v>
          </cell>
          <cell r="AB59" t="e">
            <v>#REF!</v>
          </cell>
          <cell r="AC59" t="e">
            <v>#REF!</v>
          </cell>
        </row>
        <row r="60">
          <cell r="C60" t="e">
            <v>#REF!</v>
          </cell>
          <cell r="D60" t="e">
            <v>#REF!</v>
          </cell>
          <cell r="E60" t="e">
            <v>#REF!</v>
          </cell>
          <cell r="I60" t="e">
            <v>#REF!</v>
          </cell>
          <cell r="J60" t="e">
            <v>#REF!</v>
          </cell>
          <cell r="K60" t="e">
            <v>#REF!</v>
          </cell>
          <cell r="L60" t="e">
            <v>#REF!</v>
          </cell>
          <cell r="M60" t="e">
            <v>#REF!</v>
          </cell>
          <cell r="N60" t="e">
            <v>#REF!</v>
          </cell>
          <cell r="O60" t="e">
            <v>#REF!</v>
          </cell>
          <cell r="P60" t="e">
            <v>#REF!</v>
          </cell>
          <cell r="Q60" t="e">
            <v>#REF!</v>
          </cell>
          <cell r="R60" t="e">
            <v>#REF!</v>
          </cell>
          <cell r="S60">
            <v>420</v>
          </cell>
          <cell r="T60">
            <v>29</v>
          </cell>
          <cell r="U60">
            <v>366</v>
          </cell>
          <cell r="V60">
            <v>0</v>
          </cell>
          <cell r="W60" t="e">
            <v>#REF!</v>
          </cell>
          <cell r="X60" t="e">
            <v>#REF!</v>
          </cell>
          <cell r="Y60" t="e">
            <v>#REF!</v>
          </cell>
          <cell r="Z60" t="e">
            <v>#REF!</v>
          </cell>
          <cell r="AA60" t="e">
            <v>#REF!</v>
          </cell>
          <cell r="AB60" t="e">
            <v>#REF!</v>
          </cell>
          <cell r="AC60" t="e">
            <v>#REF!</v>
          </cell>
        </row>
        <row r="61">
          <cell r="C61" t="e">
            <v>#REF!</v>
          </cell>
          <cell r="D61" t="e">
            <v>#REF!</v>
          </cell>
          <cell r="E61">
            <v>0</v>
          </cell>
          <cell r="I61" t="e">
            <v>#REF!</v>
          </cell>
          <cell r="J61" t="e">
            <v>#REF!</v>
          </cell>
          <cell r="K61" t="e">
            <v>#REF!</v>
          </cell>
          <cell r="L61" t="e">
            <v>#REF!</v>
          </cell>
          <cell r="M61" t="e">
            <v>#REF!</v>
          </cell>
          <cell r="N61" t="e">
            <v>#REF!</v>
          </cell>
          <cell r="O61" t="e">
            <v>#REF!</v>
          </cell>
          <cell r="P61" t="e">
            <v>#REF!</v>
          </cell>
          <cell r="Q61" t="e">
            <v>#REF!</v>
          </cell>
          <cell r="R61" t="e">
            <v>#REF!</v>
          </cell>
          <cell r="S61">
            <v>0</v>
          </cell>
          <cell r="T61">
            <v>686</v>
          </cell>
          <cell r="U61">
            <v>1366.4353077609278</v>
          </cell>
          <cell r="V61">
            <v>0</v>
          </cell>
          <cell r="W61" t="e">
            <v>#REF!</v>
          </cell>
          <cell r="X61" t="e">
            <v>#REF!</v>
          </cell>
          <cell r="Y61" t="e">
            <v>#REF!</v>
          </cell>
          <cell r="Z61">
            <v>0</v>
          </cell>
          <cell r="AA61">
            <v>0</v>
          </cell>
          <cell r="AB61">
            <v>0</v>
          </cell>
          <cell r="AC61">
            <v>0</v>
          </cell>
        </row>
        <row r="62">
          <cell r="C62" t="e">
            <v>#REF!</v>
          </cell>
          <cell r="D62" t="e">
            <v>#REF!</v>
          </cell>
          <cell r="E62" t="e">
            <v>#REF!</v>
          </cell>
          <cell r="I62" t="e">
            <v>#REF!</v>
          </cell>
          <cell r="J62" t="e">
            <v>#REF!</v>
          </cell>
          <cell r="K62" t="e">
            <v>#REF!</v>
          </cell>
          <cell r="L62" t="e">
            <v>#REF!</v>
          </cell>
          <cell r="M62" t="e">
            <v>#REF!</v>
          </cell>
          <cell r="N62" t="e">
            <v>#REF!</v>
          </cell>
          <cell r="O62" t="e">
            <v>#REF!</v>
          </cell>
          <cell r="P62" t="e">
            <v>#REF!</v>
          </cell>
          <cell r="Q62" t="e">
            <v>#REF!</v>
          </cell>
          <cell r="R62" t="e">
            <v>#REF!</v>
          </cell>
          <cell r="S62">
            <v>53</v>
          </cell>
          <cell r="T62">
            <v>257</v>
          </cell>
          <cell r="U62">
            <v>75</v>
          </cell>
          <cell r="V62">
            <v>0</v>
          </cell>
          <cell r="W62" t="e">
            <v>#REF!</v>
          </cell>
          <cell r="X62" t="e">
            <v>#REF!</v>
          </cell>
          <cell r="Y62" t="e">
            <v>#REF!</v>
          </cell>
          <cell r="Z62" t="e">
            <v>#REF!</v>
          </cell>
          <cell r="AA62" t="e">
            <v>#REF!</v>
          </cell>
          <cell r="AB62" t="e">
            <v>#REF!</v>
          </cell>
          <cell r="AC62" t="e">
            <v>#REF!</v>
          </cell>
        </row>
        <row r="63">
          <cell r="C63" t="e">
            <v>#REF!</v>
          </cell>
          <cell r="D63" t="e">
            <v>#REF!</v>
          </cell>
          <cell r="E63" t="e">
            <v>#REF!</v>
          </cell>
          <cell r="I63" t="e">
            <v>#REF!</v>
          </cell>
          <cell r="J63" t="e">
            <v>#REF!</v>
          </cell>
          <cell r="K63" t="e">
            <v>#REF!</v>
          </cell>
          <cell r="L63" t="e">
            <v>#REF!</v>
          </cell>
          <cell r="M63" t="e">
            <v>#REF!</v>
          </cell>
          <cell r="N63" t="e">
            <v>#REF!</v>
          </cell>
          <cell r="O63" t="e">
            <v>#REF!</v>
          </cell>
          <cell r="P63" t="e">
            <v>#REF!</v>
          </cell>
          <cell r="Q63" t="e">
            <v>#REF!</v>
          </cell>
          <cell r="R63" t="e">
            <v>#REF!</v>
          </cell>
          <cell r="S63">
            <v>0</v>
          </cell>
          <cell r="T63">
            <v>0</v>
          </cell>
          <cell r="U63">
            <v>438</v>
          </cell>
          <cell r="V63">
            <v>0</v>
          </cell>
          <cell r="W63" t="e">
            <v>#REF!</v>
          </cell>
          <cell r="X63" t="e">
            <v>#REF!</v>
          </cell>
          <cell r="Y63" t="e">
            <v>#REF!</v>
          </cell>
          <cell r="Z63" t="e">
            <v>#REF!</v>
          </cell>
          <cell r="AA63" t="e">
            <v>#REF!</v>
          </cell>
          <cell r="AB63" t="e">
            <v>#REF!</v>
          </cell>
          <cell r="AC63" t="e">
            <v>#REF!</v>
          </cell>
        </row>
        <row r="64">
          <cell r="C64" t="e">
            <v>#REF!</v>
          </cell>
          <cell r="D64" t="e">
            <v>#REF!</v>
          </cell>
          <cell r="E64" t="e">
            <v>#REF!</v>
          </cell>
          <cell r="I64" t="e">
            <v>#REF!</v>
          </cell>
          <cell r="J64" t="e">
            <v>#REF!</v>
          </cell>
          <cell r="K64" t="e">
            <v>#REF!</v>
          </cell>
          <cell r="L64" t="e">
            <v>#REF!</v>
          </cell>
          <cell r="M64" t="e">
            <v>#REF!</v>
          </cell>
          <cell r="N64" t="e">
            <v>#REF!</v>
          </cell>
          <cell r="O64" t="e">
            <v>#REF!</v>
          </cell>
          <cell r="P64" t="e">
            <v>#REF!</v>
          </cell>
          <cell r="Q64" t="e">
            <v>#REF!</v>
          </cell>
          <cell r="R64" t="e">
            <v>#REF!</v>
          </cell>
          <cell r="T64">
            <v>69</v>
          </cell>
          <cell r="U64">
            <v>106</v>
          </cell>
          <cell r="V64">
            <v>0</v>
          </cell>
          <cell r="W64" t="e">
            <v>#REF!</v>
          </cell>
          <cell r="X64" t="e">
            <v>#REF!</v>
          </cell>
          <cell r="Y64" t="e">
            <v>#REF!</v>
          </cell>
          <cell r="Z64">
            <v>805</v>
          </cell>
          <cell r="AA64" t="e">
            <v>#REF!</v>
          </cell>
          <cell r="AB64">
            <v>989</v>
          </cell>
          <cell r="AC64">
            <v>16</v>
          </cell>
        </row>
        <row r="65">
          <cell r="C65" t="e">
            <v>#REF!</v>
          </cell>
          <cell r="D65" t="e">
            <v>#REF!</v>
          </cell>
          <cell r="E65">
            <v>26</v>
          </cell>
          <cell r="I65" t="e">
            <v>#REF!</v>
          </cell>
          <cell r="J65" t="e">
            <v>#REF!</v>
          </cell>
          <cell r="K65" t="e">
            <v>#REF!</v>
          </cell>
          <cell r="L65" t="e">
            <v>#REF!</v>
          </cell>
          <cell r="M65" t="e">
            <v>#REF!</v>
          </cell>
          <cell r="N65" t="e">
            <v>#REF!</v>
          </cell>
          <cell r="O65" t="e">
            <v>#REF!</v>
          </cell>
          <cell r="P65" t="e">
            <v>#REF!</v>
          </cell>
          <cell r="Q65" t="e">
            <v>#REF!</v>
          </cell>
          <cell r="R65" t="e">
            <v>#REF!</v>
          </cell>
          <cell r="S65">
            <v>1018</v>
          </cell>
          <cell r="T65">
            <v>9</v>
          </cell>
          <cell r="U65">
            <v>2104</v>
          </cell>
          <cell r="V65">
            <v>0</v>
          </cell>
          <cell r="W65" t="e">
            <v>#REF!</v>
          </cell>
          <cell r="X65" t="e">
            <v>#REF!</v>
          </cell>
          <cell r="Y65" t="e">
            <v>#REF!</v>
          </cell>
          <cell r="Z65">
            <v>10684</v>
          </cell>
          <cell r="AA65" t="e">
            <v>#REF!</v>
          </cell>
          <cell r="AB65">
            <v>14646</v>
          </cell>
          <cell r="AC65">
            <v>553</v>
          </cell>
        </row>
        <row r="66">
          <cell r="C66" t="e">
            <v>#REF!</v>
          </cell>
          <cell r="D66" t="e">
            <v>#REF!</v>
          </cell>
          <cell r="E66" t="e">
            <v>#REF!</v>
          </cell>
          <cell r="I66" t="e">
            <v>#REF!</v>
          </cell>
          <cell r="J66" t="e">
            <v>#REF!</v>
          </cell>
          <cell r="K66" t="e">
            <v>#REF!</v>
          </cell>
          <cell r="L66" t="e">
            <v>#REF!</v>
          </cell>
          <cell r="M66" t="e">
            <v>#REF!</v>
          </cell>
          <cell r="N66" t="e">
            <v>#REF!</v>
          </cell>
          <cell r="O66" t="e">
            <v>#REF!</v>
          </cell>
          <cell r="P66" t="e">
            <v>#REF!</v>
          </cell>
          <cell r="Q66" t="e">
            <v>#REF!</v>
          </cell>
          <cell r="R66" t="e">
            <v>#REF!</v>
          </cell>
          <cell r="T66">
            <v>432</v>
          </cell>
          <cell r="U66">
            <v>173</v>
          </cell>
          <cell r="V66">
            <v>259</v>
          </cell>
          <cell r="W66" t="e">
            <v>#REF!</v>
          </cell>
          <cell r="X66" t="e">
            <v>#REF!</v>
          </cell>
          <cell r="Y66" t="e">
            <v>#REF!</v>
          </cell>
          <cell r="Z66" t="e">
            <v>#REF!</v>
          </cell>
          <cell r="AA66" t="e">
            <v>#REF!</v>
          </cell>
          <cell r="AB66" t="e">
            <v>#REF!</v>
          </cell>
          <cell r="AC66" t="e">
            <v>#REF!</v>
          </cell>
        </row>
        <row r="67">
          <cell r="C67" t="e">
            <v>#REF!</v>
          </cell>
          <cell r="D67" t="e">
            <v>#REF!</v>
          </cell>
          <cell r="I67" t="e">
            <v>#REF!</v>
          </cell>
          <cell r="J67" t="e">
            <v>#REF!</v>
          </cell>
          <cell r="K67" t="e">
            <v>#REF!</v>
          </cell>
          <cell r="L67" t="e">
            <v>#REF!</v>
          </cell>
          <cell r="M67" t="e">
            <v>#REF!</v>
          </cell>
          <cell r="N67" t="e">
            <v>#REF!</v>
          </cell>
          <cell r="O67" t="e">
            <v>#REF!</v>
          </cell>
          <cell r="P67" t="e">
            <v>#REF!</v>
          </cell>
          <cell r="Q67" t="e">
            <v>#REF!</v>
          </cell>
          <cell r="R67" t="e">
            <v>#REF!</v>
          </cell>
          <cell r="U67">
            <v>347</v>
          </cell>
          <cell r="V67">
            <v>0</v>
          </cell>
          <cell r="W67" t="e">
            <v>#REF!</v>
          </cell>
          <cell r="X67" t="e">
            <v>#REF!</v>
          </cell>
          <cell r="Y67" t="e">
            <v>#REF!</v>
          </cell>
          <cell r="Z67">
            <v>293</v>
          </cell>
          <cell r="AB67">
            <v>293</v>
          </cell>
        </row>
        <row r="68">
          <cell r="C68" t="e">
            <v>#REF!</v>
          </cell>
          <cell r="D68" t="e">
            <v>#REF!</v>
          </cell>
          <cell r="E68">
            <v>31</v>
          </cell>
          <cell r="I68" t="e">
            <v>#REF!</v>
          </cell>
          <cell r="J68" t="e">
            <v>#REF!</v>
          </cell>
          <cell r="K68" t="e">
            <v>#REF!</v>
          </cell>
          <cell r="L68" t="e">
            <v>#REF!</v>
          </cell>
          <cell r="M68" t="e">
            <v>#REF!</v>
          </cell>
          <cell r="N68" t="e">
            <v>#REF!</v>
          </cell>
          <cell r="O68" t="e">
            <v>#REF!</v>
          </cell>
          <cell r="P68" t="e">
            <v>#REF!</v>
          </cell>
          <cell r="Q68" t="e">
            <v>#REF!</v>
          </cell>
          <cell r="R68" t="e">
            <v>#REF!</v>
          </cell>
          <cell r="S68">
            <v>0</v>
          </cell>
          <cell r="T68">
            <v>12</v>
          </cell>
          <cell r="U68">
            <v>4593</v>
          </cell>
          <cell r="V68">
            <v>0</v>
          </cell>
          <cell r="W68" t="e">
            <v>#REF!</v>
          </cell>
          <cell r="X68" t="e">
            <v>#REF!</v>
          </cell>
          <cell r="Y68" t="e">
            <v>#REF!</v>
          </cell>
          <cell r="Z68">
            <v>12027</v>
          </cell>
          <cell r="AA68">
            <v>3910</v>
          </cell>
          <cell r="AB68">
            <v>15937</v>
          </cell>
          <cell r="AC68">
            <v>1606</v>
          </cell>
        </row>
        <row r="69">
          <cell r="C69" t="e">
            <v>#REF!</v>
          </cell>
          <cell r="D69" t="e">
            <v>#REF!</v>
          </cell>
          <cell r="E69" t="e">
            <v>#REF!</v>
          </cell>
          <cell r="I69" t="e">
            <v>#REF!</v>
          </cell>
          <cell r="J69" t="e">
            <v>#REF!</v>
          </cell>
          <cell r="K69" t="e">
            <v>#REF!</v>
          </cell>
          <cell r="L69" t="e">
            <v>#REF!</v>
          </cell>
          <cell r="M69" t="e">
            <v>#REF!</v>
          </cell>
          <cell r="N69" t="e">
            <v>#REF!</v>
          </cell>
          <cell r="O69" t="e">
            <v>#REF!</v>
          </cell>
          <cell r="P69" t="e">
            <v>#REF!</v>
          </cell>
          <cell r="Q69" t="e">
            <v>#REF!</v>
          </cell>
          <cell r="R69" t="e">
            <v>#REF!</v>
          </cell>
          <cell r="S69">
            <v>1018</v>
          </cell>
          <cell r="T69">
            <v>146.88</v>
          </cell>
          <cell r="U69">
            <v>410.56140350877189</v>
          </cell>
          <cell r="V69">
            <v>0</v>
          </cell>
          <cell r="W69" t="e">
            <v>#REF!</v>
          </cell>
          <cell r="X69" t="e">
            <v>#REF!</v>
          </cell>
          <cell r="Y69" t="e">
            <v>#REF!</v>
          </cell>
          <cell r="Z69">
            <v>2169.4912280701756</v>
          </cell>
          <cell r="AA69">
            <v>948</v>
          </cell>
          <cell r="AB69">
            <v>3117.4912280701756</v>
          </cell>
        </row>
        <row r="70">
          <cell r="C70" t="e">
            <v>#REF!</v>
          </cell>
          <cell r="D70" t="e">
            <v>#REF!</v>
          </cell>
          <cell r="E70" t="e">
            <v>#REF!</v>
          </cell>
          <cell r="I70" t="e">
            <v>#REF!</v>
          </cell>
          <cell r="J70" t="e">
            <v>#REF!</v>
          </cell>
          <cell r="K70" t="e">
            <v>#REF!</v>
          </cell>
          <cell r="L70" t="e">
            <v>#REF!</v>
          </cell>
          <cell r="M70" t="e">
            <v>#REF!</v>
          </cell>
          <cell r="N70" t="e">
            <v>#REF!</v>
          </cell>
          <cell r="O70" t="e">
            <v>#REF!</v>
          </cell>
          <cell r="P70" t="e">
            <v>#REF!</v>
          </cell>
          <cell r="Q70" t="e">
            <v>#REF!</v>
          </cell>
          <cell r="R70" t="e">
            <v>#REF!</v>
          </cell>
          <cell r="S70">
            <v>1737.3999999999999</v>
          </cell>
          <cell r="T70">
            <v>12</v>
          </cell>
          <cell r="U70">
            <v>22</v>
          </cell>
          <cell r="V70">
            <v>0</v>
          </cell>
          <cell r="W70" t="e">
            <v>#REF!</v>
          </cell>
          <cell r="X70" t="e">
            <v>#REF!</v>
          </cell>
          <cell r="Y70" t="e">
            <v>#REF!</v>
          </cell>
          <cell r="Z70">
            <v>137</v>
          </cell>
          <cell r="AA70">
            <v>51</v>
          </cell>
          <cell r="AB70">
            <v>188</v>
          </cell>
        </row>
        <row r="71">
          <cell r="C71" t="e">
            <v>#REF!</v>
          </cell>
          <cell r="D71" t="e">
            <v>#REF!</v>
          </cell>
          <cell r="E71" t="e">
            <v>#REF!</v>
          </cell>
          <cell r="I71" t="e">
            <v>#REF!</v>
          </cell>
          <cell r="J71" t="e">
            <v>#REF!</v>
          </cell>
          <cell r="K71" t="e">
            <v>#REF!</v>
          </cell>
          <cell r="L71" t="e">
            <v>#REF!</v>
          </cell>
          <cell r="M71" t="e">
            <v>#REF!</v>
          </cell>
          <cell r="N71" t="e">
            <v>#REF!</v>
          </cell>
          <cell r="O71" t="e">
            <v>#REF!</v>
          </cell>
          <cell r="P71" t="e">
            <v>#REF!</v>
          </cell>
          <cell r="Q71" t="e">
            <v>#REF!</v>
          </cell>
          <cell r="R71" t="e">
            <v>#REF!</v>
          </cell>
          <cell r="S71">
            <v>422.54545454545456</v>
          </cell>
          <cell r="U71">
            <v>133</v>
          </cell>
          <cell r="V71">
            <v>0</v>
          </cell>
          <cell r="W71" t="e">
            <v>#REF!</v>
          </cell>
          <cell r="X71" t="e">
            <v>#REF!</v>
          </cell>
          <cell r="Y71" t="e">
            <v>#REF!</v>
          </cell>
          <cell r="Z71">
            <v>675</v>
          </cell>
          <cell r="AA71">
            <v>303</v>
          </cell>
          <cell r="AB71">
            <v>978</v>
          </cell>
        </row>
        <row r="72">
          <cell r="C72" t="e">
            <v>#REF!</v>
          </cell>
          <cell r="D72" t="e">
            <v>#REF!</v>
          </cell>
          <cell r="E72">
            <v>0</v>
          </cell>
          <cell r="I72" t="e">
            <v>#REF!</v>
          </cell>
          <cell r="J72" t="e">
            <v>#REF!</v>
          </cell>
          <cell r="K72" t="e">
            <v>#REF!</v>
          </cell>
          <cell r="L72" t="e">
            <v>#REF!</v>
          </cell>
          <cell r="M72" t="e">
            <v>#REF!</v>
          </cell>
          <cell r="N72" t="e">
            <v>#REF!</v>
          </cell>
          <cell r="O72">
            <v>0</v>
          </cell>
          <cell r="P72" t="e">
            <v>#REF!</v>
          </cell>
          <cell r="Q72" t="e">
            <v>#REF!</v>
          </cell>
          <cell r="R72" t="e">
            <v>#REF!</v>
          </cell>
          <cell r="S72">
            <v>23</v>
          </cell>
          <cell r="U72">
            <v>19</v>
          </cell>
          <cell r="V72">
            <v>0</v>
          </cell>
          <cell r="W72" t="e">
            <v>#REF!</v>
          </cell>
          <cell r="X72" t="e">
            <v>#REF!</v>
          </cell>
          <cell r="Y72" t="e">
            <v>#REF!</v>
          </cell>
          <cell r="Z72">
            <v>184</v>
          </cell>
          <cell r="AA72">
            <v>48</v>
          </cell>
          <cell r="AB72">
            <v>232</v>
          </cell>
        </row>
        <row r="73">
          <cell r="C73" t="e">
            <v>#REF!</v>
          </cell>
          <cell r="D73" t="e">
            <v>#REF!</v>
          </cell>
          <cell r="E73" t="e">
            <v>#REF!</v>
          </cell>
          <cell r="I73" t="e">
            <v>#REF!</v>
          </cell>
          <cell r="J73" t="e">
            <v>#REF!</v>
          </cell>
          <cell r="K73" t="e">
            <v>#REF!</v>
          </cell>
          <cell r="L73" t="e">
            <v>#REF!</v>
          </cell>
          <cell r="M73" t="e">
            <v>#REF!</v>
          </cell>
          <cell r="N73" t="e">
            <v>#REF!</v>
          </cell>
          <cell r="O73" t="e">
            <v>#REF!</v>
          </cell>
          <cell r="P73" t="e">
            <v>#REF!</v>
          </cell>
          <cell r="Q73" t="e">
            <v>#REF!</v>
          </cell>
          <cell r="R73" t="e">
            <v>#REF!</v>
          </cell>
          <cell r="S73">
            <v>0</v>
          </cell>
          <cell r="T73">
            <v>51</v>
          </cell>
          <cell r="U73">
            <v>28</v>
          </cell>
          <cell r="V73">
            <v>23</v>
          </cell>
          <cell r="W73" t="e">
            <v>#REF!</v>
          </cell>
          <cell r="X73" t="e">
            <v>#REF!</v>
          </cell>
          <cell r="Y73" t="e">
            <v>#REF!</v>
          </cell>
          <cell r="Z73" t="e">
            <v>#REF!</v>
          </cell>
          <cell r="AA73" t="e">
            <v>#REF!</v>
          </cell>
          <cell r="AB73" t="e">
            <v>#REF!</v>
          </cell>
          <cell r="AC73" t="e">
            <v>#REF!</v>
          </cell>
        </row>
        <row r="74">
          <cell r="C74" t="e">
            <v>#REF!</v>
          </cell>
          <cell r="D74" t="e">
            <v>#REF!</v>
          </cell>
          <cell r="E74" t="e">
            <v>#REF!</v>
          </cell>
          <cell r="I74" t="e">
            <v>#REF!</v>
          </cell>
          <cell r="J74" t="e">
            <v>#REF!</v>
          </cell>
          <cell r="K74" t="e">
            <v>#REF!</v>
          </cell>
          <cell r="L74" t="e">
            <v>#REF!</v>
          </cell>
          <cell r="M74" t="e">
            <v>#REF!</v>
          </cell>
          <cell r="N74" t="e">
            <v>#REF!</v>
          </cell>
          <cell r="O74" t="e">
            <v>#REF!</v>
          </cell>
          <cell r="P74" t="e">
            <v>#REF!</v>
          </cell>
          <cell r="Q74" t="e">
            <v>#REF!</v>
          </cell>
          <cell r="R74">
            <v>2</v>
          </cell>
          <cell r="U74">
            <v>494</v>
          </cell>
          <cell r="V74">
            <v>0</v>
          </cell>
          <cell r="W74" t="e">
            <v>#REF!</v>
          </cell>
          <cell r="X74" t="e">
            <v>#REF!</v>
          </cell>
          <cell r="Y74" t="e">
            <v>#REF!</v>
          </cell>
          <cell r="Z74" t="e">
            <v>#REF!</v>
          </cell>
          <cell r="AA74" t="e">
            <v>#REF!</v>
          </cell>
          <cell r="AB74" t="e">
            <v>#REF!</v>
          </cell>
          <cell r="AC74" t="e">
            <v>#REF!</v>
          </cell>
        </row>
        <row r="75">
          <cell r="C75" t="e">
            <v>#REF!</v>
          </cell>
          <cell r="D75" t="e">
            <v>#REF!</v>
          </cell>
          <cell r="E75" t="e">
            <v>#REF!</v>
          </cell>
          <cell r="I75" t="e">
            <v>#REF!</v>
          </cell>
          <cell r="J75" t="e">
            <v>#REF!</v>
          </cell>
          <cell r="K75" t="e">
            <v>#REF!</v>
          </cell>
          <cell r="L75" t="e">
            <v>#REF!</v>
          </cell>
          <cell r="M75" t="e">
            <v>#REF!</v>
          </cell>
          <cell r="N75" t="e">
            <v>#REF!</v>
          </cell>
          <cell r="O75" t="e">
            <v>#REF!</v>
          </cell>
          <cell r="P75" t="e">
            <v>#REF!</v>
          </cell>
          <cell r="Q75" t="e">
            <v>#REF!</v>
          </cell>
          <cell r="R75" t="e">
            <v>#REF!</v>
          </cell>
          <cell r="S75">
            <v>0</v>
          </cell>
          <cell r="T75">
            <v>51</v>
          </cell>
          <cell r="U75">
            <v>28</v>
          </cell>
          <cell r="V75">
            <v>23</v>
          </cell>
          <cell r="W75" t="e">
            <v>#REF!</v>
          </cell>
          <cell r="X75" t="e">
            <v>#REF!</v>
          </cell>
          <cell r="Y75" t="e">
            <v>#REF!</v>
          </cell>
          <cell r="Z75" t="e">
            <v>#REF!</v>
          </cell>
          <cell r="AA75" t="e">
            <v>#REF!</v>
          </cell>
          <cell r="AB75" t="e">
            <v>#REF!</v>
          </cell>
          <cell r="AC75" t="e">
            <v>#REF!</v>
          </cell>
        </row>
        <row r="76">
          <cell r="C76" t="e">
            <v>#REF!</v>
          </cell>
          <cell r="D76" t="e">
            <v>#REF!</v>
          </cell>
          <cell r="E76" t="e">
            <v>#REF!</v>
          </cell>
          <cell r="I76" t="e">
            <v>#REF!</v>
          </cell>
          <cell r="J76" t="e">
            <v>#REF!</v>
          </cell>
          <cell r="K76" t="e">
            <v>#REF!</v>
          </cell>
          <cell r="L76" t="e">
            <v>#REF!</v>
          </cell>
          <cell r="M76" t="e">
            <v>#REF!</v>
          </cell>
          <cell r="N76" t="e">
            <v>#REF!</v>
          </cell>
          <cell r="O76" t="e">
            <v>#REF!</v>
          </cell>
          <cell r="P76" t="e">
            <v>#REF!</v>
          </cell>
          <cell r="Q76" t="e">
            <v>#REF!</v>
          </cell>
          <cell r="R76" t="e">
            <v>#REF!</v>
          </cell>
          <cell r="S76">
            <v>0</v>
          </cell>
          <cell r="T76">
            <v>51</v>
          </cell>
          <cell r="U76">
            <v>28</v>
          </cell>
          <cell r="V76">
            <v>23</v>
          </cell>
          <cell r="W76" t="e">
            <v>#REF!</v>
          </cell>
          <cell r="X76" t="e">
            <v>#REF!</v>
          </cell>
          <cell r="Y76" t="e">
            <v>#REF!</v>
          </cell>
          <cell r="Z76">
            <v>401</v>
          </cell>
          <cell r="AA76">
            <v>0</v>
          </cell>
          <cell r="AB76">
            <v>401</v>
          </cell>
          <cell r="AC76" t="e">
            <v>#REF!</v>
          </cell>
        </row>
        <row r="77">
          <cell r="C77" t="e">
            <v>#REF!</v>
          </cell>
          <cell r="D77" t="e">
            <v>#REF!</v>
          </cell>
          <cell r="E77">
            <v>0</v>
          </cell>
          <cell r="I77" t="e">
            <v>#REF!</v>
          </cell>
          <cell r="J77" t="e">
            <v>#REF!</v>
          </cell>
          <cell r="K77" t="e">
            <v>#REF!</v>
          </cell>
          <cell r="L77" t="e">
            <v>#REF!</v>
          </cell>
          <cell r="M77" t="e">
            <v>#REF!</v>
          </cell>
          <cell r="N77" t="e">
            <v>#REF!</v>
          </cell>
          <cell r="O77">
            <v>12</v>
          </cell>
          <cell r="P77" t="e">
            <v>#REF!</v>
          </cell>
          <cell r="Q77" t="e">
            <v>#REF!</v>
          </cell>
          <cell r="R77">
            <v>11</v>
          </cell>
          <cell r="S77">
            <v>101</v>
          </cell>
          <cell r="T77">
            <v>12</v>
          </cell>
          <cell r="U77">
            <v>2919.666666666667</v>
          </cell>
          <cell r="V77">
            <v>0</v>
          </cell>
          <cell r="W77" t="e">
            <v>#REF!</v>
          </cell>
          <cell r="X77" t="e">
            <v>#REF!</v>
          </cell>
          <cell r="Y77" t="e">
            <v>#REF!</v>
          </cell>
          <cell r="Z77">
            <v>17733.666666666668</v>
          </cell>
          <cell r="AA77">
            <v>5796</v>
          </cell>
          <cell r="AB77">
            <v>23529.666666666668</v>
          </cell>
          <cell r="AC77" t="e">
            <v>#REF!</v>
          </cell>
        </row>
        <row r="78">
          <cell r="C78" t="e">
            <v>#REF!</v>
          </cell>
          <cell r="D78" t="e">
            <v>#REF!</v>
          </cell>
          <cell r="E78" t="e">
            <v>#REF!</v>
          </cell>
          <cell r="I78" t="e">
            <v>#REF!</v>
          </cell>
          <cell r="J78" t="e">
            <v>#REF!</v>
          </cell>
          <cell r="K78" t="e">
            <v>#REF!</v>
          </cell>
          <cell r="L78" t="e">
            <v>#REF!</v>
          </cell>
          <cell r="M78" t="e">
            <v>#REF!</v>
          </cell>
          <cell r="N78" t="e">
            <v>#REF!</v>
          </cell>
          <cell r="O78">
            <v>12</v>
          </cell>
          <cell r="P78" t="e">
            <v>#REF!</v>
          </cell>
          <cell r="Q78" t="e">
            <v>#REF!</v>
          </cell>
          <cell r="R78">
            <v>11</v>
          </cell>
          <cell r="T78">
            <v>0</v>
          </cell>
          <cell r="U78">
            <v>703</v>
          </cell>
          <cell r="V78">
            <v>373</v>
          </cell>
          <cell r="W78" t="e">
            <v>#REF!</v>
          </cell>
          <cell r="X78" t="e">
            <v>#REF!</v>
          </cell>
          <cell r="Y78" t="e">
            <v>#REF!</v>
          </cell>
          <cell r="Z78">
            <v>330</v>
          </cell>
          <cell r="AA78">
            <v>0</v>
          </cell>
          <cell r="AB78">
            <v>330</v>
          </cell>
        </row>
        <row r="79">
          <cell r="C79" t="e">
            <v>#REF!</v>
          </cell>
          <cell r="D79" t="e">
            <v>#REF!</v>
          </cell>
          <cell r="E79" t="e">
            <v>#REF!</v>
          </cell>
          <cell r="I79" t="e">
            <v>#REF!</v>
          </cell>
          <cell r="J79" t="e">
            <v>#REF!</v>
          </cell>
          <cell r="K79" t="e">
            <v>#REF!</v>
          </cell>
          <cell r="L79" t="e">
            <v>#REF!</v>
          </cell>
          <cell r="M79" t="e">
            <v>#REF!</v>
          </cell>
          <cell r="N79" t="e">
            <v>#REF!</v>
          </cell>
          <cell r="O79" t="e">
            <v>#REF!</v>
          </cell>
          <cell r="P79" t="e">
            <v>#REF!</v>
          </cell>
          <cell r="Q79" t="e">
            <v>#REF!</v>
          </cell>
          <cell r="R79" t="e">
            <v>#REF!</v>
          </cell>
          <cell r="S79">
            <v>0</v>
          </cell>
          <cell r="T79">
            <v>1129</v>
          </cell>
          <cell r="U79">
            <v>2217</v>
          </cell>
          <cell r="V79">
            <v>262</v>
          </cell>
          <cell r="W79" t="e">
            <v>#REF!</v>
          </cell>
          <cell r="X79" t="e">
            <v>#REF!</v>
          </cell>
          <cell r="Y79" t="e">
            <v>#REF!</v>
          </cell>
          <cell r="Z79">
            <v>1955</v>
          </cell>
          <cell r="AA79" t="e">
            <v>#REF!</v>
          </cell>
          <cell r="AB79">
            <v>1955</v>
          </cell>
        </row>
        <row r="80">
          <cell r="C80" t="e">
            <v>#REF!</v>
          </cell>
          <cell r="D80" t="e">
            <v>#REF!</v>
          </cell>
          <cell r="E80" t="e">
            <v>#REF!</v>
          </cell>
          <cell r="I80" t="e">
            <v>#REF!</v>
          </cell>
          <cell r="J80" t="e">
            <v>#REF!</v>
          </cell>
          <cell r="K80" t="e">
            <v>#REF!</v>
          </cell>
          <cell r="L80" t="e">
            <v>#REF!</v>
          </cell>
          <cell r="M80" t="e">
            <v>#REF!</v>
          </cell>
          <cell r="N80" t="e">
            <v>#REF!</v>
          </cell>
          <cell r="O80" t="e">
            <v>#REF!</v>
          </cell>
          <cell r="P80" t="e">
            <v>#REF!</v>
          </cell>
          <cell r="Q80" t="e">
            <v>#REF!</v>
          </cell>
          <cell r="R80" t="e">
            <v>#REF!</v>
          </cell>
          <cell r="S80">
            <v>0</v>
          </cell>
          <cell r="T80">
            <v>824</v>
          </cell>
          <cell r="U80">
            <v>261</v>
          </cell>
          <cell r="V80">
            <v>563</v>
          </cell>
          <cell r="W80" t="e">
            <v>#REF!</v>
          </cell>
          <cell r="X80" t="e">
            <v>#REF!</v>
          </cell>
          <cell r="Y80" t="e">
            <v>#REF!</v>
          </cell>
          <cell r="Z80" t="e">
            <v>#REF!</v>
          </cell>
          <cell r="AA80" t="e">
            <v>#REF!</v>
          </cell>
          <cell r="AB80" t="e">
            <v>#REF!</v>
          </cell>
          <cell r="AC80" t="e">
            <v>#REF!</v>
          </cell>
        </row>
        <row r="81">
          <cell r="C81" t="e">
            <v>#REF!</v>
          </cell>
          <cell r="D81" t="e">
            <v>#REF!</v>
          </cell>
          <cell r="E81" t="e">
            <v>#REF!</v>
          </cell>
          <cell r="I81">
            <v>30</v>
          </cell>
          <cell r="J81">
            <v>30</v>
          </cell>
          <cell r="M81">
            <v>3</v>
          </cell>
          <cell r="P81">
            <v>2</v>
          </cell>
          <cell r="S81">
            <v>0</v>
          </cell>
          <cell r="U81">
            <v>65</v>
          </cell>
          <cell r="V81">
            <v>30</v>
          </cell>
          <cell r="W81" t="e">
            <v>#REF!</v>
          </cell>
          <cell r="X81" t="e">
            <v>#REF!</v>
          </cell>
          <cell r="Y81" t="e">
            <v>#REF!</v>
          </cell>
          <cell r="Z81" t="e">
            <v>#REF!</v>
          </cell>
          <cell r="AA81" t="e">
            <v>#REF!</v>
          </cell>
          <cell r="AB81" t="e">
            <v>#REF!</v>
          </cell>
          <cell r="AC81" t="e">
            <v>#REF!</v>
          </cell>
        </row>
        <row r="82">
          <cell r="C82">
            <v>813.00000000000011</v>
          </cell>
          <cell r="D82">
            <v>501</v>
          </cell>
          <cell r="E82">
            <v>312.33333333333337</v>
          </cell>
          <cell r="I82">
            <v>1754.3098245614035</v>
          </cell>
          <cell r="J82">
            <v>5683.5263157894733</v>
          </cell>
          <cell r="K82">
            <v>3206.467894736842</v>
          </cell>
          <cell r="L82">
            <v>2466.0584210526313</v>
          </cell>
          <cell r="M82">
            <v>13401.17543859649</v>
          </cell>
          <cell r="N82">
            <v>9336</v>
          </cell>
          <cell r="O82">
            <v>4065.1754385964914</v>
          </cell>
          <cell r="P82">
            <v>10489.423728813559</v>
          </cell>
          <cell r="Q82">
            <v>6721</v>
          </cell>
          <cell r="R82">
            <v>3768.4237288135591</v>
          </cell>
          <cell r="S82">
            <v>0</v>
          </cell>
          <cell r="T82">
            <v>1129</v>
          </cell>
          <cell r="U82">
            <v>34743.435307760927</v>
          </cell>
          <cell r="V82">
            <v>18819.309824561402</v>
          </cell>
          <cell r="W82">
            <v>15924.125483199525</v>
          </cell>
          <cell r="X82">
            <v>16058.125483199525</v>
          </cell>
          <cell r="Y82">
            <v>178596</v>
          </cell>
          <cell r="Z82">
            <v>194654.12548319952</v>
          </cell>
          <cell r="AA82">
            <v>173414</v>
          </cell>
          <cell r="AB82">
            <v>368068.12548319955</v>
          </cell>
          <cell r="AC82">
            <v>16009</v>
          </cell>
        </row>
        <row r="83">
          <cell r="C83" t="e">
            <v>#REF!</v>
          </cell>
          <cell r="D83" t="e">
            <v>#REF!</v>
          </cell>
          <cell r="E83">
            <v>312.33333333333337</v>
          </cell>
          <cell r="P83">
            <v>21</v>
          </cell>
          <cell r="S83">
            <v>51</v>
          </cell>
          <cell r="T83">
            <v>33.660000000000004</v>
          </cell>
          <cell r="U83">
            <v>14098.435307760927</v>
          </cell>
          <cell r="V83">
            <v>5945.3098245614019</v>
          </cell>
          <cell r="W83">
            <v>19280</v>
          </cell>
          <cell r="X83">
            <v>19280</v>
          </cell>
          <cell r="Y83">
            <v>0</v>
          </cell>
          <cell r="Z83">
            <v>0</v>
          </cell>
          <cell r="AA83">
            <v>0</v>
          </cell>
          <cell r="AB83">
            <v>0</v>
          </cell>
          <cell r="AC83">
            <v>0</v>
          </cell>
        </row>
        <row r="84">
          <cell r="C84" t="e">
            <v>#REF!</v>
          </cell>
          <cell r="D84" t="e">
            <v>#REF!</v>
          </cell>
          <cell r="E84" t="e">
            <v>#REF!</v>
          </cell>
          <cell r="I84" t="e">
            <v>#REF!</v>
          </cell>
          <cell r="J84" t="e">
            <v>#REF!</v>
          </cell>
          <cell r="K84" t="e">
            <v>#REF!</v>
          </cell>
          <cell r="L84" t="e">
            <v>#REF!</v>
          </cell>
          <cell r="M84" t="e">
            <v>#REF!</v>
          </cell>
          <cell r="N84" t="e">
            <v>#REF!</v>
          </cell>
          <cell r="O84" t="e">
            <v>#REF!</v>
          </cell>
          <cell r="P84" t="e">
            <v>#REF!</v>
          </cell>
          <cell r="Q84" t="e">
            <v>#REF!</v>
          </cell>
          <cell r="R84" t="e">
            <v>#REF!</v>
          </cell>
          <cell r="S84">
            <v>0</v>
          </cell>
          <cell r="T84">
            <v>824</v>
          </cell>
          <cell r="U84">
            <v>261</v>
          </cell>
          <cell r="V84">
            <v>563</v>
          </cell>
          <cell r="W84" t="e">
            <v>#REF!</v>
          </cell>
          <cell r="X84" t="e">
            <v>#REF!</v>
          </cell>
          <cell r="Y84" t="e">
            <v>#REF!</v>
          </cell>
          <cell r="Z84" t="e">
            <v>#REF!</v>
          </cell>
          <cell r="AA84" t="e">
            <v>#REF!</v>
          </cell>
          <cell r="AB84" t="e">
            <v>#REF!</v>
          </cell>
          <cell r="AC84" t="e">
            <v>#REF!</v>
          </cell>
        </row>
        <row r="85">
          <cell r="C85" t="e">
            <v>#REF!</v>
          </cell>
          <cell r="D85" t="e">
            <v>#REF!</v>
          </cell>
          <cell r="E85" t="e">
            <v>#REF!</v>
          </cell>
          <cell r="I85" t="e">
            <v>#REF!</v>
          </cell>
          <cell r="J85" t="e">
            <v>#REF!</v>
          </cell>
          <cell r="K85" t="e">
            <v>#REF!</v>
          </cell>
          <cell r="L85" t="e">
            <v>#REF!</v>
          </cell>
          <cell r="M85" t="e">
            <v>#REF!</v>
          </cell>
          <cell r="N85" t="e">
            <v>#REF!</v>
          </cell>
          <cell r="O85" t="e">
            <v>#REF!</v>
          </cell>
          <cell r="P85" t="e">
            <v>#REF!</v>
          </cell>
          <cell r="Q85" t="e">
            <v>#REF!</v>
          </cell>
          <cell r="R85" t="e">
            <v>#REF!</v>
          </cell>
          <cell r="S85">
            <v>0</v>
          </cell>
          <cell r="T85">
            <v>1129</v>
          </cell>
          <cell r="U85">
            <v>3670</v>
          </cell>
          <cell r="V85">
            <v>3670</v>
          </cell>
          <cell r="W85">
            <v>492.48599999999999</v>
          </cell>
          <cell r="X85">
            <v>342.49799999999999</v>
          </cell>
          <cell r="Y85">
            <v>149.988</v>
          </cell>
          <cell r="Z85">
            <v>0</v>
          </cell>
          <cell r="AA85">
            <v>0</v>
          </cell>
          <cell r="AB85">
            <v>342.49799999999999</v>
          </cell>
          <cell r="AC85">
            <v>149.988</v>
          </cell>
        </row>
        <row r="86">
          <cell r="C86" t="e">
            <v>#REF!</v>
          </cell>
          <cell r="D86" t="e">
            <v>#REF!</v>
          </cell>
          <cell r="E86" t="e">
            <v>#REF!</v>
          </cell>
          <cell r="I86">
            <v>1754.3098245614035</v>
          </cell>
          <cell r="J86">
            <v>5683.5263157894733</v>
          </cell>
          <cell r="K86">
            <v>3206.467894736842</v>
          </cell>
          <cell r="L86">
            <v>2466.0584210526313</v>
          </cell>
          <cell r="M86">
            <v>13401.17543859649</v>
          </cell>
          <cell r="N86">
            <v>9336</v>
          </cell>
          <cell r="O86">
            <v>4065.1754385964914</v>
          </cell>
          <cell r="P86">
            <v>10489.423728813559</v>
          </cell>
          <cell r="Q86">
            <v>6721</v>
          </cell>
          <cell r="R86">
            <v>3768.4237288135591</v>
          </cell>
          <cell r="S86">
            <v>0</v>
          </cell>
          <cell r="T86">
            <v>1129</v>
          </cell>
          <cell r="U86">
            <v>38413.435307760927</v>
          </cell>
          <cell r="V86">
            <v>22489.309824561402</v>
          </cell>
          <cell r="W86">
            <v>821</v>
          </cell>
          <cell r="X86">
            <v>571</v>
          </cell>
          <cell r="Y86">
            <v>250</v>
          </cell>
          <cell r="Z86">
            <v>0</v>
          </cell>
          <cell r="AA86">
            <v>0</v>
          </cell>
          <cell r="AB86">
            <v>571</v>
          </cell>
          <cell r="AC86">
            <v>250</v>
          </cell>
        </row>
        <row r="87">
          <cell r="C87" t="e">
            <v>#REF!</v>
          </cell>
          <cell r="D87" t="e">
            <v>#REF!</v>
          </cell>
          <cell r="E87" t="e">
            <v>#REF!</v>
          </cell>
          <cell r="I87" t="e">
            <v>#REF!</v>
          </cell>
          <cell r="J87">
            <v>0</v>
          </cell>
          <cell r="K87">
            <v>0</v>
          </cell>
          <cell r="L87">
            <v>0</v>
          </cell>
          <cell r="M87">
            <v>0</v>
          </cell>
          <cell r="N87">
            <v>0</v>
          </cell>
          <cell r="O87">
            <v>0</v>
          </cell>
          <cell r="P87">
            <v>0</v>
          </cell>
          <cell r="Q87">
            <v>0</v>
          </cell>
          <cell r="R87">
            <v>0</v>
          </cell>
          <cell r="S87" t="e">
            <v>#REF!</v>
          </cell>
          <cell r="T87">
            <v>0</v>
          </cell>
          <cell r="U87">
            <v>230.42400000000001</v>
          </cell>
          <cell r="V87">
            <v>178.35599999999999</v>
          </cell>
          <cell r="W87" t="e">
            <v>#REF!</v>
          </cell>
          <cell r="X87" t="e">
            <v>#REF!</v>
          </cell>
          <cell r="Y87" t="e">
            <v>#REF!</v>
          </cell>
          <cell r="Z87">
            <v>0</v>
          </cell>
          <cell r="AA87">
            <v>0</v>
          </cell>
          <cell r="AB87" t="e">
            <v>#REF!</v>
          </cell>
          <cell r="AC87" t="e">
            <v>#REF!</v>
          </cell>
        </row>
        <row r="88">
          <cell r="C88" t="e">
            <v>#REF!</v>
          </cell>
          <cell r="D88" t="e">
            <v>#REF!</v>
          </cell>
          <cell r="E88" t="e">
            <v>#REF!</v>
          </cell>
          <cell r="I88" t="e">
            <v>#REF!</v>
          </cell>
          <cell r="J88" t="e">
            <v>#REF!</v>
          </cell>
          <cell r="M88" t="e">
            <v>#REF!</v>
          </cell>
          <cell r="P88" t="e">
            <v>#REF!</v>
          </cell>
          <cell r="S88" t="e">
            <v>#REF!</v>
          </cell>
          <cell r="U88">
            <v>384</v>
          </cell>
          <cell r="V88">
            <v>297</v>
          </cell>
          <cell r="W88" t="e">
            <v>#REF!</v>
          </cell>
          <cell r="X88" t="e">
            <v>#REF!</v>
          </cell>
          <cell r="Y88" t="e">
            <v>#REF!</v>
          </cell>
          <cell r="Z88">
            <v>0</v>
          </cell>
          <cell r="AA88">
            <v>0</v>
          </cell>
          <cell r="AB88" t="e">
            <v>#REF!</v>
          </cell>
          <cell r="AC88" t="e">
            <v>#REF!</v>
          </cell>
        </row>
        <row r="89">
          <cell r="C89" t="e">
            <v>#REF!</v>
          </cell>
          <cell r="D89" t="e">
            <v>#REF!</v>
          </cell>
          <cell r="E89" t="e">
            <v>#REF!</v>
          </cell>
          <cell r="I89" t="e">
            <v>#REF!</v>
          </cell>
          <cell r="J89" t="e">
            <v>#REF!</v>
          </cell>
          <cell r="K89" t="e">
            <v>#REF!</v>
          </cell>
          <cell r="L89" t="e">
            <v>#REF!</v>
          </cell>
          <cell r="M89" t="e">
            <v>#REF!</v>
          </cell>
          <cell r="N89" t="e">
            <v>#REF!</v>
          </cell>
          <cell r="O89" t="e">
            <v>#REF!</v>
          </cell>
          <cell r="P89" t="e">
            <v>#REF!</v>
          </cell>
          <cell r="Q89" t="e">
            <v>#REF!</v>
          </cell>
          <cell r="R89" t="e">
            <v>#REF!</v>
          </cell>
          <cell r="S89">
            <v>0</v>
          </cell>
          <cell r="T89">
            <v>824</v>
          </cell>
          <cell r="U89">
            <v>261</v>
          </cell>
          <cell r="V89">
            <v>563</v>
          </cell>
          <cell r="W89" t="e">
            <v>#REF!</v>
          </cell>
          <cell r="X89" t="e">
            <v>#REF!</v>
          </cell>
          <cell r="Y89" t="e">
            <v>#REF!</v>
          </cell>
          <cell r="Z89" t="e">
            <v>#REF!</v>
          </cell>
          <cell r="AA89" t="e">
            <v>#REF!</v>
          </cell>
          <cell r="AB89" t="e">
            <v>#REF!</v>
          </cell>
          <cell r="AC89" t="e">
            <v>#REF!</v>
          </cell>
        </row>
        <row r="90">
          <cell r="C90" t="e">
            <v>#REF!</v>
          </cell>
          <cell r="D90" t="e">
            <v>#REF!</v>
          </cell>
          <cell r="E90" t="e">
            <v>#REF!</v>
          </cell>
          <cell r="I90" t="e">
            <v>#REF!</v>
          </cell>
          <cell r="J90" t="e">
            <v>#REF!</v>
          </cell>
          <cell r="K90" t="e">
            <v>#REF!</v>
          </cell>
          <cell r="L90" t="e">
            <v>#REF!</v>
          </cell>
          <cell r="M90" t="e">
            <v>#REF!</v>
          </cell>
          <cell r="N90" t="e">
            <v>#REF!</v>
          </cell>
          <cell r="O90" t="e">
            <v>#REF!</v>
          </cell>
          <cell r="P90" t="e">
            <v>#REF!</v>
          </cell>
          <cell r="Q90" t="e">
            <v>#REF!</v>
          </cell>
          <cell r="R90" t="e">
            <v>#REF!</v>
          </cell>
          <cell r="S90">
            <v>0</v>
          </cell>
          <cell r="T90">
            <v>824</v>
          </cell>
          <cell r="U90">
            <v>0</v>
          </cell>
          <cell r="V90">
            <v>0</v>
          </cell>
          <cell r="W90" t="e">
            <v>#REF!</v>
          </cell>
          <cell r="X90" t="e">
            <v>#REF!</v>
          </cell>
          <cell r="Y90" t="e">
            <v>#REF!</v>
          </cell>
          <cell r="Z90" t="e">
            <v>#REF!</v>
          </cell>
          <cell r="AA90" t="e">
            <v>#REF!</v>
          </cell>
          <cell r="AB90" t="e">
            <v>#REF!</v>
          </cell>
          <cell r="AC90" t="e">
            <v>#REF!</v>
          </cell>
        </row>
        <row r="91">
          <cell r="C91" t="e">
            <v>#REF!</v>
          </cell>
          <cell r="D91" t="e">
            <v>#REF!</v>
          </cell>
          <cell r="E91" t="e">
            <v>#REF!</v>
          </cell>
          <cell r="I91" t="e">
            <v>#REF!</v>
          </cell>
          <cell r="J91" t="e">
            <v>#REF!</v>
          </cell>
          <cell r="K91" t="e">
            <v>#REF!</v>
          </cell>
          <cell r="L91" t="e">
            <v>#REF!</v>
          </cell>
          <cell r="M91" t="e">
            <v>#REF!</v>
          </cell>
          <cell r="N91" t="e">
            <v>#REF!</v>
          </cell>
          <cell r="O91" t="e">
            <v>#REF!</v>
          </cell>
          <cell r="P91" t="e">
            <v>#REF!</v>
          </cell>
          <cell r="Q91" t="e">
            <v>#REF!</v>
          </cell>
          <cell r="R91" t="e">
            <v>#REF!</v>
          </cell>
          <cell r="S91">
            <v>0</v>
          </cell>
          <cell r="T91">
            <v>0</v>
          </cell>
          <cell r="U91">
            <v>39085.52597442759</v>
          </cell>
          <cell r="V91">
            <v>23000.665824561402</v>
          </cell>
          <cell r="W91" t="e">
            <v>#REF!</v>
          </cell>
          <cell r="X91" t="e">
            <v>#REF!</v>
          </cell>
          <cell r="Y91" t="e">
            <v>#REF!</v>
          </cell>
          <cell r="Z91" t="e">
            <v>#REF!</v>
          </cell>
          <cell r="AA91" t="e">
            <v>#REF!</v>
          </cell>
          <cell r="AB91" t="e">
            <v>#REF!</v>
          </cell>
          <cell r="AC91" t="e">
            <v>#REF!</v>
          </cell>
        </row>
        <row r="92">
          <cell r="C92">
            <v>1485.0906666666669</v>
          </cell>
          <cell r="D92">
            <v>1012.3559999999998</v>
          </cell>
          <cell r="E92">
            <v>473.06800000000004</v>
          </cell>
          <cell r="I92">
            <v>1729.3098245614035</v>
          </cell>
          <cell r="J92">
            <v>4172.5263157894733</v>
          </cell>
          <cell r="K92">
            <v>1695.467894736842</v>
          </cell>
          <cell r="L92">
            <v>2466.0584210526313</v>
          </cell>
          <cell r="M92">
            <v>2563.1754385964905</v>
          </cell>
          <cell r="N92">
            <v>1786</v>
          </cell>
          <cell r="O92">
            <v>777.1754385964914</v>
          </cell>
          <cell r="P92">
            <v>2218.4237288135591</v>
          </cell>
          <cell r="Q92">
            <v>1422</v>
          </cell>
          <cell r="R92">
            <v>796.42372881355914</v>
          </cell>
          <cell r="S92">
            <v>0</v>
          </cell>
          <cell r="T92">
            <v>1129</v>
          </cell>
          <cell r="U92">
            <v>14770.52597442759</v>
          </cell>
          <cell r="V92">
            <v>6456.6658245614017</v>
          </cell>
          <cell r="W92">
            <v>8313.8601498661901</v>
          </cell>
          <cell r="X92">
            <v>7802.8601498661901</v>
          </cell>
          <cell r="Y92">
            <v>65204</v>
          </cell>
          <cell r="Z92">
            <v>73006.860149866174</v>
          </cell>
          <cell r="AA92">
            <v>30183</v>
          </cell>
          <cell r="AB92">
            <v>103189.86014986626</v>
          </cell>
          <cell r="AC92">
            <v>3160</v>
          </cell>
        </row>
        <row r="93">
          <cell r="C93" t="e">
            <v>#REF!</v>
          </cell>
          <cell r="D93">
            <v>54</v>
          </cell>
          <cell r="E93">
            <v>34</v>
          </cell>
          <cell r="I93" t="e">
            <v>#REF!</v>
          </cell>
          <cell r="J93" t="e">
            <v>#REF!</v>
          </cell>
          <cell r="K93">
            <v>282.3363157894737</v>
          </cell>
          <cell r="L93">
            <v>386.6636842105263</v>
          </cell>
          <cell r="M93" t="e">
            <v>#REF!</v>
          </cell>
          <cell r="N93">
            <v>199</v>
          </cell>
          <cell r="O93">
            <v>87</v>
          </cell>
          <cell r="P93" t="e">
            <v>#REF!</v>
          </cell>
          <cell r="Q93">
            <v>80</v>
          </cell>
          <cell r="R93">
            <v>45.61671126969965</v>
          </cell>
          <cell r="S93">
            <v>71</v>
          </cell>
          <cell r="T93">
            <v>139</v>
          </cell>
          <cell r="U93">
            <v>1776.9967112696997</v>
          </cell>
          <cell r="V93">
            <v>906.38</v>
          </cell>
          <cell r="W93" t="e">
            <v>#REF!</v>
          </cell>
          <cell r="X93">
            <v>0</v>
          </cell>
          <cell r="Y93">
            <v>0</v>
          </cell>
          <cell r="Z93">
            <v>0</v>
          </cell>
          <cell r="AA93">
            <v>0</v>
          </cell>
          <cell r="AC93">
            <v>149</v>
          </cell>
        </row>
        <row r="94">
          <cell r="C94" t="e">
            <v>#REF!</v>
          </cell>
          <cell r="I94" t="e">
            <v>#REF!</v>
          </cell>
          <cell r="J94" t="e">
            <v>#REF!</v>
          </cell>
          <cell r="M94" t="e">
            <v>#REF!</v>
          </cell>
          <cell r="P94" t="e">
            <v>#REF!</v>
          </cell>
          <cell r="S94">
            <v>8</v>
          </cell>
          <cell r="T94">
            <v>75</v>
          </cell>
          <cell r="U94">
            <v>3306</v>
          </cell>
          <cell r="W94" t="e">
            <v>#REF!</v>
          </cell>
          <cell r="X94">
            <v>-129.33333333333334</v>
          </cell>
          <cell r="Y94">
            <v>-96</v>
          </cell>
          <cell r="Z94">
            <v>-33.333333333333343</v>
          </cell>
        </row>
        <row r="95">
          <cell r="C95" t="e">
            <v>#REF!</v>
          </cell>
          <cell r="I95" t="e">
            <v>#REF!</v>
          </cell>
          <cell r="J95" t="e">
            <v>#REF!</v>
          </cell>
          <cell r="M95" t="e">
            <v>#REF!</v>
          </cell>
          <cell r="P95" t="e">
            <v>#REF!</v>
          </cell>
          <cell r="S95">
            <v>0</v>
          </cell>
          <cell r="T95">
            <v>54</v>
          </cell>
          <cell r="U95">
            <v>1754</v>
          </cell>
          <cell r="W95" t="e">
            <v>#REF!</v>
          </cell>
        </row>
        <row r="96">
          <cell r="C96" t="e">
            <v>#REF!</v>
          </cell>
          <cell r="I96" t="e">
            <v>#REF!</v>
          </cell>
          <cell r="J96" t="e">
            <v>#REF!</v>
          </cell>
          <cell r="M96" t="e">
            <v>#REF!</v>
          </cell>
          <cell r="P96" t="e">
            <v>#REF!</v>
          </cell>
          <cell r="S96">
            <v>0</v>
          </cell>
          <cell r="U96">
            <v>494</v>
          </cell>
          <cell r="W96" t="e">
            <v>#REF!</v>
          </cell>
        </row>
        <row r="97">
          <cell r="C97" t="e">
            <v>#REF!</v>
          </cell>
          <cell r="I97" t="e">
            <v>#REF!</v>
          </cell>
          <cell r="J97" t="e">
            <v>#REF!</v>
          </cell>
          <cell r="M97" t="e">
            <v>#REF!</v>
          </cell>
          <cell r="P97" t="e">
            <v>#REF!</v>
          </cell>
          <cell r="Q97">
            <v>0</v>
          </cell>
          <cell r="R97">
            <v>0</v>
          </cell>
          <cell r="S97">
            <v>0</v>
          </cell>
          <cell r="T97">
            <v>3616.0618606060607</v>
          </cell>
          <cell r="U97">
            <v>913</v>
          </cell>
          <cell r="V97">
            <v>0</v>
          </cell>
          <cell r="W97" t="e">
            <v>#REF!</v>
          </cell>
          <cell r="X97">
            <v>14977.853030303029</v>
          </cell>
          <cell r="Y97">
            <v>11068</v>
          </cell>
          <cell r="Z97">
            <v>3909.8530303030298</v>
          </cell>
          <cell r="AA97">
            <v>0</v>
          </cell>
        </row>
        <row r="98">
          <cell r="C98" t="e">
            <v>#REF!</v>
          </cell>
          <cell r="I98" t="e">
            <v>#REF!</v>
          </cell>
          <cell r="J98" t="e">
            <v>#REF!</v>
          </cell>
          <cell r="M98" t="e">
            <v>#REF!</v>
          </cell>
          <cell r="P98" t="e">
            <v>#REF!</v>
          </cell>
          <cell r="S98" t="e">
            <v>#REF!</v>
          </cell>
          <cell r="U98">
            <v>0</v>
          </cell>
          <cell r="W98" t="e">
            <v>#REF!</v>
          </cell>
        </row>
        <row r="99">
          <cell r="C99" t="e">
            <v>#REF!</v>
          </cell>
          <cell r="I99" t="e">
            <v>#REF!</v>
          </cell>
          <cell r="J99" t="e">
            <v>#REF!</v>
          </cell>
          <cell r="M99" t="e">
            <v>#REF!</v>
          </cell>
          <cell r="P99" t="e">
            <v>#REF!</v>
          </cell>
          <cell r="Q99">
            <v>0</v>
          </cell>
          <cell r="R99">
            <v>0</v>
          </cell>
          <cell r="S99">
            <v>3</v>
          </cell>
          <cell r="T99">
            <v>2384.0618606060607</v>
          </cell>
          <cell r="U99">
            <v>0</v>
          </cell>
          <cell r="V99">
            <v>0</v>
          </cell>
          <cell r="W99" t="e">
            <v>#REF!</v>
          </cell>
          <cell r="X99">
            <v>2407.8530303030293</v>
          </cell>
          <cell r="Y99">
            <v>1779</v>
          </cell>
          <cell r="Z99">
            <v>628.85303030302975</v>
          </cell>
          <cell r="AA99">
            <v>0</v>
          </cell>
        </row>
        <row r="100">
          <cell r="C100" t="e">
            <v>#REF!</v>
          </cell>
          <cell r="I100" t="e">
            <v>#REF!</v>
          </cell>
          <cell r="J100" t="e">
            <v>#REF!</v>
          </cell>
          <cell r="M100" t="e">
            <v>#REF!</v>
          </cell>
          <cell r="P100" t="e">
            <v>#REF!</v>
          </cell>
          <cell r="S100">
            <v>0</v>
          </cell>
          <cell r="U100">
            <v>1093</v>
          </cell>
          <cell r="W100" t="e">
            <v>#REF!</v>
          </cell>
          <cell r="X100">
            <v>85</v>
          </cell>
        </row>
        <row r="101">
          <cell r="C101" t="e">
            <v>#REF!</v>
          </cell>
          <cell r="I101" t="e">
            <v>#REF!</v>
          </cell>
          <cell r="J101" t="e">
            <v>#REF!</v>
          </cell>
          <cell r="M101" t="e">
            <v>#REF!</v>
          </cell>
          <cell r="P101" t="e">
            <v>#REF!</v>
          </cell>
          <cell r="S101">
            <v>0</v>
          </cell>
          <cell r="U101">
            <v>913</v>
          </cell>
          <cell r="V101">
            <v>0</v>
          </cell>
          <cell r="W101" t="e">
            <v>#REF!</v>
          </cell>
          <cell r="X101">
            <v>100</v>
          </cell>
        </row>
        <row r="102">
          <cell r="C102" t="e">
            <v>#REF!</v>
          </cell>
          <cell r="I102" t="e">
            <v>#REF!</v>
          </cell>
          <cell r="J102" t="e">
            <v>#REF!</v>
          </cell>
          <cell r="M102" t="e">
            <v>#REF!</v>
          </cell>
          <cell r="P102" t="e">
            <v>#REF!</v>
          </cell>
          <cell r="S102">
            <v>3</v>
          </cell>
          <cell r="U102">
            <v>50</v>
          </cell>
          <cell r="W102" t="e">
            <v>#REF!</v>
          </cell>
          <cell r="X102">
            <v>100</v>
          </cell>
        </row>
        <row r="103">
          <cell r="C103" t="e">
            <v>#REF!</v>
          </cell>
          <cell r="I103" t="e">
            <v>#REF!</v>
          </cell>
          <cell r="J103" t="e">
            <v>#REF!</v>
          </cell>
          <cell r="M103" t="e">
            <v>#REF!</v>
          </cell>
          <cell r="P103" t="e">
            <v>#REF!</v>
          </cell>
          <cell r="S103" t="e">
            <v>#REF!</v>
          </cell>
          <cell r="T103">
            <v>10</v>
          </cell>
          <cell r="U103">
            <v>130</v>
          </cell>
          <cell r="W103" t="e">
            <v>#REF!</v>
          </cell>
          <cell r="X103">
            <v>0</v>
          </cell>
        </row>
        <row r="104">
          <cell r="C104" t="e">
            <v>#REF!</v>
          </cell>
          <cell r="I104" t="e">
            <v>#REF!</v>
          </cell>
          <cell r="J104" t="e">
            <v>#REF!</v>
          </cell>
          <cell r="M104" t="e">
            <v>#REF!</v>
          </cell>
          <cell r="P104" t="e">
            <v>#REF!</v>
          </cell>
          <cell r="S104">
            <v>100</v>
          </cell>
          <cell r="T104">
            <v>10</v>
          </cell>
          <cell r="U104">
            <v>3922</v>
          </cell>
          <cell r="W104" t="e">
            <v>#REF!</v>
          </cell>
        </row>
        <row r="105">
          <cell r="C105" t="e">
            <v>#REF!</v>
          </cell>
          <cell r="I105" t="e">
            <v>#REF!</v>
          </cell>
          <cell r="J105" t="e">
            <v>#REF!</v>
          </cell>
          <cell r="M105" t="e">
            <v>#REF!</v>
          </cell>
          <cell r="P105" t="e">
            <v>#REF!</v>
          </cell>
          <cell r="S105" t="e">
            <v>#REF!</v>
          </cell>
          <cell r="U105">
            <v>261</v>
          </cell>
          <cell r="W105" t="e">
            <v>#REF!</v>
          </cell>
        </row>
        <row r="106">
          <cell r="C106" t="e">
            <v>#REF!</v>
          </cell>
          <cell r="I106" t="e">
            <v>#REF!</v>
          </cell>
          <cell r="J106" t="e">
            <v>#REF!</v>
          </cell>
          <cell r="M106" t="e">
            <v>#REF!</v>
          </cell>
          <cell r="P106" t="e">
            <v>#REF!</v>
          </cell>
          <cell r="S106">
            <v>278</v>
          </cell>
          <cell r="T106">
            <v>55</v>
          </cell>
          <cell r="U106">
            <v>3661</v>
          </cell>
          <cell r="V106" t="e">
            <v>#REF!</v>
          </cell>
          <cell r="W106" t="e">
            <v>#REF!</v>
          </cell>
          <cell r="X106">
            <v>0</v>
          </cell>
          <cell r="Y106">
            <v>0</v>
          </cell>
        </row>
        <row r="107">
          <cell r="C107" t="e">
            <v>#REF!</v>
          </cell>
          <cell r="I107" t="e">
            <v>#REF!</v>
          </cell>
          <cell r="J107" t="e">
            <v>#REF!</v>
          </cell>
          <cell r="M107" t="e">
            <v>#REF!</v>
          </cell>
          <cell r="P107" t="e">
            <v>#REF!</v>
          </cell>
          <cell r="T107">
            <v>55</v>
          </cell>
          <cell r="U107">
            <v>-38.052597442759001</v>
          </cell>
          <cell r="V107">
            <v>-38.052597442759001</v>
          </cell>
          <cell r="W107" t="e">
            <v>#REF!</v>
          </cell>
        </row>
        <row r="108">
          <cell r="C108" t="e">
            <v>#REF!</v>
          </cell>
          <cell r="D108">
            <v>0</v>
          </cell>
          <cell r="E108">
            <v>0</v>
          </cell>
          <cell r="I108" t="e">
            <v>#REF!</v>
          </cell>
          <cell r="J108" t="e">
            <v>#REF!</v>
          </cell>
          <cell r="M108" t="e">
            <v>#REF!</v>
          </cell>
          <cell r="N108">
            <v>0</v>
          </cell>
          <cell r="O108">
            <v>0</v>
          </cell>
          <cell r="P108" t="e">
            <v>#REF!</v>
          </cell>
          <cell r="Q108">
            <v>0</v>
          </cell>
          <cell r="R108">
            <v>0</v>
          </cell>
          <cell r="S108" t="e">
            <v>#REF!</v>
          </cell>
          <cell r="T108">
            <v>0</v>
          </cell>
          <cell r="U108">
            <v>268</v>
          </cell>
          <cell r="V108" t="e">
            <v>#REF!</v>
          </cell>
          <cell r="W108">
            <v>0</v>
          </cell>
          <cell r="X108">
            <v>0</v>
          </cell>
          <cell r="Y108">
            <v>0</v>
          </cell>
          <cell r="Z108">
            <v>0</v>
          </cell>
          <cell r="AA108">
            <v>0</v>
          </cell>
        </row>
        <row r="109">
          <cell r="C109" t="e">
            <v>#REF!</v>
          </cell>
          <cell r="D109">
            <v>0</v>
          </cell>
          <cell r="E109">
            <v>0</v>
          </cell>
          <cell r="I109" t="e">
            <v>#REF!</v>
          </cell>
          <cell r="J109" t="e">
            <v>#REF!</v>
          </cell>
          <cell r="M109" t="e">
            <v>#REF!</v>
          </cell>
          <cell r="N109">
            <v>0</v>
          </cell>
          <cell r="O109">
            <v>0</v>
          </cell>
          <cell r="P109" t="e">
            <v>#REF!</v>
          </cell>
          <cell r="S109" t="e">
            <v>#REF!</v>
          </cell>
          <cell r="T109">
            <v>0</v>
          </cell>
          <cell r="U109">
            <v>0</v>
          </cell>
          <cell r="V109">
            <v>0</v>
          </cell>
          <cell r="W109" t="e">
            <v>#REF!</v>
          </cell>
        </row>
        <row r="110">
          <cell r="C110" t="e">
            <v>#REF!</v>
          </cell>
          <cell r="I110" t="e">
            <v>#REF!</v>
          </cell>
          <cell r="J110" t="e">
            <v>#REF!</v>
          </cell>
          <cell r="M110" t="e">
            <v>#REF!</v>
          </cell>
          <cell r="P110" t="e">
            <v>#REF!</v>
          </cell>
          <cell r="S110">
            <v>708.125</v>
          </cell>
          <cell r="U110">
            <v>0</v>
          </cell>
          <cell r="W110" t="e">
            <v>#REF!</v>
          </cell>
          <cell r="X110">
            <v>0</v>
          </cell>
        </row>
        <row r="111">
          <cell r="C111" t="e">
            <v>#REF!</v>
          </cell>
          <cell r="I111" t="e">
            <v>#REF!</v>
          </cell>
          <cell r="J111" t="e">
            <v>#REF!</v>
          </cell>
          <cell r="M111" t="e">
            <v>#REF!</v>
          </cell>
          <cell r="P111" t="e">
            <v>#REF!</v>
          </cell>
          <cell r="S111">
            <v>897</v>
          </cell>
          <cell r="U111">
            <v>1568.5</v>
          </cell>
          <cell r="W111" t="e">
            <v>#REF!</v>
          </cell>
        </row>
        <row r="112">
          <cell r="C112" t="e">
            <v>#REF!</v>
          </cell>
          <cell r="I112">
            <v>13</v>
          </cell>
          <cell r="J112">
            <v>9.3333333333333339</v>
          </cell>
          <cell r="M112">
            <v>0</v>
          </cell>
          <cell r="P112">
            <v>30</v>
          </cell>
          <cell r="S112">
            <v>0</v>
          </cell>
          <cell r="U112">
            <v>53.583333333333336</v>
          </cell>
          <cell r="V112" t="e">
            <v>#REF!</v>
          </cell>
          <cell r="W112" t="e">
            <v>#REF!</v>
          </cell>
        </row>
        <row r="113">
          <cell r="C113">
            <v>-12710</v>
          </cell>
          <cell r="P113">
            <v>0</v>
          </cell>
          <cell r="S113">
            <v>0</v>
          </cell>
          <cell r="W113">
            <v>-12710</v>
          </cell>
          <cell r="X113" t="e">
            <v>#REF!</v>
          </cell>
        </row>
        <row r="114">
          <cell r="C114">
            <v>0</v>
          </cell>
          <cell r="P114">
            <v>0</v>
          </cell>
          <cell r="S114">
            <v>0</v>
          </cell>
          <cell r="U114" t="e">
            <v>#REF!</v>
          </cell>
          <cell r="V114" t="e">
            <v>#REF!</v>
          </cell>
          <cell r="W114" t="e">
            <v>#REF!</v>
          </cell>
          <cell r="X114">
            <v>0</v>
          </cell>
        </row>
        <row r="115">
          <cell r="C115" t="e">
            <v>#REF!</v>
          </cell>
          <cell r="D115">
            <v>0</v>
          </cell>
          <cell r="E115">
            <v>0</v>
          </cell>
          <cell r="I115" t="e">
            <v>#REF!</v>
          </cell>
          <cell r="J115" t="e">
            <v>#REF!</v>
          </cell>
          <cell r="M115" t="e">
            <v>#REF!</v>
          </cell>
          <cell r="N115">
            <v>0</v>
          </cell>
          <cell r="O115">
            <v>0</v>
          </cell>
          <cell r="P115" t="e">
            <v>#REF!</v>
          </cell>
          <cell r="Q115">
            <v>0</v>
          </cell>
          <cell r="R115">
            <v>0</v>
          </cell>
          <cell r="S115" t="e">
            <v>#REF!</v>
          </cell>
          <cell r="T115">
            <v>65</v>
          </cell>
          <cell r="U115" t="e">
            <v>#REF!</v>
          </cell>
          <cell r="W115" t="e">
            <v>#REF!</v>
          </cell>
          <cell r="Z115">
            <v>0</v>
          </cell>
          <cell r="AA115">
            <v>0</v>
          </cell>
          <cell r="AB115">
            <v>0</v>
          </cell>
          <cell r="AC115">
            <v>0</v>
          </cell>
        </row>
        <row r="116">
          <cell r="C116" t="e">
            <v>#REF!</v>
          </cell>
          <cell r="D116">
            <v>0</v>
          </cell>
          <cell r="E116">
            <v>0</v>
          </cell>
          <cell r="I116" t="e">
            <v>#REF!</v>
          </cell>
          <cell r="J116" t="e">
            <v>#REF!</v>
          </cell>
          <cell r="M116" t="e">
            <v>#REF!</v>
          </cell>
          <cell r="N116">
            <v>0</v>
          </cell>
          <cell r="O116">
            <v>0</v>
          </cell>
          <cell r="P116" t="e">
            <v>#REF!</v>
          </cell>
          <cell r="Q116">
            <v>0</v>
          </cell>
          <cell r="R116">
            <v>0</v>
          </cell>
          <cell r="S116" t="e">
            <v>#REF!</v>
          </cell>
          <cell r="T116">
            <v>65</v>
          </cell>
          <cell r="U116">
            <v>7512.0307358905739</v>
          </cell>
          <cell r="V116" t="e">
            <v>#REF!</v>
          </cell>
          <cell r="W116" t="e">
            <v>#REF!</v>
          </cell>
          <cell r="X116">
            <v>0</v>
          </cell>
          <cell r="AC116">
            <v>0</v>
          </cell>
        </row>
        <row r="117">
          <cell r="C117" t="e">
            <v>#REF!</v>
          </cell>
          <cell r="D117">
            <v>0</v>
          </cell>
          <cell r="E117">
            <v>0</v>
          </cell>
          <cell r="I117">
            <v>672.25</v>
          </cell>
          <cell r="J117">
            <v>1037.0833333333333</v>
          </cell>
          <cell r="M117">
            <v>136.125</v>
          </cell>
          <cell r="N117">
            <v>0</v>
          </cell>
          <cell r="O117">
            <v>0</v>
          </cell>
          <cell r="P117">
            <v>291.25</v>
          </cell>
          <cell r="S117">
            <v>1077.625</v>
          </cell>
          <cell r="T117">
            <v>0</v>
          </cell>
          <cell r="U117">
            <v>6599.0307358905739</v>
          </cell>
          <cell r="W117" t="e">
            <v>#REF!</v>
          </cell>
          <cell r="X117">
            <v>0</v>
          </cell>
          <cell r="Z117">
            <v>0</v>
          </cell>
        </row>
        <row r="118">
          <cell r="P118">
            <v>0</v>
          </cell>
          <cell r="S118">
            <v>0</v>
          </cell>
          <cell r="U118" t="e">
            <v>#REF!</v>
          </cell>
          <cell r="W118" t="e">
            <v>#REF!</v>
          </cell>
          <cell r="X118">
            <v>0</v>
          </cell>
        </row>
        <row r="119">
          <cell r="P119">
            <v>0</v>
          </cell>
          <cell r="S119">
            <v>0</v>
          </cell>
          <cell r="U119">
            <v>-230.79318209931299</v>
          </cell>
          <cell r="W119" t="e">
            <v>#REF!</v>
          </cell>
          <cell r="X119" t="e">
            <v>#REF!</v>
          </cell>
          <cell r="Y119" t="e">
            <v>#REF!</v>
          </cell>
        </row>
        <row r="120">
          <cell r="P120">
            <v>0</v>
          </cell>
          <cell r="S120">
            <v>0</v>
          </cell>
          <cell r="U120">
            <v>-380.52597442758997</v>
          </cell>
          <cell r="V120">
            <v>6725.3341754385983</v>
          </cell>
          <cell r="W120">
            <v>-7406.8601498661901</v>
          </cell>
          <cell r="X120" t="e">
            <v>#REF!</v>
          </cell>
        </row>
        <row r="121">
          <cell r="P121">
            <v>0</v>
          </cell>
          <cell r="S121">
            <v>0</v>
          </cell>
          <cell r="U121">
            <v>0</v>
          </cell>
          <cell r="W121">
            <v>0</v>
          </cell>
          <cell r="X121">
            <v>0</v>
          </cell>
          <cell r="Z121">
            <v>0</v>
          </cell>
        </row>
        <row r="122">
          <cell r="P122">
            <v>0</v>
          </cell>
          <cell r="S122">
            <v>0</v>
          </cell>
          <cell r="U122">
            <v>-149.73279232827699</v>
          </cell>
          <cell r="X122">
            <v>0</v>
          </cell>
          <cell r="AC122">
            <v>0</v>
          </cell>
        </row>
        <row r="123">
          <cell r="U123">
            <v>7.59</v>
          </cell>
          <cell r="X123" t="e">
            <v>#DIV/0!</v>
          </cell>
        </row>
        <row r="124">
          <cell r="S124">
            <v>0</v>
          </cell>
          <cell r="U124">
            <v>0</v>
          </cell>
          <cell r="W124">
            <v>24998</v>
          </cell>
          <cell r="X124">
            <v>0</v>
          </cell>
          <cell r="Y124">
            <v>24998</v>
          </cell>
          <cell r="Z124">
            <v>0</v>
          </cell>
          <cell r="AB124">
            <v>0</v>
          </cell>
        </row>
        <row r="125">
          <cell r="T125">
            <v>0</v>
          </cell>
          <cell r="U125">
            <v>8678</v>
          </cell>
          <cell r="W125" t="e">
            <v>#REF!</v>
          </cell>
          <cell r="X125" t="e">
            <v>#VALUE!</v>
          </cell>
          <cell r="Z125">
            <v>0</v>
          </cell>
          <cell r="AC125">
            <v>0</v>
          </cell>
        </row>
        <row r="126">
          <cell r="U126">
            <v>-7406.8601498661901</v>
          </cell>
          <cell r="V126">
            <v>25363</v>
          </cell>
          <cell r="W126">
            <v>30.79</v>
          </cell>
          <cell r="Z126" t="e">
            <v>#DIV/0!</v>
          </cell>
          <cell r="AC126">
            <v>0</v>
          </cell>
        </row>
        <row r="127">
          <cell r="U127">
            <v>30.45</v>
          </cell>
          <cell r="W127" t="e">
            <v>#REF!</v>
          </cell>
          <cell r="Z127" t="e">
            <v>#REF!</v>
          </cell>
          <cell r="AC127" t="e">
            <v>#DIV/0!</v>
          </cell>
        </row>
        <row r="128">
          <cell r="T128">
            <v>300</v>
          </cell>
          <cell r="U128">
            <v>56.44</v>
          </cell>
          <cell r="W128">
            <v>0</v>
          </cell>
          <cell r="Z128">
            <v>0</v>
          </cell>
          <cell r="AC128" t="e">
            <v>#DIV/0!</v>
          </cell>
        </row>
        <row r="129">
          <cell r="J129">
            <v>0</v>
          </cell>
          <cell r="U129">
            <v>0</v>
          </cell>
          <cell r="AC129">
            <v>0</v>
          </cell>
        </row>
        <row r="130">
          <cell r="W130">
            <v>11.87</v>
          </cell>
          <cell r="Z130" t="e">
            <v>#DIV/0!</v>
          </cell>
        </row>
        <row r="131">
          <cell r="P131">
            <v>1223</v>
          </cell>
          <cell r="Q131">
            <v>0</v>
          </cell>
          <cell r="R131">
            <v>0</v>
          </cell>
          <cell r="S131">
            <v>0</v>
          </cell>
          <cell r="T131">
            <v>0</v>
          </cell>
          <cell r="U131">
            <v>8.49</v>
          </cell>
          <cell r="V131">
            <v>25363</v>
          </cell>
          <cell r="W131">
            <v>0</v>
          </cell>
          <cell r="X131">
            <v>0</v>
          </cell>
          <cell r="Y131">
            <v>0</v>
          </cell>
          <cell r="Z131">
            <v>0</v>
          </cell>
          <cell r="AA131">
            <v>0</v>
          </cell>
          <cell r="AC131" t="e">
            <v>#DIV/0!</v>
          </cell>
        </row>
        <row r="132">
          <cell r="P132">
            <v>2446</v>
          </cell>
          <cell r="S132">
            <v>0</v>
          </cell>
          <cell r="T132">
            <v>0</v>
          </cell>
          <cell r="U132">
            <v>0</v>
          </cell>
          <cell r="V132">
            <v>187.5</v>
          </cell>
          <cell r="W132" t="e">
            <v>#REF!</v>
          </cell>
          <cell r="X132">
            <v>0</v>
          </cell>
          <cell r="Y132">
            <v>0</v>
          </cell>
          <cell r="Z132" t="e">
            <v>#REF!</v>
          </cell>
        </row>
        <row r="133">
          <cell r="T133">
            <v>0</v>
          </cell>
          <cell r="U133">
            <v>6.57</v>
          </cell>
          <cell r="V133">
            <v>25550.5</v>
          </cell>
          <cell r="W133">
            <v>57083</v>
          </cell>
          <cell r="X133">
            <v>57083</v>
          </cell>
          <cell r="AC133" t="e">
            <v>#DIV/0!</v>
          </cell>
        </row>
        <row r="134">
          <cell r="U134">
            <v>29726</v>
          </cell>
          <cell r="V134">
            <v>29726</v>
          </cell>
          <cell r="X134" t="e">
            <v>#REF!</v>
          </cell>
          <cell r="Y134" t="e">
            <v>#VALUE!</v>
          </cell>
          <cell r="Z134" t="e">
            <v>#REF!</v>
          </cell>
          <cell r="AA134" t="e">
            <v>#REF!</v>
          </cell>
        </row>
        <row r="135">
          <cell r="T135">
            <v>300</v>
          </cell>
          <cell r="U135" t="e">
            <v>#REF!</v>
          </cell>
          <cell r="V135" t="e">
            <v>#REF!</v>
          </cell>
          <cell r="W135">
            <v>300</v>
          </cell>
        </row>
        <row r="136">
          <cell r="J136">
            <v>1</v>
          </cell>
          <cell r="T136">
            <v>300</v>
          </cell>
          <cell r="U136">
            <v>300</v>
          </cell>
          <cell r="W136">
            <v>1</v>
          </cell>
        </row>
        <row r="137">
          <cell r="C137">
            <v>0</v>
          </cell>
          <cell r="I137">
            <v>0</v>
          </cell>
          <cell r="J137">
            <v>1</v>
          </cell>
          <cell r="M137">
            <v>0</v>
          </cell>
          <cell r="P137">
            <v>0</v>
          </cell>
          <cell r="S137">
            <v>0</v>
          </cell>
          <cell r="T137">
            <v>142</v>
          </cell>
          <cell r="U137">
            <v>1</v>
          </cell>
        </row>
        <row r="138">
          <cell r="C138" t="e">
            <v>#REF!</v>
          </cell>
          <cell r="I138" t="e">
            <v>#REF!</v>
          </cell>
          <cell r="J138" t="e">
            <v>#REF!</v>
          </cell>
          <cell r="M138" t="e">
            <v>#REF!</v>
          </cell>
          <cell r="P138" t="e">
            <v>#REF!</v>
          </cell>
          <cell r="T138">
            <v>0</v>
          </cell>
          <cell r="U138" t="e">
            <v>#REF!</v>
          </cell>
          <cell r="W138">
            <v>82081</v>
          </cell>
          <cell r="X138">
            <v>57083</v>
          </cell>
          <cell r="Y138">
            <v>24998</v>
          </cell>
          <cell r="Z138">
            <v>0</v>
          </cell>
        </row>
        <row r="139">
          <cell r="C139">
            <v>40</v>
          </cell>
          <cell r="T139">
            <v>0</v>
          </cell>
          <cell r="U139">
            <v>38404</v>
          </cell>
          <cell r="V139">
            <v>29726</v>
          </cell>
          <cell r="W139">
            <v>0</v>
          </cell>
          <cell r="X139">
            <v>0</v>
          </cell>
          <cell r="AC139">
            <v>0</v>
          </cell>
        </row>
        <row r="140">
          <cell r="U140">
            <v>0</v>
          </cell>
          <cell r="V140">
            <v>0</v>
          </cell>
          <cell r="W140">
            <v>82081</v>
          </cell>
          <cell r="X140">
            <v>57083</v>
          </cell>
          <cell r="Y140">
            <v>24998</v>
          </cell>
        </row>
        <row r="141">
          <cell r="U141">
            <v>38404</v>
          </cell>
          <cell r="V141">
            <v>29726</v>
          </cell>
          <cell r="W141">
            <v>8678</v>
          </cell>
          <cell r="Z141" t="e">
            <v>#REF!</v>
          </cell>
          <cell r="AA141" t="e">
            <v>#REF!</v>
          </cell>
          <cell r="AB141" t="e">
            <v>#REF!</v>
          </cell>
          <cell r="AC141" t="e">
            <v>#REF!</v>
          </cell>
        </row>
        <row r="142">
          <cell r="W142" t="e">
            <v>#REF!</v>
          </cell>
          <cell r="X142" t="e">
            <v>#REF!</v>
          </cell>
          <cell r="Y142" t="e">
            <v>#REF!</v>
          </cell>
          <cell r="AC142">
            <v>3160</v>
          </cell>
        </row>
        <row r="143">
          <cell r="C143">
            <v>17.179166666666667</v>
          </cell>
          <cell r="U143">
            <v>-1</v>
          </cell>
          <cell r="V143">
            <v>29.2</v>
          </cell>
          <cell r="W143">
            <v>-46</v>
          </cell>
        </row>
        <row r="144">
          <cell r="C144">
            <v>0</v>
          </cell>
          <cell r="I144">
            <v>0</v>
          </cell>
          <cell r="J144">
            <v>0</v>
          </cell>
          <cell r="M144">
            <v>0</v>
          </cell>
          <cell r="N144" t="str">
            <v xml:space="preserve">                   КОРИГУВАННЯ   ПЛАНУ   НА   СЕРПЕНЬ  1998 р</v>
          </cell>
          <cell r="P144">
            <v>0</v>
          </cell>
          <cell r="S144">
            <v>0</v>
          </cell>
          <cell r="W144">
            <v>0</v>
          </cell>
        </row>
        <row r="145">
          <cell r="C145">
            <v>72</v>
          </cell>
          <cell r="I145">
            <v>604</v>
          </cell>
          <cell r="J145">
            <v>1770.6000000000001</v>
          </cell>
          <cell r="M145">
            <v>753.30000000000007</v>
          </cell>
          <cell r="P145">
            <v>322</v>
          </cell>
          <cell r="S145">
            <v>0</v>
          </cell>
          <cell r="T145">
            <v>312</v>
          </cell>
          <cell r="U145">
            <v>0</v>
          </cell>
          <cell r="W145">
            <v>3847.9000000000005</v>
          </cell>
        </row>
        <row r="146">
          <cell r="C146">
            <v>72</v>
          </cell>
          <cell r="I146">
            <v>370</v>
          </cell>
          <cell r="J146">
            <v>1217.0999999999999</v>
          </cell>
          <cell r="M146">
            <v>548.70000000000005</v>
          </cell>
          <cell r="P146">
            <v>180</v>
          </cell>
          <cell r="T146">
            <v>194</v>
          </cell>
          <cell r="U146">
            <v>4402</v>
          </cell>
          <cell r="W146">
            <v>2595.8000000000002</v>
          </cell>
        </row>
        <row r="147">
          <cell r="C147">
            <v>80</v>
          </cell>
          <cell r="I147">
            <v>300</v>
          </cell>
          <cell r="J147">
            <v>1360</v>
          </cell>
          <cell r="M147">
            <v>7</v>
          </cell>
          <cell r="P147">
            <v>1174</v>
          </cell>
          <cell r="U147">
            <v>2921</v>
          </cell>
          <cell r="W147">
            <v>0</v>
          </cell>
        </row>
        <row r="148">
          <cell r="I148">
            <v>0</v>
          </cell>
          <cell r="U148">
            <v>0</v>
          </cell>
          <cell r="W148">
            <v>0</v>
          </cell>
        </row>
        <row r="149">
          <cell r="I149" t="e">
            <v>#REF!</v>
          </cell>
          <cell r="J149" t="e">
            <v>#REF!</v>
          </cell>
          <cell r="M149" t="e">
            <v>#REF!</v>
          </cell>
          <cell r="P149" t="e">
            <v>#REF!</v>
          </cell>
          <cell r="U149">
            <v>0</v>
          </cell>
          <cell r="W149" t="e">
            <v>#REF!</v>
          </cell>
        </row>
        <row r="150">
          <cell r="C150">
            <v>17.179166666666667</v>
          </cell>
          <cell r="I150">
            <v>502</v>
          </cell>
          <cell r="J150">
            <v>1041.8333333333333</v>
          </cell>
          <cell r="K150">
            <v>0</v>
          </cell>
          <cell r="L150">
            <v>0</v>
          </cell>
          <cell r="M150">
            <v>213</v>
          </cell>
          <cell r="N150" t="e">
            <v>#REF!</v>
          </cell>
          <cell r="O150">
            <v>0</v>
          </cell>
          <cell r="P150">
            <v>0</v>
          </cell>
          <cell r="S150" t="e">
            <v>#REF!</v>
          </cell>
          <cell r="T150">
            <v>630</v>
          </cell>
          <cell r="U150">
            <v>317</v>
          </cell>
          <cell r="W150">
            <v>1774.0124999999998</v>
          </cell>
        </row>
        <row r="151">
          <cell r="C151">
            <v>17.179166666666667</v>
          </cell>
          <cell r="I151">
            <v>0</v>
          </cell>
          <cell r="J151">
            <v>0</v>
          </cell>
          <cell r="M151">
            <v>0</v>
          </cell>
          <cell r="U151">
            <v>1774.0124999999998</v>
          </cell>
          <cell r="W151">
            <v>0</v>
          </cell>
        </row>
        <row r="152">
          <cell r="C152">
            <v>0</v>
          </cell>
          <cell r="I152" t="e">
            <v>#REF!</v>
          </cell>
          <cell r="J152" t="e">
            <v>#REF!</v>
          </cell>
          <cell r="M152" t="e">
            <v>#REF!</v>
          </cell>
          <cell r="P152" t="e">
            <v>#REF!</v>
          </cell>
          <cell r="U152">
            <v>0</v>
          </cell>
          <cell r="W152" t="e">
            <v>#REF!</v>
          </cell>
        </row>
        <row r="153">
          <cell r="C153">
            <v>80</v>
          </cell>
          <cell r="I153" t="e">
            <v>#REF!</v>
          </cell>
          <cell r="J153" t="e">
            <v>#REF!</v>
          </cell>
          <cell r="M153" t="e">
            <v>#REF!</v>
          </cell>
          <cell r="P153" t="e">
            <v>#REF!</v>
          </cell>
          <cell r="S153">
            <v>0</v>
          </cell>
          <cell r="U153">
            <v>4085</v>
          </cell>
          <cell r="W153" t="e">
            <v>#REF!</v>
          </cell>
        </row>
        <row r="154">
          <cell r="C154">
            <v>80</v>
          </cell>
          <cell r="I154">
            <v>0</v>
          </cell>
          <cell r="J154" t="e">
            <v>#REF!</v>
          </cell>
          <cell r="M154" t="e">
            <v>#REF!</v>
          </cell>
          <cell r="P154" t="e">
            <v>#REF!</v>
          </cell>
          <cell r="W154" t="e">
            <v>#REF!</v>
          </cell>
          <cell r="Y154">
            <v>1507.2</v>
          </cell>
        </row>
        <row r="155">
          <cell r="I155">
            <v>-195.33333333333334</v>
          </cell>
          <cell r="J155">
            <v>-166</v>
          </cell>
          <cell r="M155">
            <v>-272</v>
          </cell>
          <cell r="O155">
            <v>250</v>
          </cell>
          <cell r="P155">
            <v>-165.33333333333334</v>
          </cell>
          <cell r="U155">
            <v>0</v>
          </cell>
          <cell r="W155">
            <v>-798.66666666666674</v>
          </cell>
          <cell r="X155" t="str">
            <v>ОЧИК.18.02.</v>
          </cell>
        </row>
        <row r="156">
          <cell r="I156">
            <v>0</v>
          </cell>
          <cell r="J156">
            <v>-298</v>
          </cell>
          <cell r="M156">
            <v>-180</v>
          </cell>
          <cell r="P156">
            <v>-100</v>
          </cell>
          <cell r="U156">
            <v>-578</v>
          </cell>
          <cell r="W156">
            <v>0</v>
          </cell>
        </row>
        <row r="157">
          <cell r="C157" t="e">
            <v>#REF!</v>
          </cell>
          <cell r="D157" t="str">
            <v>АПАРАТ ЕЛЕКТРО</v>
          </cell>
          <cell r="E157" t="str">
            <v>АПАРАТ ТЕПЛО</v>
          </cell>
          <cell r="I157" t="e">
            <v>#REF!</v>
          </cell>
          <cell r="J157" t="e">
            <v>#REF!</v>
          </cell>
          <cell r="K157">
            <v>0</v>
          </cell>
          <cell r="L157">
            <v>0</v>
          </cell>
          <cell r="M157" t="e">
            <v>#REF!</v>
          </cell>
          <cell r="N157">
            <v>0</v>
          </cell>
          <cell r="O157">
            <v>0</v>
          </cell>
          <cell r="P157" t="e">
            <v>#REF!</v>
          </cell>
          <cell r="Q157" t="str">
            <v>Е/Е</v>
          </cell>
          <cell r="R157" t="str">
            <v xml:space="preserve"> Т/Е</v>
          </cell>
          <cell r="S157">
            <v>171</v>
          </cell>
          <cell r="T157">
            <v>205</v>
          </cell>
          <cell r="U157">
            <v>0</v>
          </cell>
          <cell r="V157" t="str">
            <v>Е/Е</v>
          </cell>
          <cell r="W157" t="e">
            <v>#REF!</v>
          </cell>
          <cell r="X157" t="str">
            <v>СТАНЦІї ЕЛЕКТРО</v>
          </cell>
          <cell r="Y157" t="str">
            <v>СТАНЦІІ ТЕПЛОВІ</v>
          </cell>
          <cell r="Z157" t="str">
            <v>МЕРЕЖІ ЕЛЕКТРО</v>
          </cell>
          <cell r="AA157" t="str">
            <v>МЕРЕЖІ ТЕПЛОВІ</v>
          </cell>
        </row>
        <row r="158">
          <cell r="C158">
            <v>950</v>
          </cell>
          <cell r="I158">
            <v>758</v>
          </cell>
          <cell r="J158">
            <v>1197</v>
          </cell>
          <cell r="K158">
            <v>0</v>
          </cell>
          <cell r="L158">
            <v>0</v>
          </cell>
          <cell r="M158">
            <v>874</v>
          </cell>
          <cell r="N158">
            <v>0</v>
          </cell>
          <cell r="O158">
            <v>0</v>
          </cell>
          <cell r="P158">
            <v>450</v>
          </cell>
          <cell r="S158">
            <v>414</v>
          </cell>
          <cell r="T158">
            <v>630</v>
          </cell>
          <cell r="U158">
            <v>4643</v>
          </cell>
          <cell r="X158">
            <v>1.954</v>
          </cell>
          <cell r="Y158">
            <v>1.954</v>
          </cell>
          <cell r="Z158">
            <v>1.954</v>
          </cell>
          <cell r="AA158">
            <v>1.905</v>
          </cell>
        </row>
        <row r="159">
          <cell r="C159">
            <v>57</v>
          </cell>
          <cell r="O159">
            <v>250</v>
          </cell>
        </row>
        <row r="160">
          <cell r="C160">
            <v>0</v>
          </cell>
          <cell r="J160" t="e">
            <v>#REF!</v>
          </cell>
          <cell r="M160" t="e">
            <v>#REF!</v>
          </cell>
          <cell r="N160" t="e">
            <v>#REF!</v>
          </cell>
          <cell r="O160">
            <v>250</v>
          </cell>
          <cell r="U160" t="e">
            <v>#REF!</v>
          </cell>
          <cell r="X160">
            <v>221.49122807017542</v>
          </cell>
        </row>
        <row r="161">
          <cell r="C161">
            <v>0</v>
          </cell>
          <cell r="J161" t="e">
            <v>#REF!</v>
          </cell>
          <cell r="M161" t="e">
            <v>#REF!</v>
          </cell>
          <cell r="N161" t="e">
            <v>#REF!</v>
          </cell>
          <cell r="U161" t="e">
            <v>#REF!</v>
          </cell>
          <cell r="X161">
            <v>252.49999999999997</v>
          </cell>
          <cell r="AA161" t="e">
            <v>#REF!</v>
          </cell>
        </row>
        <row r="162">
          <cell r="I162">
            <v>0</v>
          </cell>
          <cell r="J162">
            <v>82.5</v>
          </cell>
          <cell r="M162">
            <v>82.5</v>
          </cell>
          <cell r="N162">
            <v>82.5</v>
          </cell>
          <cell r="Q162">
            <v>63.33</v>
          </cell>
          <cell r="R162">
            <v>63.33</v>
          </cell>
          <cell r="S162">
            <v>63.33</v>
          </cell>
          <cell r="T162">
            <v>63.33</v>
          </cell>
          <cell r="U162">
            <v>82.5</v>
          </cell>
          <cell r="X162">
            <v>66</v>
          </cell>
          <cell r="Z162" t="str">
            <v>ОЧИК.18.02.</v>
          </cell>
        </row>
        <row r="163">
          <cell r="I163">
            <v>0</v>
          </cell>
          <cell r="J163" t="e">
            <v>#REF!</v>
          </cell>
          <cell r="M163" t="e">
            <v>#REF!</v>
          </cell>
          <cell r="N163" t="e">
            <v>#REF!</v>
          </cell>
          <cell r="P163">
            <v>0</v>
          </cell>
          <cell r="S163">
            <v>0</v>
          </cell>
          <cell r="U163" t="e">
            <v>#REF!</v>
          </cell>
          <cell r="X163">
            <v>128.964</v>
          </cell>
          <cell r="AC163" t="str">
            <v>ОЧИК.18.02.</v>
          </cell>
        </row>
        <row r="164">
          <cell r="C164" t="str">
            <v>АПАРАТ ВСЬОГО</v>
          </cell>
          <cell r="D164" t="str">
            <v>АПАРАТ ЕЛЕКТРО</v>
          </cell>
          <cell r="E164" t="str">
            <v>АПАРАТ ТЕПЛО</v>
          </cell>
          <cell r="I164" t="str">
            <v>ККМ</v>
          </cell>
          <cell r="J164" t="str">
            <v>КТМ</v>
          </cell>
          <cell r="M164" t="str">
            <v>ТЕЦ-5 ВСЬОГО</v>
          </cell>
          <cell r="N164" t="str">
            <v>Е/Е</v>
          </cell>
          <cell r="O164" t="str">
            <v xml:space="preserve"> Т/Е</v>
          </cell>
          <cell r="P164" t="str">
            <v>ТЕЦ-6 ВСЬОГО</v>
          </cell>
          <cell r="Q164" t="str">
            <v>Е/Е</v>
          </cell>
          <cell r="R164" t="str">
            <v xml:space="preserve"> Т/Е</v>
          </cell>
          <cell r="S164" t="str">
            <v xml:space="preserve">ДОП.ВИР. </v>
          </cell>
          <cell r="T164" t="str">
            <v>ДОП.ВИР. СТ.ОРГ.</v>
          </cell>
          <cell r="U164" t="e">
            <v>#REF!</v>
          </cell>
          <cell r="W164" t="str">
            <v>АК КЕ ВСЬОГО</v>
          </cell>
          <cell r="X164" t="str">
            <v>Е/Е</v>
          </cell>
          <cell r="Y164" t="str">
            <v xml:space="preserve"> Т/Е</v>
          </cell>
          <cell r="Z164" t="str">
            <v>СТАНЦІї ЕЛЕКТРО</v>
          </cell>
          <cell r="AA164" t="str">
            <v>СТАНЦІІ ТЕПЛОВІ</v>
          </cell>
          <cell r="AB164" t="str">
            <v>МЕРЕЖІ ЕЛЕКТРО</v>
          </cell>
          <cell r="AC164" t="str">
            <v>МЕРЕЖІ ТЕПЛОВІ</v>
          </cell>
        </row>
        <row r="165">
          <cell r="C165">
            <v>2.78</v>
          </cell>
          <cell r="D165" t="str">
            <v>АПАРАТ ЕЛЕКТРО</v>
          </cell>
          <cell r="E165" t="str">
            <v>АПАРАТ ТЕПЛО</v>
          </cell>
          <cell r="I165" t="str">
            <v>ККМ</v>
          </cell>
          <cell r="J165">
            <v>3.5</v>
          </cell>
          <cell r="K165">
            <v>2.78</v>
          </cell>
          <cell r="L165">
            <v>2.78</v>
          </cell>
          <cell r="M165">
            <v>3.5</v>
          </cell>
          <cell r="N165" t="str">
            <v>Е/Е</v>
          </cell>
          <cell r="O165" t="str">
            <v xml:space="preserve"> Т/Е</v>
          </cell>
          <cell r="P165">
            <v>3.5</v>
          </cell>
          <cell r="Q165" t="str">
            <v>Е/Е</v>
          </cell>
          <cell r="R165" t="str">
            <v xml:space="preserve"> Т/Е</v>
          </cell>
          <cell r="S165" t="str">
            <v xml:space="preserve">ДОП.ВИР. </v>
          </cell>
          <cell r="T165" t="str">
            <v>ДОП.ВИР. СТ.ОРГ.</v>
          </cell>
          <cell r="U165" t="str">
            <v>АК КЕ ВСЬОГО</v>
          </cell>
          <cell r="V165" t="str">
            <v>Е/Е</v>
          </cell>
          <cell r="W165">
            <v>3.4239999999999999</v>
          </cell>
          <cell r="X165">
            <v>693.59999999999991</v>
          </cell>
          <cell r="Z165">
            <v>2.1804999999999999</v>
          </cell>
          <cell r="AA165">
            <v>2.1804999999999999</v>
          </cell>
          <cell r="AB165">
            <v>2.1804999999999999</v>
          </cell>
          <cell r="AC165">
            <v>1.905</v>
          </cell>
        </row>
        <row r="166">
          <cell r="C166">
            <v>2.1149</v>
          </cell>
          <cell r="J166">
            <v>2.1435</v>
          </cell>
          <cell r="M166">
            <v>2.1435</v>
          </cell>
          <cell r="N166">
            <v>2.1435</v>
          </cell>
          <cell r="O166">
            <v>2.1435</v>
          </cell>
          <cell r="P166">
            <v>2.1435</v>
          </cell>
          <cell r="Q166">
            <v>2.1435</v>
          </cell>
          <cell r="R166">
            <v>2.1435</v>
          </cell>
          <cell r="S166">
            <v>2.1435</v>
          </cell>
          <cell r="T166">
            <v>2.1435</v>
          </cell>
          <cell r="U166">
            <v>2.1435</v>
          </cell>
          <cell r="X166">
            <v>197.2</v>
          </cell>
          <cell r="AC166">
            <v>2.1804999999999999</v>
          </cell>
        </row>
        <row r="167">
          <cell r="J167">
            <v>4.2000000000000028</v>
          </cell>
          <cell r="M167">
            <v>31.319999999999993</v>
          </cell>
          <cell r="N167" t="e">
            <v>#REF!</v>
          </cell>
          <cell r="P167">
            <v>21.72</v>
          </cell>
          <cell r="S167">
            <v>157</v>
          </cell>
          <cell r="U167" t="e">
            <v>#REF!</v>
          </cell>
          <cell r="W167">
            <v>57.239999999999995</v>
          </cell>
          <cell r="X167">
            <v>154</v>
          </cell>
          <cell r="Z167">
            <v>221.49122807017542</v>
          </cell>
        </row>
        <row r="168">
          <cell r="J168">
            <v>4.7639999999999958</v>
          </cell>
          <cell r="M168">
            <v>35.595999999999997</v>
          </cell>
          <cell r="P168">
            <v>24.786999999999999</v>
          </cell>
          <cell r="U168">
            <v>44.3</v>
          </cell>
          <cell r="W168">
            <v>65.146999999999991</v>
          </cell>
          <cell r="Z168">
            <v>252.49999999999997</v>
          </cell>
          <cell r="AC168">
            <v>221.49122807017542</v>
          </cell>
        </row>
        <row r="169">
          <cell r="I169">
            <v>0</v>
          </cell>
          <cell r="J169">
            <v>82.5</v>
          </cell>
          <cell r="M169">
            <v>82.5</v>
          </cell>
          <cell r="P169">
            <v>82.5</v>
          </cell>
          <cell r="S169">
            <v>82.5</v>
          </cell>
          <cell r="T169">
            <v>82.5</v>
          </cell>
          <cell r="U169">
            <v>50.49</v>
          </cell>
          <cell r="W169">
            <v>82.5</v>
          </cell>
          <cell r="Z169">
            <v>66</v>
          </cell>
          <cell r="AC169">
            <v>252.49999999999997</v>
          </cell>
        </row>
        <row r="170">
          <cell r="I170">
            <v>0</v>
          </cell>
          <cell r="J170">
            <v>288.75</v>
          </cell>
          <cell r="M170">
            <v>288.75</v>
          </cell>
          <cell r="P170">
            <v>288.75</v>
          </cell>
          <cell r="S170">
            <v>82.5</v>
          </cell>
          <cell r="T170">
            <v>82.5</v>
          </cell>
          <cell r="U170">
            <v>82.5</v>
          </cell>
          <cell r="W170">
            <v>288.75</v>
          </cell>
          <cell r="X170">
            <v>270.36363636363637</v>
          </cell>
          <cell r="Z170">
            <v>143.91299999999998</v>
          </cell>
          <cell r="AC170">
            <v>66</v>
          </cell>
        </row>
        <row r="171">
          <cell r="I171">
            <v>0</v>
          </cell>
          <cell r="J171">
            <v>1213</v>
          </cell>
          <cell r="M171">
            <v>9044</v>
          </cell>
          <cell r="P171">
            <v>6272</v>
          </cell>
          <cell r="S171">
            <v>1156.8545454545454</v>
          </cell>
          <cell r="U171">
            <v>176.84</v>
          </cell>
          <cell r="W171">
            <v>16528</v>
          </cell>
          <cell r="X171">
            <v>620.43636363636358</v>
          </cell>
          <cell r="Z171">
            <v>31875</v>
          </cell>
          <cell r="AC171">
            <v>143.91299999999998</v>
          </cell>
        </row>
        <row r="172">
          <cell r="J172">
            <v>133</v>
          </cell>
          <cell r="M172">
            <v>4626</v>
          </cell>
          <cell r="P172">
            <v>3075</v>
          </cell>
          <cell r="S172">
            <v>1737.3999999999999</v>
          </cell>
          <cell r="U172">
            <v>7834</v>
          </cell>
          <cell r="W172">
            <v>16529</v>
          </cell>
          <cell r="X172">
            <v>75.839416058394164</v>
          </cell>
          <cell r="AC172">
            <v>31875</v>
          </cell>
        </row>
        <row r="173">
          <cell r="J173">
            <v>40.5</v>
          </cell>
          <cell r="M173">
            <v>48.28</v>
          </cell>
          <cell r="P173">
            <v>46.980000000000004</v>
          </cell>
          <cell r="S173">
            <v>0</v>
          </cell>
          <cell r="U173">
            <v>7834</v>
          </cell>
          <cell r="W173">
            <v>135.76</v>
          </cell>
          <cell r="X173">
            <v>103.9</v>
          </cell>
        </row>
        <row r="174">
          <cell r="C174">
            <v>75</v>
          </cell>
          <cell r="I174">
            <v>75</v>
          </cell>
          <cell r="J174">
            <v>46.136000000000003</v>
          </cell>
          <cell r="M174">
            <v>55.003999999999998</v>
          </cell>
          <cell r="P174">
            <v>53.512999999999998</v>
          </cell>
          <cell r="S174">
            <v>0</v>
          </cell>
          <cell r="T174">
            <v>0</v>
          </cell>
          <cell r="U174">
            <v>80.7</v>
          </cell>
          <cell r="W174">
            <v>154.65299999999999</v>
          </cell>
          <cell r="X174">
            <v>99.938587512794271</v>
          </cell>
          <cell r="AA174">
            <v>75</v>
          </cell>
        </row>
        <row r="175">
          <cell r="J175">
            <v>63.33</v>
          </cell>
          <cell r="K175">
            <v>0</v>
          </cell>
          <cell r="L175">
            <v>0</v>
          </cell>
          <cell r="M175">
            <v>63.33</v>
          </cell>
          <cell r="P175">
            <v>63.33</v>
          </cell>
          <cell r="Q175">
            <v>0</v>
          </cell>
          <cell r="R175">
            <v>0</v>
          </cell>
          <cell r="S175">
            <v>4262</v>
          </cell>
          <cell r="T175">
            <v>0</v>
          </cell>
          <cell r="U175">
            <v>91.91</v>
          </cell>
          <cell r="V175">
            <v>0</v>
          </cell>
          <cell r="W175">
            <v>63.33</v>
          </cell>
          <cell r="X175">
            <v>195.28</v>
          </cell>
          <cell r="Y175">
            <v>0</v>
          </cell>
          <cell r="Z175">
            <v>0</v>
          </cell>
          <cell r="AA175">
            <v>0</v>
          </cell>
        </row>
        <row r="176">
          <cell r="J176">
            <v>221.66</v>
          </cell>
          <cell r="M176">
            <v>221.66</v>
          </cell>
          <cell r="P176">
            <v>221.66</v>
          </cell>
          <cell r="Q176">
            <v>0</v>
          </cell>
          <cell r="R176">
            <v>0</v>
          </cell>
          <cell r="S176">
            <v>4262</v>
          </cell>
          <cell r="T176">
            <v>0</v>
          </cell>
          <cell r="U176">
            <v>63.33</v>
          </cell>
          <cell r="V176">
            <v>0</v>
          </cell>
          <cell r="W176">
            <v>216.84</v>
          </cell>
          <cell r="X176">
            <v>14810</v>
          </cell>
          <cell r="Y176">
            <v>0</v>
          </cell>
          <cell r="Z176">
            <v>0</v>
          </cell>
          <cell r="AA176">
            <v>0</v>
          </cell>
        </row>
        <row r="177">
          <cell r="J177">
            <v>8977</v>
          </cell>
          <cell r="M177">
            <v>10702</v>
          </cell>
          <cell r="P177">
            <v>10414</v>
          </cell>
          <cell r="R177">
            <v>0</v>
          </cell>
          <cell r="S177">
            <v>0</v>
          </cell>
          <cell r="T177">
            <v>0</v>
          </cell>
          <cell r="U177">
            <v>135.75</v>
          </cell>
          <cell r="V177" t="e">
            <v>#REF!</v>
          </cell>
          <cell r="W177">
            <v>29438</v>
          </cell>
          <cell r="X177">
            <v>0</v>
          </cell>
          <cell r="Y177">
            <v>0</v>
          </cell>
          <cell r="Z177">
            <v>0</v>
          </cell>
          <cell r="AA177">
            <v>0</v>
          </cell>
        </row>
        <row r="178">
          <cell r="J178">
            <v>1378</v>
          </cell>
          <cell r="M178">
            <v>5286</v>
          </cell>
          <cell r="N178" t="e">
            <v>#REF!</v>
          </cell>
          <cell r="O178" t="e">
            <v>#REF!</v>
          </cell>
          <cell r="P178">
            <v>4291</v>
          </cell>
          <cell r="Q178" t="e">
            <v>#REF!</v>
          </cell>
          <cell r="R178" t="e">
            <v>#REF!</v>
          </cell>
          <cell r="U178">
            <v>10955</v>
          </cell>
          <cell r="V178" t="e">
            <v>#REF!</v>
          </cell>
          <cell r="W178">
            <v>30093</v>
          </cell>
          <cell r="X178">
            <v>356.4</v>
          </cell>
          <cell r="Y178">
            <v>74.900000000000006</v>
          </cell>
          <cell r="Z178">
            <v>281.5</v>
          </cell>
        </row>
        <row r="179">
          <cell r="J179">
            <v>0</v>
          </cell>
          <cell r="M179">
            <v>0</v>
          </cell>
          <cell r="N179" t="e">
            <v>#REF!</v>
          </cell>
          <cell r="O179" t="e">
            <v>#REF!</v>
          </cell>
          <cell r="P179">
            <v>0</v>
          </cell>
          <cell r="Q179" t="e">
            <v>#REF!</v>
          </cell>
          <cell r="R179" t="e">
            <v>#REF!</v>
          </cell>
          <cell r="U179">
            <v>10955</v>
          </cell>
          <cell r="V179" t="e">
            <v>#REF!</v>
          </cell>
          <cell r="W179">
            <v>0</v>
          </cell>
          <cell r="X179">
            <v>43374</v>
          </cell>
          <cell r="Y179">
            <v>9115.3552188552203</v>
          </cell>
          <cell r="Z179">
            <v>75.839416058394164</v>
          </cell>
        </row>
        <row r="180">
          <cell r="J180">
            <v>0</v>
          </cell>
          <cell r="M180">
            <v>0</v>
          </cell>
          <cell r="N180" t="e">
            <v>#REF!</v>
          </cell>
          <cell r="O180" t="e">
            <v>#REF!</v>
          </cell>
          <cell r="P180">
            <v>0</v>
          </cell>
          <cell r="Q180" t="e">
            <v>#REF!</v>
          </cell>
          <cell r="R180" t="e">
            <v>#REF!</v>
          </cell>
          <cell r="S180">
            <v>0</v>
          </cell>
          <cell r="T180">
            <v>0</v>
          </cell>
          <cell r="U180">
            <v>8.5</v>
          </cell>
          <cell r="V180" t="e">
            <v>#REF!</v>
          </cell>
          <cell r="W180">
            <v>0</v>
          </cell>
          <cell r="X180">
            <v>121.7</v>
          </cell>
          <cell r="Y180">
            <v>121.7</v>
          </cell>
          <cell r="Z180">
            <v>103.9</v>
          </cell>
          <cell r="AA180">
            <v>0</v>
          </cell>
          <cell r="AC180">
            <v>75.839416058394164</v>
          </cell>
        </row>
        <row r="181">
          <cell r="C181">
            <v>75</v>
          </cell>
          <cell r="I181">
            <v>75</v>
          </cell>
          <cell r="J181">
            <v>100.5</v>
          </cell>
          <cell r="M181">
            <v>100.5</v>
          </cell>
          <cell r="P181">
            <v>100.5</v>
          </cell>
          <cell r="Q181">
            <v>0</v>
          </cell>
          <cell r="R181">
            <v>0</v>
          </cell>
          <cell r="S181">
            <v>1895.42</v>
          </cell>
          <cell r="T181">
            <v>0</v>
          </cell>
          <cell r="U181">
            <v>11.7</v>
          </cell>
          <cell r="V181" t="e">
            <v>#REF!</v>
          </cell>
          <cell r="W181">
            <v>100.5</v>
          </cell>
          <cell r="X181">
            <v>52</v>
          </cell>
          <cell r="Y181">
            <v>52</v>
          </cell>
          <cell r="Z181">
            <v>89.557440953909662</v>
          </cell>
          <cell r="AA181">
            <v>0</v>
          </cell>
          <cell r="AC181">
            <v>75</v>
          </cell>
        </row>
        <row r="182">
          <cell r="C182">
            <v>75</v>
          </cell>
          <cell r="I182">
            <v>75</v>
          </cell>
          <cell r="J182">
            <v>351.75</v>
          </cell>
          <cell r="K182">
            <v>0</v>
          </cell>
          <cell r="L182">
            <v>0</v>
          </cell>
          <cell r="M182">
            <v>351.75</v>
          </cell>
          <cell r="P182">
            <v>351.75</v>
          </cell>
          <cell r="Q182">
            <v>0</v>
          </cell>
          <cell r="R182">
            <v>0</v>
          </cell>
          <cell r="S182">
            <v>580.5454545454545</v>
          </cell>
          <cell r="T182">
            <v>0</v>
          </cell>
          <cell r="U182">
            <v>100.5</v>
          </cell>
          <cell r="V182" t="e">
            <v>#REF!</v>
          </cell>
          <cell r="W182">
            <v>344.11199999999997</v>
          </cell>
          <cell r="X182">
            <v>43426</v>
          </cell>
          <cell r="Y182">
            <v>9167.3552188552203</v>
          </cell>
          <cell r="Z182">
            <v>195.28</v>
          </cell>
          <cell r="AA182">
            <v>0</v>
          </cell>
          <cell r="AC182">
            <v>89.557440953909662</v>
          </cell>
        </row>
        <row r="183">
          <cell r="J183">
            <v>0</v>
          </cell>
          <cell r="K183">
            <v>0</v>
          </cell>
          <cell r="L183">
            <v>0</v>
          </cell>
          <cell r="M183">
            <v>0</v>
          </cell>
          <cell r="P183">
            <v>0</v>
          </cell>
          <cell r="Q183">
            <v>0</v>
          </cell>
          <cell r="R183">
            <v>0</v>
          </cell>
          <cell r="S183">
            <v>91</v>
          </cell>
          <cell r="T183">
            <v>10</v>
          </cell>
          <cell r="U183">
            <v>215.42175</v>
          </cell>
          <cell r="V183">
            <v>0</v>
          </cell>
          <cell r="W183">
            <v>0</v>
          </cell>
          <cell r="X183">
            <v>206.66666666666666</v>
          </cell>
          <cell r="Z183">
            <v>14810</v>
          </cell>
          <cell r="AA183">
            <v>0</v>
          </cell>
          <cell r="AC183">
            <v>195.28</v>
          </cell>
        </row>
        <row r="184">
          <cell r="J184">
            <v>0</v>
          </cell>
          <cell r="M184">
            <v>926</v>
          </cell>
          <cell r="P184">
            <v>905</v>
          </cell>
          <cell r="U184">
            <v>1831</v>
          </cell>
          <cell r="W184">
            <v>0</v>
          </cell>
          <cell r="AC184">
            <v>14810</v>
          </cell>
        </row>
        <row r="185">
          <cell r="J185">
            <v>50.9</v>
          </cell>
          <cell r="M185">
            <v>90.6</v>
          </cell>
          <cell r="N185">
            <v>48.2</v>
          </cell>
          <cell r="O185">
            <v>42.399999999999991</v>
          </cell>
          <cell r="P185">
            <v>78.3</v>
          </cell>
          <cell r="Q185">
            <v>30.9</v>
          </cell>
          <cell r="R185">
            <v>47.4</v>
          </cell>
          <cell r="U185">
            <v>1831</v>
          </cell>
          <cell r="V185" t="str">
            <v>Е/Е</v>
          </cell>
          <cell r="W185">
            <v>219.79999999999998</v>
          </cell>
          <cell r="X185">
            <v>79.099999999999994</v>
          </cell>
          <cell r="Y185">
            <v>140.69999999999999</v>
          </cell>
          <cell r="Z185">
            <v>356.4</v>
          </cell>
          <cell r="AA185">
            <v>74.900000000000006</v>
          </cell>
          <cell r="AB185">
            <v>281.5</v>
          </cell>
        </row>
        <row r="186">
          <cell r="J186">
            <v>10190</v>
          </cell>
          <cell r="M186">
            <v>19746</v>
          </cell>
          <cell r="N186">
            <v>10505</v>
          </cell>
          <cell r="O186">
            <v>9241</v>
          </cell>
          <cell r="P186">
            <v>16686</v>
          </cell>
          <cell r="Q186">
            <v>6585</v>
          </cell>
          <cell r="R186">
            <v>10101</v>
          </cell>
          <cell r="S186">
            <v>-2490.3333333333335</v>
          </cell>
          <cell r="U186">
            <v>154.1</v>
          </cell>
          <cell r="V186">
            <v>95.3</v>
          </cell>
          <cell r="W186">
            <v>45967</v>
          </cell>
          <cell r="X186">
            <v>17090</v>
          </cell>
          <cell r="Y186">
            <v>28877</v>
          </cell>
          <cell r="Z186">
            <v>46685</v>
          </cell>
          <cell r="AA186">
            <v>9811.1854657688</v>
          </cell>
          <cell r="AB186">
            <v>36873.814534231198</v>
          </cell>
          <cell r="AC186">
            <v>356.4</v>
          </cell>
        </row>
        <row r="187">
          <cell r="J187">
            <v>200.2</v>
          </cell>
          <cell r="M187">
            <v>217.95</v>
          </cell>
          <cell r="N187">
            <v>217.95</v>
          </cell>
          <cell r="O187">
            <v>217.95</v>
          </cell>
          <cell r="P187">
            <v>213.1</v>
          </cell>
          <cell r="Q187">
            <v>213.11</v>
          </cell>
          <cell r="R187">
            <v>213.1</v>
          </cell>
          <cell r="S187">
            <v>0</v>
          </cell>
          <cell r="T187">
            <v>0</v>
          </cell>
          <cell r="U187">
            <v>20620</v>
          </cell>
          <cell r="V187">
            <v>12849</v>
          </cell>
          <cell r="W187">
            <v>209.13</v>
          </cell>
          <cell r="X187">
            <v>216.06</v>
          </cell>
          <cell r="Y187">
            <v>205.24</v>
          </cell>
          <cell r="Z187">
            <v>130.99</v>
          </cell>
          <cell r="AA187">
            <v>130.99</v>
          </cell>
          <cell r="AB187">
            <v>130.99</v>
          </cell>
          <cell r="AC187">
            <v>0</v>
          </cell>
        </row>
        <row r="188">
          <cell r="J188">
            <v>122.35</v>
          </cell>
          <cell r="M188">
            <v>135.26</v>
          </cell>
          <cell r="N188">
            <v>135.26</v>
          </cell>
          <cell r="O188">
            <v>135.25</v>
          </cell>
          <cell r="P188">
            <v>134.22999999999999</v>
          </cell>
          <cell r="Q188">
            <v>134.22</v>
          </cell>
          <cell r="R188">
            <v>134.24</v>
          </cell>
          <cell r="S188">
            <v>0</v>
          </cell>
          <cell r="T188">
            <v>0</v>
          </cell>
          <cell r="U188">
            <v>133.81</v>
          </cell>
          <cell r="V188">
            <v>134.83000000000001</v>
          </cell>
          <cell r="W188" t="e">
            <v>#REF!</v>
          </cell>
          <cell r="X188" t="e">
            <v>#REF!</v>
          </cell>
          <cell r="Y188" t="e">
            <v>#REF!</v>
          </cell>
          <cell r="Z188">
            <v>52</v>
          </cell>
          <cell r="AA188">
            <v>52</v>
          </cell>
          <cell r="AC188">
            <v>130.99</v>
          </cell>
        </row>
        <row r="189">
          <cell r="M189">
            <v>19746</v>
          </cell>
          <cell r="N189">
            <v>110.89999999999998</v>
          </cell>
          <cell r="O189">
            <v>-52.500000000000014</v>
          </cell>
          <cell r="P189">
            <v>16686</v>
          </cell>
          <cell r="Q189">
            <v>102.69999999999999</v>
          </cell>
          <cell r="R189">
            <v>-47.700000000000017</v>
          </cell>
          <cell r="U189">
            <v>25</v>
          </cell>
          <cell r="V189">
            <v>25</v>
          </cell>
          <cell r="W189" t="e">
            <v>#REF!</v>
          </cell>
          <cell r="X189" t="e">
            <v>#REF!</v>
          </cell>
          <cell r="Y189" t="e">
            <v>#REF!</v>
          </cell>
          <cell r="Z189">
            <v>46737</v>
          </cell>
          <cell r="AA189">
            <v>9863.1854657688</v>
          </cell>
          <cell r="AB189">
            <v>36873.814534231198</v>
          </cell>
          <cell r="AC189">
            <v>52</v>
          </cell>
        </row>
        <row r="190">
          <cell r="M190">
            <v>10838</v>
          </cell>
          <cell r="N190" t="e">
            <v>#REF!</v>
          </cell>
          <cell r="O190" t="e">
            <v>#REF!</v>
          </cell>
          <cell r="P190">
            <v>8271</v>
          </cell>
          <cell r="Q190" t="e">
            <v>#REF!</v>
          </cell>
          <cell r="R190" t="e">
            <v>#REF!</v>
          </cell>
          <cell r="S190" t="str">
            <v>КТМ</v>
          </cell>
          <cell r="U190">
            <v>20645</v>
          </cell>
          <cell r="V190">
            <v>12874</v>
          </cell>
          <cell r="W190">
            <v>7771</v>
          </cell>
          <cell r="X190" t="str">
            <v>ТЕЦ-5 ВСЬОГО</v>
          </cell>
          <cell r="Y190" t="str">
            <v>Е/Е</v>
          </cell>
          <cell r="Z190" t="str">
            <v xml:space="preserve"> Т/Е</v>
          </cell>
          <cell r="AC190">
            <v>46737</v>
          </cell>
        </row>
        <row r="191">
          <cell r="N191" t="e">
            <v>#REF!</v>
          </cell>
          <cell r="O191" t="e">
            <v>#REF!</v>
          </cell>
          <cell r="Q191" t="e">
            <v>#REF!</v>
          </cell>
          <cell r="R191" t="e">
            <v>#REF!</v>
          </cell>
        </row>
        <row r="192">
          <cell r="N192" t="e">
            <v>#REF!</v>
          </cell>
          <cell r="O192" t="e">
            <v>#REF!</v>
          </cell>
          <cell r="Q192" t="e">
            <v>#REF!</v>
          </cell>
          <cell r="R192" t="e">
            <v>#REF!</v>
          </cell>
          <cell r="V192" t="e">
            <v>#REF!</v>
          </cell>
          <cell r="W192" t="e">
            <v>#REF!</v>
          </cell>
        </row>
        <row r="193">
          <cell r="S193">
            <v>6.4</v>
          </cell>
          <cell r="X193">
            <v>65.3</v>
          </cell>
        </row>
        <row r="194">
          <cell r="S194">
            <v>7.3</v>
          </cell>
          <cell r="X194">
            <v>4948.1398501338099</v>
          </cell>
          <cell r="Z194">
            <v>4948.1398501338263</v>
          </cell>
          <cell r="AB194">
            <v>4948.1398501337389</v>
          </cell>
        </row>
        <row r="195">
          <cell r="P195">
            <v>0</v>
          </cell>
          <cell r="S195">
            <v>0</v>
          </cell>
          <cell r="X195">
            <v>0</v>
          </cell>
        </row>
        <row r="196">
          <cell r="P196">
            <v>0</v>
          </cell>
          <cell r="S196">
            <v>192.5</v>
          </cell>
          <cell r="X196">
            <v>192.5</v>
          </cell>
        </row>
        <row r="197">
          <cell r="S197">
            <v>1232</v>
          </cell>
          <cell r="X197">
            <v>12570</v>
          </cell>
        </row>
        <row r="198">
          <cell r="Y198">
            <v>1507.2</v>
          </cell>
        </row>
        <row r="199">
          <cell r="X199">
            <v>0</v>
          </cell>
        </row>
        <row r="200">
          <cell r="X200">
            <v>0</v>
          </cell>
        </row>
        <row r="201">
          <cell r="X201">
            <v>82.5</v>
          </cell>
        </row>
        <row r="202">
          <cell r="X202">
            <v>0</v>
          </cell>
        </row>
        <row r="203">
          <cell r="S203">
            <v>0</v>
          </cell>
          <cell r="X203">
            <v>0</v>
          </cell>
        </row>
        <row r="205">
          <cell r="X205">
            <v>0</v>
          </cell>
        </row>
        <row r="206">
          <cell r="X206">
            <v>0</v>
          </cell>
        </row>
        <row r="207">
          <cell r="P207">
            <v>75</v>
          </cell>
        </row>
        <row r="208">
          <cell r="S208">
            <v>385</v>
          </cell>
          <cell r="X208">
            <v>385</v>
          </cell>
        </row>
        <row r="209">
          <cell r="S209">
            <v>0</v>
          </cell>
          <cell r="X209">
            <v>0</v>
          </cell>
        </row>
        <row r="211">
          <cell r="M211" t="str">
            <v>ЗАТВЕРДЖУЮ</v>
          </cell>
          <cell r="S211">
            <v>7.3</v>
          </cell>
          <cell r="X211">
            <v>74.7</v>
          </cell>
          <cell r="Y211">
            <v>55.2</v>
          </cell>
          <cell r="Z211">
            <v>19.5</v>
          </cell>
        </row>
        <row r="212">
          <cell r="M212" t="str">
            <v>ГЕНЕРАЛЬНИЙ ДИРЕКТОР -</v>
          </cell>
          <cell r="S212">
            <v>1232</v>
          </cell>
          <cell r="X212">
            <v>12570</v>
          </cell>
          <cell r="Y212">
            <v>9289</v>
          </cell>
          <cell r="Z212">
            <v>3281</v>
          </cell>
          <cell r="AA212">
            <v>3281</v>
          </cell>
        </row>
        <row r="213">
          <cell r="M213" t="str">
            <v>ГОЛОВА ПРАВЛІННЯ КЕ</v>
          </cell>
          <cell r="S213">
            <v>168.77</v>
          </cell>
          <cell r="X213">
            <v>168.27</v>
          </cell>
          <cell r="Y213">
            <v>168.28</v>
          </cell>
          <cell r="Z213">
            <v>168.26</v>
          </cell>
        </row>
        <row r="214">
          <cell r="M214" t="str">
            <v xml:space="preserve">                        І.В.ПЛАЧКОВ</v>
          </cell>
          <cell r="N214" t="str">
            <v xml:space="preserve">      І.В.ПЛАЧКОВ</v>
          </cell>
        </row>
        <row r="215">
          <cell r="M215" t="str">
            <v>ЗАТВЕРДЖУЮ</v>
          </cell>
          <cell r="X215">
            <v>12570</v>
          </cell>
        </row>
        <row r="216">
          <cell r="M216" t="str">
            <v>ГЕНЕРАЛЬНИЙ ДИРЕКТОР -</v>
          </cell>
          <cell r="N216" t="str">
            <v xml:space="preserve">      І.В.ПЛАЧКОВ</v>
          </cell>
        </row>
        <row r="217">
          <cell r="M217" t="str">
            <v>ГОЛОВА ПРАВЛІННЯ КЕ</v>
          </cell>
        </row>
        <row r="218">
          <cell r="M218" t="str">
            <v xml:space="preserve">                        І.В.ПЛАЧКОВ</v>
          </cell>
          <cell r="N218" t="str">
            <v xml:space="preserve">      І.В.ПЛАЧКОВ</v>
          </cell>
        </row>
        <row r="221">
          <cell r="C221" t="str">
            <v>ПОТРЕБА   В КОШТАХ НА  жовтень 1998 року</v>
          </cell>
        </row>
        <row r="222">
          <cell r="C222" t="str">
            <v>ПО ФІЛІАЛАХ АК КИЇВЕНЕРГО</v>
          </cell>
        </row>
        <row r="223">
          <cell r="C223" t="str">
            <v>ПОТРЕБА   В КОШТАХ НА  червень 1998 року</v>
          </cell>
        </row>
        <row r="224">
          <cell r="C224" t="str">
            <v>ПО ФІЛІАЛАХ АК КИЇВЕНЕРГО</v>
          </cell>
        </row>
        <row r="225">
          <cell r="C225" t="str">
            <v>ПОТРЕБА   В КОШТАХ НА  вересень 1998 року</v>
          </cell>
          <cell r="S225" t="str">
            <v>ТИС.ГРН.</v>
          </cell>
        </row>
        <row r="226">
          <cell r="C226" t="str">
            <v>ВИКОН.ДИР.</v>
          </cell>
          <cell r="D226" t="str">
            <v>АПАРАТ ЕЛЕКТРО</v>
          </cell>
          <cell r="E226" t="str">
            <v>АПАРАТ ТЕПЛО</v>
          </cell>
          <cell r="I226" t="str">
            <v>ККМ</v>
          </cell>
          <cell r="J226" t="str">
            <v>КТМ</v>
          </cell>
          <cell r="K226" t="str">
            <v>ВИРОБН</v>
          </cell>
          <cell r="L226" t="str">
            <v>ПЕРЕД</v>
          </cell>
          <cell r="M226" t="str">
            <v>ТЕЦ-5 ВСЬОГО</v>
          </cell>
          <cell r="N226" t="str">
            <v>Е/Е</v>
          </cell>
          <cell r="O226" t="str">
            <v xml:space="preserve"> Т/Е</v>
          </cell>
          <cell r="P226" t="str">
            <v>ТЕЦ-6 ВСЬОГО</v>
          </cell>
          <cell r="Q226" t="str">
            <v>Е/Е</v>
          </cell>
          <cell r="R226" t="str">
            <v xml:space="preserve"> Т/Е</v>
          </cell>
          <cell r="S226" t="str">
            <v xml:space="preserve">ДОП.ВИР. </v>
          </cell>
          <cell r="T226" t="str">
            <v>ДОП.ВИР. СТ.ОРГ.</v>
          </cell>
          <cell r="W226" t="str">
            <v>АК КЕ ВСЬОГО</v>
          </cell>
          <cell r="X226" t="str">
            <v>Е/Е</v>
          </cell>
          <cell r="Y226" t="str">
            <v xml:space="preserve"> Т/Е</v>
          </cell>
          <cell r="Z226" t="str">
            <v>СТАНЦІї ЕЛЕКТРО</v>
          </cell>
          <cell r="AA226" t="str">
            <v>СТАНЦІІ ТЕПЛОВІ</v>
          </cell>
          <cell r="AB226" t="str">
            <v>МЕРЕЖІ ЕЛЕКТРО</v>
          </cell>
          <cell r="AC226" t="str">
            <v>МЕРЕЖІ ТЕПЛОВІ</v>
          </cell>
        </row>
        <row r="227">
          <cell r="S227" t="str">
            <v>ТИС.ГРН.</v>
          </cell>
        </row>
        <row r="228">
          <cell r="C228" t="str">
            <v>ВИКОН.ДИР.</v>
          </cell>
          <cell r="D228" t="str">
            <v>АПАРАТ ЕЛЕКТРО</v>
          </cell>
          <cell r="E228" t="str">
            <v>АПАРАТ ТЕПЛО</v>
          </cell>
          <cell r="I228" t="str">
            <v>ККМ</v>
          </cell>
          <cell r="J228" t="str">
            <v>КТМ</v>
          </cell>
          <cell r="K228" t="str">
            <v>ВИРОБН</v>
          </cell>
          <cell r="L228" t="str">
            <v>ПЕРЕД</v>
          </cell>
          <cell r="M228" t="str">
            <v>ТЕЦ-5 ВСЬОГО</v>
          </cell>
          <cell r="N228" t="str">
            <v>Е/Е</v>
          </cell>
          <cell r="O228" t="str">
            <v xml:space="preserve"> Т/Е</v>
          </cell>
          <cell r="P228" t="str">
            <v>ТЕЦ-6 ВСЬОГО</v>
          </cell>
          <cell r="Q228" t="str">
            <v>Е/Е</v>
          </cell>
          <cell r="R228" t="str">
            <v xml:space="preserve"> Т/Е</v>
          </cell>
          <cell r="S228" t="str">
            <v xml:space="preserve">ДОП.ВИР. </v>
          </cell>
          <cell r="T228" t="str">
            <v>ДОП.ВИР. СТ.ОРГ.</v>
          </cell>
          <cell r="U228" t="str">
            <v>АК КЕ ВСЬОГО</v>
          </cell>
          <cell r="V228" t="str">
            <v>Е/Е</v>
          </cell>
          <cell r="W228" t="str">
            <v xml:space="preserve"> Т/Е</v>
          </cell>
          <cell r="X228" t="str">
            <v>СТАНЦІї ЕЛЕКТРО</v>
          </cell>
          <cell r="Y228" t="str">
            <v>СТАНЦІІ ТЕПЛОВІ</v>
          </cell>
          <cell r="Z228" t="str">
            <v>МЕРЕЖІ ЕЛЕКТРО</v>
          </cell>
          <cell r="AA228" t="str">
            <v>МЕРЕЖІ ТЕПЛОВІ</v>
          </cell>
        </row>
        <row r="229">
          <cell r="C229" t="e">
            <v>#REF!</v>
          </cell>
          <cell r="D229" t="e">
            <v>#REF!</v>
          </cell>
          <cell r="E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v>889</v>
          </cell>
          <cell r="W229" t="e">
            <v>#REF!</v>
          </cell>
          <cell r="X229" t="e">
            <v>#REF!</v>
          </cell>
          <cell r="Y229" t="e">
            <v>#REF!</v>
          </cell>
        </row>
        <row r="230">
          <cell r="C230" t="e">
            <v>#REF!</v>
          </cell>
          <cell r="D230" t="e">
            <v>#REF!</v>
          </cell>
          <cell r="E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v>889</v>
          </cell>
          <cell r="U230" t="str">
            <v>АК КЕ ВСЬОГО</v>
          </cell>
          <cell r="V230" t="str">
            <v>Е/Е</v>
          </cell>
          <cell r="W230" t="e">
            <v>#REF!</v>
          </cell>
          <cell r="X230" t="e">
            <v>#REF!</v>
          </cell>
          <cell r="AC230" t="str">
            <v>СТАНЦІї ЕЛЕКТРО</v>
          </cell>
        </row>
        <row r="231">
          <cell r="C231" t="e">
            <v>#REF!</v>
          </cell>
          <cell r="D231" t="e">
            <v>#REF!</v>
          </cell>
          <cell r="E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v>1129</v>
          </cell>
          <cell r="U231" t="e">
            <v>#REF!</v>
          </cell>
          <cell r="V231" t="e">
            <v>#REF!</v>
          </cell>
          <cell r="W231" t="e">
            <v>#REF!</v>
          </cell>
        </row>
        <row r="232">
          <cell r="C232" t="e">
            <v>#REF!</v>
          </cell>
          <cell r="D232" t="e">
            <v>#REF!</v>
          </cell>
          <cell r="E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v>117</v>
          </cell>
          <cell r="U232" t="e">
            <v>#REF!</v>
          </cell>
          <cell r="V232" t="e">
            <v>#REF!</v>
          </cell>
          <cell r="W232" t="e">
            <v>#REF!</v>
          </cell>
          <cell r="X232" t="e">
            <v>#REF!</v>
          </cell>
        </row>
        <row r="233">
          <cell r="C233" t="e">
            <v>#REF!</v>
          </cell>
          <cell r="D233" t="e">
            <v>#REF!</v>
          </cell>
          <cell r="E233" t="e">
            <v>#REF!</v>
          </cell>
          <cell r="I233" t="e">
            <v>#REF!</v>
          </cell>
          <cell r="J233" t="e">
            <v>#REF!</v>
          </cell>
          <cell r="K233" t="e">
            <v>#REF!</v>
          </cell>
          <cell r="L233" t="e">
            <v>#REF!</v>
          </cell>
          <cell r="M233" t="e">
            <v>#REF!</v>
          </cell>
          <cell r="N233" t="e">
            <v>#REF!</v>
          </cell>
          <cell r="O233" t="e">
            <v>#REF!</v>
          </cell>
          <cell r="P233" t="e">
            <v>#REF!</v>
          </cell>
          <cell r="Q233" t="e">
            <v>#REF!</v>
          </cell>
          <cell r="R233" t="e">
            <v>#REF!</v>
          </cell>
          <cell r="S233">
            <v>708.125</v>
          </cell>
          <cell r="T233">
            <v>0</v>
          </cell>
          <cell r="U233">
            <v>23976.15725132322</v>
          </cell>
          <cell r="V233" t="e">
            <v>#REF!</v>
          </cell>
          <cell r="W233" t="e">
            <v>#REF!</v>
          </cell>
          <cell r="X233" t="e">
            <v>#REF!</v>
          </cell>
        </row>
        <row r="234">
          <cell r="C234" t="e">
            <v>#REF!</v>
          </cell>
          <cell r="D234">
            <v>934.35599999999977</v>
          </cell>
          <cell r="E234">
            <v>424.06800000000004</v>
          </cell>
          <cell r="I234" t="e">
            <v>#REF!</v>
          </cell>
          <cell r="J234" t="e">
            <v>#REF!</v>
          </cell>
          <cell r="K234" t="e">
            <v>#REF!</v>
          </cell>
          <cell r="L234" t="e">
            <v>#REF!</v>
          </cell>
          <cell r="M234" t="e">
            <v>#REF!</v>
          </cell>
          <cell r="N234">
            <v>1585</v>
          </cell>
          <cell r="O234">
            <v>691.00000000000023</v>
          </cell>
          <cell r="P234" t="e">
            <v>#REF!</v>
          </cell>
          <cell r="Q234">
            <v>1327</v>
          </cell>
          <cell r="R234">
            <v>742.99999999999977</v>
          </cell>
          <cell r="S234">
            <v>193.125</v>
          </cell>
          <cell r="T234">
            <v>117</v>
          </cell>
          <cell r="U234">
            <v>15320.660540053519</v>
          </cell>
          <cell r="V234" t="e">
            <v>#REF!</v>
          </cell>
          <cell r="W234" t="e">
            <v>#REF!</v>
          </cell>
          <cell r="X234" t="e">
            <v>#REF!</v>
          </cell>
        </row>
        <row r="235">
          <cell r="C235" t="e">
            <v>#REF!</v>
          </cell>
          <cell r="I235" t="e">
            <v>#REF!</v>
          </cell>
          <cell r="J235" t="e">
            <v>#REF!</v>
          </cell>
          <cell r="K235">
            <v>0</v>
          </cell>
          <cell r="L235">
            <v>0</v>
          </cell>
          <cell r="M235" t="e">
            <v>#REF!</v>
          </cell>
          <cell r="N235">
            <v>0</v>
          </cell>
          <cell r="O235">
            <v>0</v>
          </cell>
          <cell r="P235" t="e">
            <v>#REF!</v>
          </cell>
          <cell r="Q235">
            <v>0</v>
          </cell>
          <cell r="R235">
            <v>0</v>
          </cell>
          <cell r="S235">
            <v>897</v>
          </cell>
          <cell r="T235">
            <v>0</v>
          </cell>
          <cell r="U235" t="e">
            <v>#REF!</v>
          </cell>
          <cell r="V235" t="e">
            <v>#REF!</v>
          </cell>
          <cell r="W235" t="e">
            <v>#REF!</v>
          </cell>
          <cell r="X235" t="e">
            <v>#REF!</v>
          </cell>
        </row>
        <row r="236">
          <cell r="C236" t="e">
            <v>#REF!</v>
          </cell>
          <cell r="D236">
            <v>934.35599999999977</v>
          </cell>
          <cell r="E236">
            <v>424.06800000000004</v>
          </cell>
          <cell r="I236" t="e">
            <v>#REF!</v>
          </cell>
          <cell r="J236" t="e">
            <v>#REF!</v>
          </cell>
          <cell r="K236">
            <v>1359.5</v>
          </cell>
          <cell r="L236">
            <v>2119.4999999999995</v>
          </cell>
          <cell r="M236" t="e">
            <v>#REF!</v>
          </cell>
          <cell r="N236">
            <v>1585</v>
          </cell>
          <cell r="O236">
            <v>691.00000000000023</v>
          </cell>
          <cell r="P236" t="e">
            <v>#REF!</v>
          </cell>
          <cell r="Q236" t="e">
            <v>#REF!</v>
          </cell>
          <cell r="R236" t="e">
            <v>#REF!</v>
          </cell>
          <cell r="S236">
            <v>0</v>
          </cell>
          <cell r="T236">
            <v>0</v>
          </cell>
          <cell r="U236">
            <v>15689.007333333333</v>
          </cell>
          <cell r="V236">
            <v>15376.340666666665</v>
          </cell>
          <cell r="W236" t="e">
            <v>#REF!</v>
          </cell>
          <cell r="X236" t="e">
            <v>#REF!</v>
          </cell>
        </row>
        <row r="237">
          <cell r="C237" t="e">
            <v>#REF!</v>
          </cell>
          <cell r="D237">
            <v>78</v>
          </cell>
          <cell r="E237">
            <v>49</v>
          </cell>
          <cell r="I237" t="e">
            <v>#REF!</v>
          </cell>
          <cell r="J237" t="e">
            <v>#REF!</v>
          </cell>
          <cell r="K237">
            <v>335.96789473684214</v>
          </cell>
          <cell r="L237">
            <v>346.55842105263162</v>
          </cell>
          <cell r="M237" t="e">
            <v>#REF!</v>
          </cell>
          <cell r="N237">
            <v>158</v>
          </cell>
          <cell r="O237">
            <v>69.175438596491233</v>
          </cell>
          <cell r="P237" t="e">
            <v>#REF!</v>
          </cell>
          <cell r="Q237">
            <v>63</v>
          </cell>
          <cell r="R237">
            <v>35.423728813559308</v>
          </cell>
          <cell r="S237">
            <v>897</v>
          </cell>
          <cell r="T237">
            <v>1012</v>
          </cell>
          <cell r="U237">
            <v>4138.4967112696995</v>
          </cell>
          <cell r="V237">
            <v>4138.4967112696995</v>
          </cell>
          <cell r="W237" t="e">
            <v>#REF!</v>
          </cell>
          <cell r="X237" t="e">
            <v>#REF!</v>
          </cell>
          <cell r="Z237">
            <v>6</v>
          </cell>
          <cell r="AA237">
            <v>6</v>
          </cell>
          <cell r="AB237">
            <v>12</v>
          </cell>
        </row>
        <row r="238">
          <cell r="C238">
            <v>0</v>
          </cell>
          <cell r="I238">
            <v>273.35377358490564</v>
          </cell>
          <cell r="J238">
            <v>382.94811320754718</v>
          </cell>
          <cell r="K238">
            <v>121.25</v>
          </cell>
          <cell r="L238">
            <v>162.75</v>
          </cell>
          <cell r="M238">
            <v>158.2995283018868</v>
          </cell>
          <cell r="P238">
            <v>131.12735849056605</v>
          </cell>
          <cell r="S238">
            <v>146.625</v>
          </cell>
          <cell r="U238">
            <v>1220.7727272727273</v>
          </cell>
          <cell r="V238">
            <v>1231.382075471698</v>
          </cell>
          <cell r="W238">
            <v>0</v>
          </cell>
          <cell r="X238">
            <v>0</v>
          </cell>
          <cell r="Y238">
            <v>6</v>
          </cell>
          <cell r="Z238">
            <v>12</v>
          </cell>
        </row>
        <row r="239">
          <cell r="C239">
            <v>2421.3333333333335</v>
          </cell>
          <cell r="I239">
            <v>13</v>
          </cell>
          <cell r="J239">
            <v>9.3333333333333339</v>
          </cell>
          <cell r="K239">
            <v>0</v>
          </cell>
          <cell r="L239">
            <v>0</v>
          </cell>
          <cell r="M239">
            <v>577</v>
          </cell>
          <cell r="N239">
            <v>0</v>
          </cell>
          <cell r="O239">
            <v>0</v>
          </cell>
          <cell r="P239">
            <v>42</v>
          </cell>
          <cell r="Q239">
            <v>0</v>
          </cell>
          <cell r="R239">
            <v>0</v>
          </cell>
          <cell r="S239">
            <v>0</v>
          </cell>
          <cell r="T239">
            <v>0</v>
          </cell>
          <cell r="U239">
            <v>3586.2745410050566</v>
          </cell>
          <cell r="V239">
            <v>3586.2745410050566</v>
          </cell>
          <cell r="W239">
            <v>2421.3333333333335</v>
          </cell>
          <cell r="X239">
            <v>2421.3333333333335</v>
          </cell>
        </row>
        <row r="240">
          <cell r="C240" t="e">
            <v>#REF!</v>
          </cell>
          <cell r="D240" t="e">
            <v>#REF!</v>
          </cell>
          <cell r="E240" t="e">
            <v>#REF!</v>
          </cell>
          <cell r="I240">
            <v>0</v>
          </cell>
          <cell r="J240">
            <v>0</v>
          </cell>
          <cell r="K240">
            <v>0</v>
          </cell>
          <cell r="L240">
            <v>0</v>
          </cell>
          <cell r="M240" t="e">
            <v>#REF!</v>
          </cell>
          <cell r="N240">
            <v>0</v>
          </cell>
          <cell r="O240">
            <v>0</v>
          </cell>
          <cell r="P240" t="e">
            <v>#REF!</v>
          </cell>
          <cell r="Q240">
            <v>0</v>
          </cell>
          <cell r="R240">
            <v>0</v>
          </cell>
          <cell r="S240">
            <v>0</v>
          </cell>
          <cell r="U240">
            <v>589</v>
          </cell>
          <cell r="V240">
            <v>589</v>
          </cell>
          <cell r="W240" t="e">
            <v>#REF!</v>
          </cell>
          <cell r="X240" t="e">
            <v>#REF!</v>
          </cell>
        </row>
        <row r="241">
          <cell r="C241">
            <v>1.25</v>
          </cell>
          <cell r="D241" t="e">
            <v>#REF!</v>
          </cell>
          <cell r="E241" t="e">
            <v>#REF!</v>
          </cell>
          <cell r="I241">
            <v>13</v>
          </cell>
          <cell r="J241">
            <v>9.3333333333333339</v>
          </cell>
          <cell r="K241">
            <v>0</v>
          </cell>
          <cell r="L241">
            <v>0</v>
          </cell>
          <cell r="M241">
            <v>0</v>
          </cell>
          <cell r="N241" t="e">
            <v>#REF!</v>
          </cell>
          <cell r="O241" t="e">
            <v>#REF!</v>
          </cell>
          <cell r="P241">
            <v>30</v>
          </cell>
          <cell r="Q241" t="e">
            <v>#REF!</v>
          </cell>
          <cell r="R241" t="e">
            <v>#REF!</v>
          </cell>
          <cell r="S241">
            <v>0</v>
          </cell>
          <cell r="U241">
            <v>53.583333333333336</v>
          </cell>
          <cell r="V241">
            <v>53.583333333333336</v>
          </cell>
          <cell r="X241">
            <v>0</v>
          </cell>
          <cell r="AC241">
            <v>6</v>
          </cell>
        </row>
        <row r="242">
          <cell r="C242" t="e">
            <v>#REF!</v>
          </cell>
          <cell r="I242" t="e">
            <v>#REF!</v>
          </cell>
          <cell r="J242" t="e">
            <v>#REF!</v>
          </cell>
          <cell r="M242" t="e">
            <v>#REF!</v>
          </cell>
          <cell r="P242" t="e">
            <v>#REF!</v>
          </cell>
          <cell r="S242">
            <v>163</v>
          </cell>
          <cell r="U242">
            <v>-149.73279232827699</v>
          </cell>
          <cell r="V242">
            <v>-149.73279232827699</v>
          </cell>
          <cell r="W242" t="e">
            <v>#REF!</v>
          </cell>
          <cell r="X242" t="e">
            <v>#REF!</v>
          </cell>
        </row>
        <row r="243">
          <cell r="C243">
            <v>72</v>
          </cell>
          <cell r="I243">
            <v>370</v>
          </cell>
          <cell r="J243">
            <v>1217.0999999999999</v>
          </cell>
          <cell r="M243">
            <v>548.70000000000005</v>
          </cell>
          <cell r="P243">
            <v>180</v>
          </cell>
          <cell r="S243">
            <v>0</v>
          </cell>
          <cell r="U243">
            <v>2421.3333333333335</v>
          </cell>
          <cell r="V243">
            <v>2421.3333333333335</v>
          </cell>
          <cell r="W243">
            <v>2595.8000000000002</v>
          </cell>
          <cell r="X243">
            <v>2401.8000000000002</v>
          </cell>
        </row>
        <row r="244">
          <cell r="C244">
            <v>672.09066666666661</v>
          </cell>
          <cell r="D244">
            <v>511.35599999999999</v>
          </cell>
          <cell r="E244">
            <v>160.73466666666667</v>
          </cell>
          <cell r="I244">
            <v>0</v>
          </cell>
          <cell r="J244">
            <v>0</v>
          </cell>
          <cell r="K244">
            <v>0</v>
          </cell>
          <cell r="L244">
            <v>0</v>
          </cell>
          <cell r="M244">
            <v>0</v>
          </cell>
          <cell r="N244">
            <v>0</v>
          </cell>
          <cell r="O244">
            <v>0</v>
          </cell>
          <cell r="P244">
            <v>0</v>
          </cell>
          <cell r="Q244">
            <v>0</v>
          </cell>
          <cell r="R244">
            <v>0</v>
          </cell>
          <cell r="S244">
            <v>0</v>
          </cell>
          <cell r="U244">
            <v>672.09066666666661</v>
          </cell>
          <cell r="V244">
            <v>672.09066666666661</v>
          </cell>
          <cell r="X244">
            <v>0</v>
          </cell>
        </row>
        <row r="245">
          <cell r="C245">
            <v>0</v>
          </cell>
          <cell r="I245">
            <v>-195.33333333333334</v>
          </cell>
          <cell r="J245">
            <v>-166</v>
          </cell>
          <cell r="K245">
            <v>0</v>
          </cell>
          <cell r="L245">
            <v>0</v>
          </cell>
          <cell r="M245">
            <v>-272</v>
          </cell>
          <cell r="N245">
            <v>0</v>
          </cell>
          <cell r="O245">
            <v>0</v>
          </cell>
          <cell r="P245">
            <v>-165.33333333333334</v>
          </cell>
          <cell r="Q245">
            <v>0</v>
          </cell>
          <cell r="R245">
            <v>0</v>
          </cell>
          <cell r="S245">
            <v>0</v>
          </cell>
          <cell r="T245">
            <v>0</v>
          </cell>
          <cell r="V245">
            <v>0</v>
          </cell>
          <cell r="W245">
            <v>-798.66666666666674</v>
          </cell>
          <cell r="X245">
            <v>-798.66666666666674</v>
          </cell>
        </row>
        <row r="246">
          <cell r="C246">
            <v>950</v>
          </cell>
          <cell r="I246">
            <v>0</v>
          </cell>
          <cell r="J246">
            <v>0</v>
          </cell>
          <cell r="K246">
            <v>0</v>
          </cell>
          <cell r="L246">
            <v>0</v>
          </cell>
          <cell r="M246">
            <v>0</v>
          </cell>
          <cell r="N246">
            <v>0</v>
          </cell>
          <cell r="O246">
            <v>0</v>
          </cell>
          <cell r="P246">
            <v>0</v>
          </cell>
          <cell r="Q246">
            <v>0</v>
          </cell>
          <cell r="R246">
            <v>0</v>
          </cell>
          <cell r="S246">
            <v>0</v>
          </cell>
          <cell r="T246">
            <v>0</v>
          </cell>
          <cell r="U246">
            <v>4903</v>
          </cell>
          <cell r="V246">
            <v>4635</v>
          </cell>
          <cell r="W246">
            <v>0</v>
          </cell>
          <cell r="X246">
            <v>0</v>
          </cell>
        </row>
        <row r="247">
          <cell r="C247">
            <v>80</v>
          </cell>
          <cell r="I247">
            <v>300</v>
          </cell>
          <cell r="J247">
            <v>1360</v>
          </cell>
          <cell r="K247">
            <v>0</v>
          </cell>
          <cell r="L247">
            <v>0</v>
          </cell>
          <cell r="M247">
            <v>7</v>
          </cell>
          <cell r="N247">
            <v>0</v>
          </cell>
          <cell r="O247">
            <v>0</v>
          </cell>
          <cell r="P247">
            <v>1174</v>
          </cell>
          <cell r="Q247">
            <v>0</v>
          </cell>
          <cell r="R247">
            <v>0</v>
          </cell>
          <cell r="S247">
            <v>0</v>
          </cell>
          <cell r="T247">
            <v>0</v>
          </cell>
          <cell r="U247">
            <v>2921</v>
          </cell>
          <cell r="V247">
            <v>2921</v>
          </cell>
          <cell r="X247">
            <v>0</v>
          </cell>
        </row>
        <row r="248">
          <cell r="C248">
            <v>29</v>
          </cell>
          <cell r="I248">
            <v>0</v>
          </cell>
          <cell r="J248">
            <v>252</v>
          </cell>
          <cell r="M248">
            <v>2</v>
          </cell>
          <cell r="P248">
            <v>4</v>
          </cell>
          <cell r="S248">
            <v>0</v>
          </cell>
          <cell r="V248">
            <v>0</v>
          </cell>
          <cell r="W248">
            <v>298.7</v>
          </cell>
          <cell r="X248">
            <v>298.7</v>
          </cell>
        </row>
        <row r="249">
          <cell r="C249">
            <v>200</v>
          </cell>
          <cell r="I249">
            <v>0</v>
          </cell>
          <cell r="J249">
            <v>0</v>
          </cell>
          <cell r="K249">
            <v>0</v>
          </cell>
          <cell r="L249">
            <v>0</v>
          </cell>
          <cell r="M249">
            <v>0</v>
          </cell>
          <cell r="N249">
            <v>0</v>
          </cell>
          <cell r="O249">
            <v>0</v>
          </cell>
          <cell r="P249">
            <v>0</v>
          </cell>
          <cell r="Q249">
            <v>0</v>
          </cell>
          <cell r="R249">
            <v>0</v>
          </cell>
          <cell r="S249">
            <v>0</v>
          </cell>
          <cell r="T249">
            <v>0</v>
          </cell>
          <cell r="U249">
            <v>-578</v>
          </cell>
          <cell r="V249">
            <v>-578</v>
          </cell>
          <cell r="W249">
            <v>200</v>
          </cell>
          <cell r="X249">
            <v>200</v>
          </cell>
        </row>
        <row r="250">
          <cell r="C250" t="e">
            <v>#REF!</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X250">
            <v>0</v>
          </cell>
        </row>
        <row r="251">
          <cell r="C251">
            <v>0</v>
          </cell>
          <cell r="I251">
            <v>0</v>
          </cell>
          <cell r="J251">
            <v>0</v>
          </cell>
          <cell r="M251">
            <v>42.300000000000004</v>
          </cell>
          <cell r="N251">
            <v>24</v>
          </cell>
          <cell r="O251">
            <v>18.300000000000004</v>
          </cell>
          <cell r="P251">
            <v>91.8</v>
          </cell>
          <cell r="Q251">
            <v>36</v>
          </cell>
          <cell r="R251">
            <v>55.8</v>
          </cell>
          <cell r="S251">
            <v>0</v>
          </cell>
          <cell r="T251">
            <v>0</v>
          </cell>
          <cell r="V251">
            <v>0</v>
          </cell>
          <cell r="W251">
            <v>134.1</v>
          </cell>
          <cell r="X251">
            <v>134.1</v>
          </cell>
        </row>
        <row r="252">
          <cell r="C252" t="e">
            <v>#REF!</v>
          </cell>
          <cell r="I252" t="e">
            <v>#REF!</v>
          </cell>
          <cell r="J252" t="e">
            <v>#REF!</v>
          </cell>
          <cell r="M252" t="e">
            <v>#REF!</v>
          </cell>
          <cell r="N252" t="e">
            <v>#REF!</v>
          </cell>
          <cell r="O252" t="e">
            <v>#REF!</v>
          </cell>
          <cell r="P252" t="e">
            <v>#REF!</v>
          </cell>
          <cell r="Q252" t="e">
            <v>#REF!</v>
          </cell>
          <cell r="R252" t="e">
            <v>#REF!</v>
          </cell>
          <cell r="S252">
            <v>0</v>
          </cell>
          <cell r="T252">
            <v>0</v>
          </cell>
          <cell r="U252">
            <v>331</v>
          </cell>
          <cell r="V252">
            <v>331</v>
          </cell>
          <cell r="W252" t="e">
            <v>#REF!</v>
          </cell>
          <cell r="X252" t="e">
            <v>#REF!</v>
          </cell>
        </row>
        <row r="253">
          <cell r="C253">
            <v>200</v>
          </cell>
          <cell r="I253">
            <v>240</v>
          </cell>
          <cell r="J253">
            <v>330</v>
          </cell>
          <cell r="M253">
            <v>0</v>
          </cell>
          <cell r="P253">
            <v>10</v>
          </cell>
          <cell r="S253">
            <v>0</v>
          </cell>
          <cell r="U253">
            <v>200</v>
          </cell>
          <cell r="V253">
            <v>200</v>
          </cell>
          <cell r="W253">
            <v>580</v>
          </cell>
          <cell r="X253">
            <v>580</v>
          </cell>
        </row>
        <row r="254">
          <cell r="I254">
            <v>0</v>
          </cell>
          <cell r="J254">
            <v>152</v>
          </cell>
          <cell r="M254">
            <v>20</v>
          </cell>
          <cell r="P254">
            <v>10</v>
          </cell>
          <cell r="U254">
            <v>202</v>
          </cell>
          <cell r="V254">
            <v>0</v>
          </cell>
          <cell r="W254">
            <v>0</v>
          </cell>
          <cell r="X254">
            <v>0</v>
          </cell>
        </row>
        <row r="255">
          <cell r="C255" t="e">
            <v>#REF!</v>
          </cell>
          <cell r="I255" t="e">
            <v>#REF!</v>
          </cell>
          <cell r="J255" t="e">
            <v>#REF!</v>
          </cell>
          <cell r="M255" t="e">
            <v>#REF!</v>
          </cell>
          <cell r="N255">
            <v>43</v>
          </cell>
          <cell r="O255">
            <v>17</v>
          </cell>
          <cell r="P255" t="e">
            <v>#REF!</v>
          </cell>
          <cell r="Q255">
            <v>32</v>
          </cell>
          <cell r="R255">
            <v>18</v>
          </cell>
          <cell r="S255">
            <v>0</v>
          </cell>
          <cell r="T255">
            <v>0</v>
          </cell>
          <cell r="U255">
            <v>110</v>
          </cell>
          <cell r="V255">
            <v>110</v>
          </cell>
          <cell r="W255" t="e">
            <v>#REF!</v>
          </cell>
          <cell r="X255" t="e">
            <v>#REF!</v>
          </cell>
          <cell r="Y255" t="str">
            <v>Е/Е</v>
          </cell>
          <cell r="Z255" t="str">
            <v xml:space="preserve"> Т/Е</v>
          </cell>
        </row>
        <row r="256">
          <cell r="C256" t="e">
            <v>#REF!</v>
          </cell>
          <cell r="I256" t="e">
            <v>#REF!</v>
          </cell>
          <cell r="J256" t="e">
            <v>#REF!</v>
          </cell>
          <cell r="M256" t="e">
            <v>#REF!</v>
          </cell>
          <cell r="P256" t="e">
            <v>#REF!</v>
          </cell>
          <cell r="S256">
            <v>0</v>
          </cell>
          <cell r="U256">
            <v>366</v>
          </cell>
          <cell r="V256">
            <v>366</v>
          </cell>
          <cell r="W256" t="e">
            <v>#REF!</v>
          </cell>
          <cell r="X256" t="e">
            <v>#REF!</v>
          </cell>
        </row>
        <row r="257">
          <cell r="C257" t="e">
            <v>#REF!</v>
          </cell>
          <cell r="I257" t="e">
            <v>#REF!</v>
          </cell>
          <cell r="J257" t="e">
            <v>#REF!</v>
          </cell>
          <cell r="M257" t="e">
            <v>#REF!</v>
          </cell>
          <cell r="N257" t="e">
            <v>#REF!</v>
          </cell>
          <cell r="O257">
            <v>0</v>
          </cell>
          <cell r="P257" t="e">
            <v>#REF!</v>
          </cell>
          <cell r="Q257" t="e">
            <v>#REF!</v>
          </cell>
          <cell r="R257">
            <v>0</v>
          </cell>
          <cell r="S257">
            <v>0</v>
          </cell>
          <cell r="U257">
            <v>556</v>
          </cell>
          <cell r="V257">
            <v>556</v>
          </cell>
        </row>
        <row r="258">
          <cell r="C258" t="e">
            <v>#REF!</v>
          </cell>
          <cell r="I258" t="e">
            <v>#REF!</v>
          </cell>
          <cell r="J258" t="e">
            <v>#REF!</v>
          </cell>
          <cell r="M258" t="e">
            <v>#REF!</v>
          </cell>
          <cell r="N258" t="e">
            <v>#REF!</v>
          </cell>
          <cell r="O258" t="e">
            <v>#REF!</v>
          </cell>
          <cell r="P258" t="e">
            <v>#REF!</v>
          </cell>
          <cell r="Q258" t="e">
            <v>#REF!</v>
          </cell>
          <cell r="R258" t="e">
            <v>#REF!</v>
          </cell>
          <cell r="S258" t="e">
            <v>#REF!</v>
          </cell>
          <cell r="T258">
            <v>2221.1818606060606</v>
          </cell>
          <cell r="U258">
            <v>0</v>
          </cell>
          <cell r="V258">
            <v>0</v>
          </cell>
          <cell r="W258" t="e">
            <v>#REF!</v>
          </cell>
          <cell r="X258" t="e">
            <v>#REF!</v>
          </cell>
          <cell r="Y258">
            <v>1372</v>
          </cell>
          <cell r="Z258">
            <v>484.85303030302975</v>
          </cell>
          <cell r="AA258">
            <v>0</v>
          </cell>
        </row>
        <row r="259">
          <cell r="C259" t="e">
            <v>#REF!</v>
          </cell>
          <cell r="I259" t="e">
            <v>#REF!</v>
          </cell>
          <cell r="J259" t="e">
            <v>#REF!</v>
          </cell>
          <cell r="M259" t="e">
            <v>#REF!</v>
          </cell>
          <cell r="P259" t="e">
            <v>#REF!</v>
          </cell>
          <cell r="S259">
            <v>3</v>
          </cell>
          <cell r="T259">
            <v>1413.9233333333332</v>
          </cell>
          <cell r="U259">
            <v>2217</v>
          </cell>
          <cell r="V259">
            <v>2217</v>
          </cell>
          <cell r="W259" t="e">
            <v>#REF!</v>
          </cell>
          <cell r="X259" t="e">
            <v>#REF!</v>
          </cell>
          <cell r="Y259">
            <v>691</v>
          </cell>
          <cell r="Z259">
            <v>244.46666666666613</v>
          </cell>
        </row>
        <row r="260">
          <cell r="C260" t="e">
            <v>#REF!</v>
          </cell>
          <cell r="D260" t="e">
            <v>#REF!</v>
          </cell>
          <cell r="E260" t="e">
            <v>#REF!</v>
          </cell>
          <cell r="I260" t="e">
            <v>#REF!</v>
          </cell>
          <cell r="J260" t="e">
            <v>#REF!</v>
          </cell>
          <cell r="K260" t="e">
            <v>#REF!</v>
          </cell>
          <cell r="L260" t="e">
            <v>#REF!</v>
          </cell>
          <cell r="M260" t="e">
            <v>#REF!</v>
          </cell>
          <cell r="N260" t="e">
            <v>#REF!</v>
          </cell>
          <cell r="O260" t="e">
            <v>#REF!</v>
          </cell>
          <cell r="P260" t="e">
            <v>#REF!</v>
          </cell>
          <cell r="Q260" t="e">
            <v>#REF!</v>
          </cell>
          <cell r="R260" t="e">
            <v>#REF!</v>
          </cell>
          <cell r="S260">
            <v>0</v>
          </cell>
          <cell r="T260">
            <v>0</v>
          </cell>
          <cell r="U260">
            <v>0</v>
          </cell>
          <cell r="V260">
            <v>0</v>
          </cell>
          <cell r="W260" t="e">
            <v>#REF!</v>
          </cell>
          <cell r="X260" t="e">
            <v>#REF!</v>
          </cell>
          <cell r="Y260">
            <v>0</v>
          </cell>
          <cell r="Z260">
            <v>0</v>
          </cell>
          <cell r="AA260">
            <v>0</v>
          </cell>
        </row>
        <row r="261">
          <cell r="C261" t="e">
            <v>#REF!</v>
          </cell>
          <cell r="D261" t="e">
            <v>#REF!</v>
          </cell>
          <cell r="E261" t="e">
            <v>#REF!</v>
          </cell>
          <cell r="I261" t="e">
            <v>#REF!</v>
          </cell>
          <cell r="J261" t="e">
            <v>#REF!</v>
          </cell>
          <cell r="K261" t="e">
            <v>#REF!</v>
          </cell>
          <cell r="L261" t="e">
            <v>#REF!</v>
          </cell>
          <cell r="M261" t="e">
            <v>#REF!</v>
          </cell>
          <cell r="N261" t="e">
            <v>#REF!</v>
          </cell>
          <cell r="O261" t="e">
            <v>#REF!</v>
          </cell>
          <cell r="P261" t="e">
            <v>#REF!</v>
          </cell>
          <cell r="Q261" t="e">
            <v>#REF!</v>
          </cell>
          <cell r="R261" t="e">
            <v>#REF!</v>
          </cell>
          <cell r="S261">
            <v>0</v>
          </cell>
          <cell r="T261">
            <v>112</v>
          </cell>
          <cell r="U261" t="e">
            <v>#REF!</v>
          </cell>
          <cell r="V261" t="e">
            <v>#REF!</v>
          </cell>
          <cell r="W261" t="e">
            <v>#REF!</v>
          </cell>
        </row>
        <row r="262">
          <cell r="C262" t="e">
            <v>#REF!</v>
          </cell>
          <cell r="I262" t="e">
            <v>#REF!</v>
          </cell>
          <cell r="J262" t="e">
            <v>#REF!</v>
          </cell>
          <cell r="K262" t="e">
            <v>#REF!</v>
          </cell>
          <cell r="L262" t="e">
            <v>#REF!</v>
          </cell>
          <cell r="M262" t="e">
            <v>#REF!</v>
          </cell>
          <cell r="N262" t="e">
            <v>#REF!</v>
          </cell>
          <cell r="O262" t="e">
            <v>#REF!</v>
          </cell>
          <cell r="P262" t="e">
            <v>#REF!</v>
          </cell>
          <cell r="Q262" t="e">
            <v>#REF!</v>
          </cell>
          <cell r="R262" t="e">
            <v>#REF!</v>
          </cell>
          <cell r="S262">
            <v>0</v>
          </cell>
          <cell r="T262">
            <v>48</v>
          </cell>
          <cell r="U262">
            <v>3661</v>
          </cell>
          <cell r="V262">
            <v>3661</v>
          </cell>
          <cell r="W262" t="e">
            <v>#REF!</v>
          </cell>
        </row>
        <row r="263">
          <cell r="C263" t="e">
            <v>#REF!</v>
          </cell>
          <cell r="I263" t="e">
            <v>#REF!</v>
          </cell>
          <cell r="J263" t="e">
            <v>#REF!</v>
          </cell>
          <cell r="K263" t="e">
            <v>#REF!</v>
          </cell>
          <cell r="L263" t="e">
            <v>#REF!</v>
          </cell>
          <cell r="M263" t="e">
            <v>#REF!</v>
          </cell>
          <cell r="N263" t="e">
            <v>#REF!</v>
          </cell>
          <cell r="O263" t="e">
            <v>#REF!</v>
          </cell>
          <cell r="P263" t="e">
            <v>#REF!</v>
          </cell>
          <cell r="Q263" t="e">
            <v>#REF!</v>
          </cell>
          <cell r="R263" t="e">
            <v>#REF!</v>
          </cell>
          <cell r="S263">
            <v>0</v>
          </cell>
          <cell r="T263">
            <v>51</v>
          </cell>
          <cell r="U263">
            <v>180</v>
          </cell>
          <cell r="V263">
            <v>180</v>
          </cell>
          <cell r="W263" t="e">
            <v>#REF!</v>
          </cell>
          <cell r="X263" t="e">
            <v>#REF!</v>
          </cell>
          <cell r="Y263">
            <v>0</v>
          </cell>
          <cell r="Z263">
            <v>0</v>
          </cell>
          <cell r="AA263">
            <v>0</v>
          </cell>
        </row>
        <row r="264">
          <cell r="C264">
            <v>0</v>
          </cell>
          <cell r="D264">
            <v>934.35599999999977</v>
          </cell>
          <cell r="E264">
            <v>424.06800000000004</v>
          </cell>
          <cell r="I264" t="e">
            <v>#REF!</v>
          </cell>
          <cell r="J264" t="e">
            <v>#REF!</v>
          </cell>
          <cell r="K264">
            <v>1359.5</v>
          </cell>
          <cell r="L264">
            <v>2119.4999999999995</v>
          </cell>
          <cell r="M264" t="e">
            <v>#REF!</v>
          </cell>
          <cell r="N264" t="e">
            <v>#REF!</v>
          </cell>
          <cell r="O264" t="e">
            <v>#REF!</v>
          </cell>
          <cell r="P264" t="e">
            <v>#REF!</v>
          </cell>
          <cell r="Q264" t="e">
            <v>#REF!</v>
          </cell>
          <cell r="R264" t="e">
            <v>#REF!</v>
          </cell>
          <cell r="S264">
            <v>0</v>
          </cell>
          <cell r="T264">
            <v>0</v>
          </cell>
          <cell r="U264">
            <v>1603.0000000000005</v>
          </cell>
          <cell r="V264">
            <v>1558.3333333333326</v>
          </cell>
          <cell r="W264">
            <v>0</v>
          </cell>
          <cell r="X264" t="e">
            <v>#REF!</v>
          </cell>
        </row>
        <row r="265">
          <cell r="C265">
            <v>5.3333333333333712</v>
          </cell>
          <cell r="I265">
            <v>18</v>
          </cell>
          <cell r="J265">
            <v>100</v>
          </cell>
          <cell r="K265">
            <v>190</v>
          </cell>
          <cell r="L265">
            <v>190</v>
          </cell>
          <cell r="M265">
            <v>89</v>
          </cell>
          <cell r="N265">
            <v>61</v>
          </cell>
          <cell r="O265">
            <v>28</v>
          </cell>
          <cell r="P265">
            <v>168</v>
          </cell>
          <cell r="Q265">
            <v>108</v>
          </cell>
          <cell r="R265">
            <v>60</v>
          </cell>
          <cell r="S265">
            <v>0</v>
          </cell>
          <cell r="T265">
            <v>16</v>
          </cell>
          <cell r="U265">
            <v>405.33333333333348</v>
          </cell>
          <cell r="V265" t="e">
            <v>#REF!</v>
          </cell>
        </row>
        <row r="266">
          <cell r="C266">
            <v>0</v>
          </cell>
          <cell r="I266">
            <v>0</v>
          </cell>
          <cell r="J266">
            <v>294</v>
          </cell>
          <cell r="K266">
            <v>229.32000000000002</v>
          </cell>
          <cell r="L266">
            <v>64.679999999999978</v>
          </cell>
          <cell r="M266">
            <v>103</v>
          </cell>
          <cell r="N266">
            <v>72</v>
          </cell>
          <cell r="O266">
            <v>31</v>
          </cell>
          <cell r="P266">
            <v>78</v>
          </cell>
          <cell r="Q266">
            <v>50</v>
          </cell>
          <cell r="R266">
            <v>28</v>
          </cell>
          <cell r="S266">
            <v>0</v>
          </cell>
          <cell r="T266">
            <v>51</v>
          </cell>
          <cell r="U266">
            <v>495</v>
          </cell>
        </row>
        <row r="267">
          <cell r="C267">
            <v>302.66666666666674</v>
          </cell>
          <cell r="I267">
            <v>40</v>
          </cell>
          <cell r="J267">
            <v>413</v>
          </cell>
          <cell r="K267">
            <v>82.5</v>
          </cell>
          <cell r="L267">
            <v>42.5</v>
          </cell>
          <cell r="M267">
            <v>35</v>
          </cell>
          <cell r="N267">
            <v>26</v>
          </cell>
          <cell r="O267">
            <v>12</v>
          </cell>
          <cell r="P267">
            <v>29</v>
          </cell>
          <cell r="Q267">
            <v>20</v>
          </cell>
          <cell r="R267">
            <v>11</v>
          </cell>
          <cell r="S267">
            <v>0</v>
          </cell>
          <cell r="T267">
            <v>12</v>
          </cell>
          <cell r="U267">
            <v>702.66666666666697</v>
          </cell>
          <cell r="V267">
            <v>637.66666666666674</v>
          </cell>
        </row>
        <row r="268">
          <cell r="C268">
            <v>0</v>
          </cell>
          <cell r="I268">
            <v>0</v>
          </cell>
          <cell r="J268">
            <v>0</v>
          </cell>
          <cell r="M268">
            <v>0</v>
          </cell>
          <cell r="N268">
            <v>0</v>
          </cell>
          <cell r="O268">
            <v>0</v>
          </cell>
          <cell r="P268">
            <v>3090</v>
          </cell>
          <cell r="Q268">
            <v>0</v>
          </cell>
          <cell r="R268">
            <v>0</v>
          </cell>
          <cell r="S268">
            <v>0</v>
          </cell>
          <cell r="U268">
            <v>0</v>
          </cell>
          <cell r="V268">
            <v>11</v>
          </cell>
        </row>
        <row r="269">
          <cell r="P269">
            <v>0</v>
          </cell>
          <cell r="S269">
            <v>0</v>
          </cell>
          <cell r="X269">
            <v>0</v>
          </cell>
        </row>
        <row r="271">
          <cell r="P271">
            <v>0</v>
          </cell>
          <cell r="S271">
            <v>0</v>
          </cell>
          <cell r="X271">
            <v>0</v>
          </cell>
        </row>
        <row r="272">
          <cell r="N272" t="str">
            <v>Собівартість</v>
          </cell>
          <cell r="P272">
            <v>3642.12</v>
          </cell>
          <cell r="Q272">
            <v>0</v>
          </cell>
          <cell r="R272">
            <v>0</v>
          </cell>
          <cell r="S272">
            <v>4914.9412121212117</v>
          </cell>
          <cell r="T272">
            <v>0</v>
          </cell>
          <cell r="U272">
            <v>0</v>
          </cell>
          <cell r="V272">
            <v>0</v>
          </cell>
          <cell r="W272">
            <v>0</v>
          </cell>
          <cell r="X272">
            <v>1941.8530303030293</v>
          </cell>
          <cell r="Y272">
            <v>0</v>
          </cell>
          <cell r="Z272">
            <v>0</v>
          </cell>
          <cell r="AA272">
            <v>0</v>
          </cell>
        </row>
        <row r="273">
          <cell r="P273">
            <v>1933.62</v>
          </cell>
          <cell r="Q273">
            <v>0</v>
          </cell>
          <cell r="R273">
            <v>0</v>
          </cell>
          <cell r="S273">
            <v>3984.42</v>
          </cell>
          <cell r="T273">
            <v>654.3785272727273</v>
          </cell>
          <cell r="U273">
            <v>670.49601818181827</v>
          </cell>
          <cell r="V273">
            <v>0</v>
          </cell>
          <cell r="W273">
            <v>0</v>
          </cell>
          <cell r="X273">
            <v>1314.75</v>
          </cell>
          <cell r="Y273">
            <v>522</v>
          </cell>
          <cell r="Z273">
            <v>184.38636363636363</v>
          </cell>
          <cell r="AA273">
            <v>0</v>
          </cell>
        </row>
        <row r="274">
          <cell r="P274">
            <v>955.62</v>
          </cell>
          <cell r="S274">
            <v>1895.42</v>
          </cell>
          <cell r="T274">
            <v>644.3785272727273</v>
          </cell>
          <cell r="U274">
            <v>670.49601818181827</v>
          </cell>
          <cell r="X274">
            <v>640.75</v>
          </cell>
          <cell r="Y274">
            <v>274</v>
          </cell>
          <cell r="Z274">
            <v>96.386363636363626</v>
          </cell>
        </row>
        <row r="275">
          <cell r="N275" t="str">
            <v>Собівартість</v>
          </cell>
          <cell r="P275">
            <v>0</v>
          </cell>
          <cell r="Q275">
            <v>0</v>
          </cell>
          <cell r="R275">
            <v>0</v>
          </cell>
          <cell r="S275">
            <v>10</v>
          </cell>
          <cell r="T275">
            <v>10</v>
          </cell>
          <cell r="U275">
            <v>0</v>
          </cell>
          <cell r="V275">
            <v>0</v>
          </cell>
          <cell r="W275">
            <v>0</v>
          </cell>
          <cell r="X275">
            <v>336</v>
          </cell>
          <cell r="Y275">
            <v>248</v>
          </cell>
          <cell r="Z275">
            <v>88</v>
          </cell>
          <cell r="AA275">
            <v>0</v>
          </cell>
        </row>
        <row r="276">
          <cell r="P276">
            <v>-25</v>
          </cell>
          <cell r="Q276">
            <v>0</v>
          </cell>
          <cell r="R276">
            <v>0</v>
          </cell>
          <cell r="S276">
            <v>1409</v>
          </cell>
          <cell r="T276">
            <v>0</v>
          </cell>
          <cell r="U276">
            <v>0</v>
          </cell>
          <cell r="V276">
            <v>0</v>
          </cell>
          <cell r="W276">
            <v>0</v>
          </cell>
          <cell r="X276">
            <v>338</v>
          </cell>
          <cell r="Y276">
            <v>0</v>
          </cell>
          <cell r="Z276">
            <v>0</v>
          </cell>
          <cell r="AA276">
            <v>0</v>
          </cell>
        </row>
        <row r="277">
          <cell r="P277">
            <v>-1.375</v>
          </cell>
          <cell r="S277">
            <v>750</v>
          </cell>
          <cell r="X277">
            <v>115</v>
          </cell>
        </row>
        <row r="278">
          <cell r="N278" t="str">
            <v>Собівартість</v>
          </cell>
          <cell r="P278">
            <v>-8</v>
          </cell>
          <cell r="S278">
            <v>84</v>
          </cell>
          <cell r="X278">
            <v>57</v>
          </cell>
        </row>
        <row r="279">
          <cell r="P279">
            <v>-2.1590909090909096</v>
          </cell>
          <cell r="S279">
            <v>430</v>
          </cell>
          <cell r="X279">
            <v>100</v>
          </cell>
        </row>
        <row r="280">
          <cell r="P280">
            <v>145</v>
          </cell>
          <cell r="S280">
            <v>145</v>
          </cell>
          <cell r="X280">
            <v>66</v>
          </cell>
        </row>
        <row r="281">
          <cell r="P281">
            <v>14</v>
          </cell>
          <cell r="Q281">
            <v>0</v>
          </cell>
          <cell r="R281">
            <v>0</v>
          </cell>
          <cell r="S281">
            <v>420</v>
          </cell>
          <cell r="T281">
            <v>0</v>
          </cell>
          <cell r="U281">
            <v>0</v>
          </cell>
          <cell r="V281">
            <v>0</v>
          </cell>
          <cell r="W281">
            <v>0</v>
          </cell>
          <cell r="X281">
            <v>0</v>
          </cell>
          <cell r="Y281">
            <v>0</v>
          </cell>
          <cell r="Z281">
            <v>0</v>
          </cell>
          <cell r="AA281">
            <v>0</v>
          </cell>
        </row>
        <row r="282">
          <cell r="N282" t="str">
            <v>ФМЗ ( з відрахуван)</v>
          </cell>
          <cell r="P282">
            <v>25</v>
          </cell>
          <cell r="S282">
            <v>0</v>
          </cell>
          <cell r="X282">
            <v>0</v>
          </cell>
        </row>
        <row r="283">
          <cell r="P283">
            <v>14</v>
          </cell>
          <cell r="S283">
            <v>420</v>
          </cell>
          <cell r="X283">
            <v>0</v>
          </cell>
        </row>
        <row r="285">
          <cell r="N285" t="str">
            <v>ФМЗ ( з відрахуван)</v>
          </cell>
          <cell r="P285">
            <v>25</v>
          </cell>
          <cell r="S285">
            <v>250</v>
          </cell>
        </row>
        <row r="286">
          <cell r="P286">
            <v>1708.5</v>
          </cell>
          <cell r="Q286">
            <v>0</v>
          </cell>
          <cell r="R286">
            <v>0</v>
          </cell>
          <cell r="S286">
            <v>930.52121212121165</v>
          </cell>
          <cell r="T286">
            <v>-654.3785272727273</v>
          </cell>
          <cell r="U286">
            <v>-670.49601818181827</v>
          </cell>
          <cell r="V286">
            <v>0</v>
          </cell>
          <cell r="W286">
            <v>0</v>
          </cell>
          <cell r="X286">
            <v>627.1030303030293</v>
          </cell>
          <cell r="Y286">
            <v>-522</v>
          </cell>
          <cell r="Z286">
            <v>-184.38636363636363</v>
          </cell>
          <cell r="AA286">
            <v>0</v>
          </cell>
        </row>
        <row r="288">
          <cell r="N288" t="str">
            <v>ФМЗ ( з відрахуван)</v>
          </cell>
          <cell r="P288">
            <v>25</v>
          </cell>
          <cell r="Q288">
            <v>0</v>
          </cell>
          <cell r="R288">
            <v>0</v>
          </cell>
          <cell r="S288">
            <v>5192.5212121212126</v>
          </cell>
          <cell r="T288">
            <v>0</v>
          </cell>
          <cell r="U288">
            <v>0</v>
          </cell>
          <cell r="V288">
            <v>0</v>
          </cell>
          <cell r="W288">
            <v>0</v>
          </cell>
          <cell r="X288">
            <v>627.10303030303021</v>
          </cell>
          <cell r="Y288">
            <v>0</v>
          </cell>
          <cell r="Z288">
            <v>0</v>
          </cell>
          <cell r="AA288">
            <v>0</v>
          </cell>
        </row>
        <row r="289">
          <cell r="P289">
            <v>1187</v>
          </cell>
          <cell r="S289">
            <v>3582</v>
          </cell>
          <cell r="X289">
            <v>-15</v>
          </cell>
        </row>
        <row r="290">
          <cell r="P290">
            <v>450.5</v>
          </cell>
          <cell r="Q290">
            <v>0</v>
          </cell>
          <cell r="R290">
            <v>0</v>
          </cell>
          <cell r="S290">
            <v>1011.8545454545454</v>
          </cell>
          <cell r="T290">
            <v>0</v>
          </cell>
          <cell r="U290">
            <v>0</v>
          </cell>
          <cell r="V290">
            <v>0</v>
          </cell>
          <cell r="W290">
            <v>0</v>
          </cell>
          <cell r="X290">
            <v>554.43636363636358</v>
          </cell>
          <cell r="Y290">
            <v>0</v>
          </cell>
          <cell r="Z290">
            <v>0</v>
          </cell>
          <cell r="AA290">
            <v>0</v>
          </cell>
        </row>
        <row r="291">
          <cell r="P291">
            <v>0</v>
          </cell>
          <cell r="S291">
            <v>0</v>
          </cell>
          <cell r="X291">
            <v>0</v>
          </cell>
        </row>
        <row r="292">
          <cell r="P292">
            <v>0</v>
          </cell>
          <cell r="S292">
            <v>0</v>
          </cell>
          <cell r="X292">
            <v>0</v>
          </cell>
        </row>
        <row r="293">
          <cell r="P293">
            <v>129</v>
          </cell>
          <cell r="Q293">
            <v>0</v>
          </cell>
          <cell r="R293">
            <v>0</v>
          </cell>
          <cell r="S293">
            <v>517.66666666666663</v>
          </cell>
          <cell r="T293">
            <v>0</v>
          </cell>
          <cell r="U293">
            <v>0</v>
          </cell>
          <cell r="V293">
            <v>0</v>
          </cell>
          <cell r="W293">
            <v>0</v>
          </cell>
          <cell r="X293">
            <v>217</v>
          </cell>
          <cell r="Y293">
            <v>0</v>
          </cell>
          <cell r="Z293">
            <v>0</v>
          </cell>
          <cell r="AA293">
            <v>0</v>
          </cell>
        </row>
        <row r="294">
          <cell r="P294">
            <v>1</v>
          </cell>
          <cell r="S294">
            <v>97.666666666666629</v>
          </cell>
          <cell r="X294">
            <v>12</v>
          </cell>
        </row>
        <row r="295">
          <cell r="P295">
            <v>42</v>
          </cell>
          <cell r="S295">
            <v>319</v>
          </cell>
          <cell r="X295">
            <v>85</v>
          </cell>
        </row>
        <row r="296">
          <cell r="P296">
            <v>86</v>
          </cell>
          <cell r="S296">
            <v>101</v>
          </cell>
          <cell r="X296">
            <v>120</v>
          </cell>
        </row>
        <row r="297">
          <cell r="P297">
            <v>0</v>
          </cell>
        </row>
        <row r="298">
          <cell r="P298">
            <v>62</v>
          </cell>
          <cell r="S298">
            <v>81</v>
          </cell>
          <cell r="X298">
            <v>-129.33333333333334</v>
          </cell>
        </row>
        <row r="299">
          <cell r="P299">
            <v>1708.5</v>
          </cell>
          <cell r="Q299">
            <v>0</v>
          </cell>
          <cell r="R299">
            <v>0</v>
          </cell>
          <cell r="S299">
            <v>930.52121212121165</v>
          </cell>
          <cell r="T299">
            <v>-654.3785272727273</v>
          </cell>
          <cell r="U299">
            <v>-670.49601818181827</v>
          </cell>
          <cell r="V299">
            <v>0</v>
          </cell>
          <cell r="W299">
            <v>0</v>
          </cell>
          <cell r="X299">
            <v>627.1030303030293</v>
          </cell>
          <cell r="Y299">
            <v>-522</v>
          </cell>
          <cell r="Z299">
            <v>-184.38636363636363</v>
          </cell>
          <cell r="AA299">
            <v>0</v>
          </cell>
        </row>
        <row r="302">
          <cell r="P302">
            <v>1708.5</v>
          </cell>
          <cell r="Q302">
            <v>0</v>
          </cell>
          <cell r="R302">
            <v>0</v>
          </cell>
          <cell r="S302">
            <v>930.52121212121165</v>
          </cell>
          <cell r="T302">
            <v>-654.3785272727273</v>
          </cell>
          <cell r="U302">
            <v>-670.49601818181827</v>
          </cell>
          <cell r="V302">
            <v>0</v>
          </cell>
          <cell r="W302">
            <v>0</v>
          </cell>
          <cell r="X302">
            <v>627.1030303030293</v>
          </cell>
          <cell r="Y302">
            <v>-522</v>
          </cell>
          <cell r="Z302">
            <v>-184.38636363636363</v>
          </cell>
          <cell r="AA302">
            <v>0</v>
          </cell>
        </row>
        <row r="304">
          <cell r="P304">
            <v>0</v>
          </cell>
          <cell r="Q304">
            <v>0</v>
          </cell>
          <cell r="R304">
            <v>0</v>
          </cell>
          <cell r="S304">
            <v>0</v>
          </cell>
          <cell r="T304">
            <v>0</v>
          </cell>
          <cell r="U304">
            <v>0</v>
          </cell>
          <cell r="V304">
            <v>0</v>
          </cell>
          <cell r="W304">
            <v>0</v>
          </cell>
          <cell r="X304">
            <v>0</v>
          </cell>
          <cell r="Y304">
            <v>0</v>
          </cell>
          <cell r="Z304">
            <v>0</v>
          </cell>
          <cell r="AA304">
            <v>0</v>
          </cell>
        </row>
        <row r="305">
          <cell r="P305">
            <v>0</v>
          </cell>
          <cell r="S305">
            <v>0</v>
          </cell>
          <cell r="X305">
            <v>0</v>
          </cell>
        </row>
        <row r="307">
          <cell r="P307">
            <v>1708.5</v>
          </cell>
          <cell r="Q307">
            <v>0</v>
          </cell>
          <cell r="R307">
            <v>0</v>
          </cell>
          <cell r="S307">
            <v>930.52121212121165</v>
          </cell>
          <cell r="T307">
            <v>-654.3785272727273</v>
          </cell>
          <cell r="U307">
            <v>-670.49601818181827</v>
          </cell>
          <cell r="V307">
            <v>0</v>
          </cell>
          <cell r="W307">
            <v>0</v>
          </cell>
          <cell r="X307">
            <v>627.1030303030293</v>
          </cell>
          <cell r="Y307">
            <v>-522</v>
          </cell>
          <cell r="Z307">
            <v>-184.38636363636363</v>
          </cell>
          <cell r="AA307">
            <v>0</v>
          </cell>
        </row>
        <row r="309">
          <cell r="P309">
            <v>0</v>
          </cell>
        </row>
        <row r="310">
          <cell r="S310">
            <v>0</v>
          </cell>
        </row>
        <row r="312">
          <cell r="S312">
            <v>0</v>
          </cell>
        </row>
        <row r="317">
          <cell r="S317">
            <v>0</v>
          </cell>
        </row>
        <row r="318">
          <cell r="P318">
            <v>1708.5</v>
          </cell>
          <cell r="Q318">
            <v>0</v>
          </cell>
          <cell r="R318">
            <v>0</v>
          </cell>
          <cell r="S318">
            <v>930.52121212121165</v>
          </cell>
          <cell r="T318">
            <v>-654.3785272727273</v>
          </cell>
          <cell r="U318">
            <v>-670.49601818181827</v>
          </cell>
          <cell r="V318">
            <v>0</v>
          </cell>
          <cell r="W318">
            <v>0</v>
          </cell>
          <cell r="X318">
            <v>627.1030303030293</v>
          </cell>
          <cell r="Y318">
            <v>-522</v>
          </cell>
          <cell r="Z318">
            <v>-184.38636363636363</v>
          </cell>
          <cell r="AA318">
            <v>0</v>
          </cell>
        </row>
        <row r="328">
          <cell r="P328">
            <v>348</v>
          </cell>
          <cell r="S328">
            <v>517</v>
          </cell>
          <cell r="X328">
            <v>175</v>
          </cell>
        </row>
        <row r="351">
          <cell r="P351">
            <v>225</v>
          </cell>
          <cell r="S351">
            <v>296</v>
          </cell>
          <cell r="X351">
            <v>56</v>
          </cell>
        </row>
        <row r="353">
          <cell r="P353">
            <v>0</v>
          </cell>
          <cell r="S353">
            <v>0</v>
          </cell>
          <cell r="X353">
            <v>0</v>
          </cell>
        </row>
        <row r="361">
          <cell r="P361">
            <v>0</v>
          </cell>
          <cell r="S361">
            <v>1018</v>
          </cell>
          <cell r="T361">
            <v>162.88</v>
          </cell>
          <cell r="U361">
            <v>855.12</v>
          </cell>
          <cell r="X361">
            <v>466</v>
          </cell>
          <cell r="Y361">
            <v>407</v>
          </cell>
          <cell r="Z361">
            <v>144</v>
          </cell>
        </row>
        <row r="384">
          <cell r="P384" t="str">
            <v>лютий</v>
          </cell>
          <cell r="X384" t="str">
            <v>лютий</v>
          </cell>
        </row>
        <row r="385">
          <cell r="P385" t="str">
            <v>ККМ</v>
          </cell>
          <cell r="X385" t="str">
            <v>ТЕЦ5</v>
          </cell>
        </row>
        <row r="386">
          <cell r="P386" t="str">
            <v>ПЛАН</v>
          </cell>
          <cell r="X386" t="str">
            <v>ПЛАН</v>
          </cell>
        </row>
        <row r="387">
          <cell r="P387">
            <v>14.333333333333332</v>
          </cell>
          <cell r="S387">
            <v>14.333333333333332</v>
          </cell>
          <cell r="X387">
            <v>182</v>
          </cell>
          <cell r="Y387">
            <v>134</v>
          </cell>
          <cell r="Z387">
            <v>134</v>
          </cell>
        </row>
        <row r="388">
          <cell r="P388">
            <v>0</v>
          </cell>
          <cell r="X388">
            <v>0</v>
          </cell>
          <cell r="Y388">
            <v>0</v>
          </cell>
        </row>
        <row r="389">
          <cell r="P389">
            <v>0.66666666666666663</v>
          </cell>
          <cell r="X389">
            <v>146.66666666666666</v>
          </cell>
          <cell r="Y389">
            <v>108</v>
          </cell>
        </row>
        <row r="390">
          <cell r="P390">
            <v>2</v>
          </cell>
          <cell r="X390">
            <v>0</v>
          </cell>
          <cell r="Y390">
            <v>0</v>
          </cell>
        </row>
        <row r="391">
          <cell r="P391">
            <v>0</v>
          </cell>
          <cell r="X391">
            <v>25.333333333333332</v>
          </cell>
          <cell r="Y391">
            <v>19</v>
          </cell>
        </row>
        <row r="392">
          <cell r="P392">
            <v>0</v>
          </cell>
          <cell r="X392">
            <v>0</v>
          </cell>
          <cell r="Y392">
            <v>0</v>
          </cell>
        </row>
        <row r="393">
          <cell r="P393">
            <v>0</v>
          </cell>
          <cell r="X393">
            <v>0</v>
          </cell>
          <cell r="Y393">
            <v>0</v>
          </cell>
        </row>
        <row r="394">
          <cell r="P394">
            <v>5.333333333333333</v>
          </cell>
          <cell r="X394">
            <v>0</v>
          </cell>
          <cell r="Y394">
            <v>0</v>
          </cell>
        </row>
        <row r="395">
          <cell r="P395">
            <v>0</v>
          </cell>
          <cell r="X395">
            <v>0</v>
          </cell>
          <cell r="Y395">
            <v>0</v>
          </cell>
        </row>
        <row r="396">
          <cell r="P396">
            <v>4.333333333333333</v>
          </cell>
          <cell r="X396">
            <v>0</v>
          </cell>
          <cell r="Y396">
            <v>0</v>
          </cell>
        </row>
        <row r="397">
          <cell r="P397">
            <v>2</v>
          </cell>
          <cell r="X397">
            <v>10</v>
          </cell>
          <cell r="Y397">
            <v>7</v>
          </cell>
        </row>
        <row r="398">
          <cell r="P398">
            <v>0</v>
          </cell>
          <cell r="X398">
            <v>0</v>
          </cell>
          <cell r="Y398">
            <v>0</v>
          </cell>
        </row>
        <row r="399">
          <cell r="P399">
            <v>20.5</v>
          </cell>
          <cell r="X399">
            <v>522.33333333333337</v>
          </cell>
          <cell r="Y399">
            <v>386</v>
          </cell>
        </row>
        <row r="400">
          <cell r="P400">
            <v>0</v>
          </cell>
          <cell r="X400">
            <v>0</v>
          </cell>
          <cell r="Y400">
            <v>0</v>
          </cell>
        </row>
        <row r="401">
          <cell r="P401">
            <v>0</v>
          </cell>
          <cell r="X401">
            <v>480.66666666666669</v>
          </cell>
          <cell r="Y401">
            <v>355</v>
          </cell>
        </row>
        <row r="402">
          <cell r="P402">
            <v>0</v>
          </cell>
          <cell r="X402">
            <v>0</v>
          </cell>
          <cell r="Y402">
            <v>0</v>
          </cell>
        </row>
        <row r="403">
          <cell r="P403">
            <v>15.833333333333334</v>
          </cell>
          <cell r="X403">
            <v>41.666666666666664</v>
          </cell>
          <cell r="Y403">
            <v>31</v>
          </cell>
        </row>
        <row r="404">
          <cell r="P404">
            <v>4.666666666666667</v>
          </cell>
          <cell r="X404">
            <v>0</v>
          </cell>
          <cell r="Y404">
            <v>0</v>
          </cell>
        </row>
        <row r="405">
          <cell r="P405">
            <v>0</v>
          </cell>
          <cell r="X405">
            <v>0</v>
          </cell>
          <cell r="Y405">
            <v>0</v>
          </cell>
        </row>
        <row r="406">
          <cell r="P406">
            <v>39</v>
          </cell>
          <cell r="X406">
            <v>0</v>
          </cell>
          <cell r="Y406">
            <v>0</v>
          </cell>
        </row>
        <row r="407">
          <cell r="P407">
            <v>3.3333333333333335</v>
          </cell>
          <cell r="X407">
            <v>0</v>
          </cell>
          <cell r="Y407">
            <v>0</v>
          </cell>
        </row>
        <row r="408">
          <cell r="P408">
            <v>35.666666666666664</v>
          </cell>
          <cell r="X408">
            <v>0</v>
          </cell>
          <cell r="Y408">
            <v>0</v>
          </cell>
        </row>
        <row r="409">
          <cell r="P409">
            <v>0</v>
          </cell>
          <cell r="X409">
            <v>0</v>
          </cell>
          <cell r="Y409">
            <v>0</v>
          </cell>
        </row>
        <row r="410">
          <cell r="P410">
            <v>50.166666666666671</v>
          </cell>
          <cell r="S410">
            <v>50.166666666666671</v>
          </cell>
          <cell r="X410">
            <v>37.833333333333343</v>
          </cell>
          <cell r="Y410">
            <v>28</v>
          </cell>
        </row>
        <row r="411">
          <cell r="P411">
            <v>0</v>
          </cell>
          <cell r="X411">
            <v>0</v>
          </cell>
          <cell r="Y411">
            <v>0</v>
          </cell>
        </row>
        <row r="412">
          <cell r="P412">
            <v>0</v>
          </cell>
          <cell r="X412">
            <v>0</v>
          </cell>
          <cell r="Y412">
            <v>0</v>
          </cell>
        </row>
        <row r="413">
          <cell r="P413">
            <v>0</v>
          </cell>
          <cell r="X413">
            <v>0</v>
          </cell>
          <cell r="Y413">
            <v>0</v>
          </cell>
        </row>
        <row r="414">
          <cell r="P414">
            <v>12.333333333333334</v>
          </cell>
          <cell r="X414">
            <v>0</v>
          </cell>
          <cell r="Y414">
            <v>0</v>
          </cell>
        </row>
        <row r="415">
          <cell r="P415">
            <v>0</v>
          </cell>
          <cell r="X415">
            <v>0</v>
          </cell>
          <cell r="Y415">
            <v>0</v>
          </cell>
        </row>
        <row r="416">
          <cell r="P416">
            <v>5</v>
          </cell>
          <cell r="X416">
            <v>3</v>
          </cell>
          <cell r="Y416">
            <v>2</v>
          </cell>
        </row>
        <row r="417">
          <cell r="P417">
            <v>0</v>
          </cell>
          <cell r="X417">
            <v>0</v>
          </cell>
          <cell r="Y417">
            <v>0</v>
          </cell>
        </row>
        <row r="418">
          <cell r="P418">
            <v>0</v>
          </cell>
          <cell r="X418">
            <v>0</v>
          </cell>
          <cell r="Y418">
            <v>0</v>
          </cell>
        </row>
        <row r="419">
          <cell r="P419">
            <v>18.5</v>
          </cell>
          <cell r="X419">
            <v>4.5</v>
          </cell>
          <cell r="Y419">
            <v>3</v>
          </cell>
        </row>
        <row r="420">
          <cell r="P420">
            <v>1.3333333333333333</v>
          </cell>
          <cell r="X420">
            <v>0</v>
          </cell>
          <cell r="Y420">
            <v>0</v>
          </cell>
        </row>
        <row r="421">
          <cell r="P421">
            <v>0</v>
          </cell>
          <cell r="X421">
            <v>0</v>
          </cell>
          <cell r="Y421">
            <v>0</v>
          </cell>
        </row>
        <row r="422">
          <cell r="P422">
            <v>0</v>
          </cell>
          <cell r="X422">
            <v>10</v>
          </cell>
          <cell r="Y422">
            <v>7</v>
          </cell>
        </row>
        <row r="423">
          <cell r="P423">
            <v>2</v>
          </cell>
          <cell r="X423">
            <v>1.3333333333333333</v>
          </cell>
          <cell r="Y423">
            <v>1</v>
          </cell>
        </row>
        <row r="424">
          <cell r="P424">
            <v>0.33333333333333331</v>
          </cell>
          <cell r="X424">
            <v>1</v>
          </cell>
          <cell r="Y424">
            <v>1</v>
          </cell>
        </row>
        <row r="425">
          <cell r="P425">
            <v>2.3333333333333335</v>
          </cell>
          <cell r="X425">
            <v>6</v>
          </cell>
          <cell r="Y425">
            <v>4</v>
          </cell>
        </row>
        <row r="426">
          <cell r="P426">
            <v>0</v>
          </cell>
          <cell r="X426">
            <v>0</v>
          </cell>
          <cell r="Y426">
            <v>0</v>
          </cell>
        </row>
        <row r="427">
          <cell r="P427">
            <v>0</v>
          </cell>
          <cell r="X427">
            <v>0</v>
          </cell>
          <cell r="Y427">
            <v>0</v>
          </cell>
        </row>
        <row r="428">
          <cell r="P428">
            <v>1</v>
          </cell>
          <cell r="X428">
            <v>0</v>
          </cell>
          <cell r="Y428">
            <v>0</v>
          </cell>
        </row>
        <row r="429">
          <cell r="P429">
            <v>0</v>
          </cell>
          <cell r="X429">
            <v>0</v>
          </cell>
          <cell r="Y429">
            <v>0</v>
          </cell>
        </row>
        <row r="430">
          <cell r="P430">
            <v>0.66666666666666663</v>
          </cell>
          <cell r="X430">
            <v>0.66666666666666663</v>
          </cell>
          <cell r="Y430">
            <v>0</v>
          </cell>
        </row>
        <row r="431">
          <cell r="P431">
            <v>0.66666666666666663</v>
          </cell>
          <cell r="X431">
            <v>0.66666666666666663</v>
          </cell>
          <cell r="Y431">
            <v>0</v>
          </cell>
        </row>
        <row r="432">
          <cell r="P432">
            <v>4.666666666666667</v>
          </cell>
          <cell r="X432">
            <v>3</v>
          </cell>
          <cell r="Y432">
            <v>2</v>
          </cell>
        </row>
        <row r="433">
          <cell r="P433">
            <v>0</v>
          </cell>
          <cell r="X433">
            <v>0</v>
          </cell>
          <cell r="Y433">
            <v>0</v>
          </cell>
        </row>
        <row r="434">
          <cell r="P434">
            <v>0</v>
          </cell>
          <cell r="X434">
            <v>0</v>
          </cell>
          <cell r="Y434">
            <v>0</v>
          </cell>
        </row>
        <row r="435">
          <cell r="P435">
            <v>0</v>
          </cell>
          <cell r="X435">
            <v>0</v>
          </cell>
          <cell r="Y435">
            <v>0</v>
          </cell>
        </row>
        <row r="436">
          <cell r="P436">
            <v>0</v>
          </cell>
          <cell r="X436">
            <v>0</v>
          </cell>
          <cell r="Y436">
            <v>0</v>
          </cell>
        </row>
        <row r="437">
          <cell r="P437">
            <v>0</v>
          </cell>
          <cell r="X437">
            <v>0</v>
          </cell>
          <cell r="Y437">
            <v>0</v>
          </cell>
        </row>
        <row r="438">
          <cell r="P438">
            <v>1</v>
          </cell>
          <cell r="X438">
            <v>4</v>
          </cell>
          <cell r="Y438">
            <v>3</v>
          </cell>
        </row>
        <row r="439">
          <cell r="P439">
            <v>0</v>
          </cell>
          <cell r="X439">
            <v>0</v>
          </cell>
          <cell r="Y439">
            <v>0</v>
          </cell>
        </row>
        <row r="440">
          <cell r="P440">
            <v>0</v>
          </cell>
          <cell r="X440">
            <v>3.3333333333333335</v>
          </cell>
          <cell r="Y440">
            <v>2</v>
          </cell>
        </row>
        <row r="441">
          <cell r="P441">
            <v>0.33333333333333331</v>
          </cell>
          <cell r="X441">
            <v>0.33333333333333331</v>
          </cell>
          <cell r="Y441">
            <v>0</v>
          </cell>
        </row>
        <row r="442">
          <cell r="P442">
            <v>0</v>
          </cell>
          <cell r="X442">
            <v>0</v>
          </cell>
          <cell r="Y442">
            <v>0</v>
          </cell>
        </row>
        <row r="443">
          <cell r="P443">
            <v>0</v>
          </cell>
          <cell r="X443">
            <v>0</v>
          </cell>
          <cell r="Y443">
            <v>0</v>
          </cell>
        </row>
        <row r="444">
          <cell r="P444">
            <v>0</v>
          </cell>
          <cell r="X444">
            <v>0</v>
          </cell>
          <cell r="Y444">
            <v>0</v>
          </cell>
        </row>
        <row r="445">
          <cell r="P445">
            <v>0</v>
          </cell>
          <cell r="X445">
            <v>0</v>
          </cell>
          <cell r="Y445">
            <v>0</v>
          </cell>
        </row>
        <row r="446">
          <cell r="P446">
            <v>0</v>
          </cell>
          <cell r="X446">
            <v>0</v>
          </cell>
          <cell r="Y446">
            <v>0</v>
          </cell>
        </row>
        <row r="447">
          <cell r="P447">
            <v>0</v>
          </cell>
          <cell r="X447">
            <v>0</v>
          </cell>
          <cell r="Y447">
            <v>0</v>
          </cell>
        </row>
        <row r="448">
          <cell r="P448">
            <v>0</v>
          </cell>
          <cell r="X448">
            <v>0</v>
          </cell>
          <cell r="Y448">
            <v>0</v>
          </cell>
        </row>
        <row r="449">
          <cell r="P449">
            <v>0</v>
          </cell>
          <cell r="X449">
            <v>0</v>
          </cell>
          <cell r="Y449">
            <v>0</v>
          </cell>
        </row>
      </sheetData>
      <sheetData sheetId="17" refreshError="1">
        <row r="1">
          <cell r="AE1" t="str">
            <v>'9 міс.'!</v>
          </cell>
        </row>
        <row r="8">
          <cell r="S8" t="str">
            <v>ЗАТВЕРДЖУЮ</v>
          </cell>
        </row>
        <row r="20">
          <cell r="W20" t="str">
            <v>ЗАТВЕРДЖУЮ</v>
          </cell>
        </row>
        <row r="21">
          <cell r="W21" t="str">
            <v>ГЕНЕРАЛЬНИЙ ДИРЕКТОР -</v>
          </cell>
        </row>
        <row r="22">
          <cell r="U22" t="str">
            <v>ЗАТВЕРДЖУЮ</v>
          </cell>
          <cell r="W22" t="str">
            <v>ГОЛОВА ПРАВЛІННЯ КЕ</v>
          </cell>
        </row>
        <row r="23">
          <cell r="U23" t="str">
            <v>ЗАТВЕРДЖУЮ</v>
          </cell>
        </row>
        <row r="24">
          <cell r="S24" t="str">
            <v>ЗАТВЕРДЖУЮ</v>
          </cell>
        </row>
        <row r="25">
          <cell r="S25" t="str">
            <v>ГОЛОВА ПРАЛІННЯ  КЕ</v>
          </cell>
          <cell r="W25">
            <v>0</v>
          </cell>
          <cell r="X25" t="str">
            <v>ПЛАЧКОВ І.В.</v>
          </cell>
        </row>
        <row r="26">
          <cell r="W26" t="str">
            <v>ЗАТВЕРДЖУЮ</v>
          </cell>
        </row>
        <row r="27">
          <cell r="U27" t="str">
            <v>ГЕНЕРАЛЬНИЙ ДИРЕКТОР -</v>
          </cell>
        </row>
        <row r="28">
          <cell r="S28" t="str">
            <v>ЗАТВЕРДЖУЮ</v>
          </cell>
          <cell r="T28" t="str">
            <v>І.В.ПЛАЧКОВ</v>
          </cell>
          <cell r="U28" t="str">
            <v>ГОЛОВА ПРАВЛІННЯ КЕ</v>
          </cell>
          <cell r="X28" t="str">
            <v>ВЕРЕСЕНЬ очІк.</v>
          </cell>
          <cell r="Y28" t="str">
            <v>8 мес звіт</v>
          </cell>
          <cell r="Z28" t="str">
            <v>9 мес.очІк.</v>
          </cell>
          <cell r="AA28" t="str">
            <v>4 кв. план</v>
          </cell>
          <cell r="AB28" t="str">
            <v>1998 рік очІк.</v>
          </cell>
        </row>
        <row r="29">
          <cell r="S29" t="str">
            <v>ГОЛОВА ПРАЛІННЯ  КЕ</v>
          </cell>
          <cell r="U29" t="str">
            <v xml:space="preserve">                      ПЛАЧКОВ І.В.</v>
          </cell>
        </row>
        <row r="30">
          <cell r="U30" t="str">
            <v>ЗАТВЕРДЖУЮ</v>
          </cell>
        </row>
        <row r="31">
          <cell r="C31" t="str">
            <v>ВИКОН.ДИР.</v>
          </cell>
          <cell r="D31" t="str">
            <v>Е/Е</v>
          </cell>
          <cell r="E31" t="str">
            <v xml:space="preserve"> Т/Е</v>
          </cell>
          <cell r="I31" t="str">
            <v>ККМ</v>
          </cell>
          <cell r="J31" t="str">
            <v>КТМ</v>
          </cell>
          <cell r="K31" t="str">
            <v>ВИРОБН</v>
          </cell>
          <cell r="L31" t="str">
            <v>ПЕРЕД</v>
          </cell>
          <cell r="M31" t="str">
            <v>ТЕЦ-5 ВСЬОГО</v>
          </cell>
          <cell r="N31" t="str">
            <v>Е/Е</v>
          </cell>
          <cell r="O31" t="str">
            <v xml:space="preserve"> Т/Е</v>
          </cell>
          <cell r="P31" t="str">
            <v>ТЕЦ-6 ВСЬОГО</v>
          </cell>
          <cell r="Q31" t="str">
            <v>Е/Е</v>
          </cell>
          <cell r="R31" t="str">
            <v xml:space="preserve"> Т/Е</v>
          </cell>
          <cell r="S31" t="str">
            <v>ЗАТВЕРДЖУЮ</v>
          </cell>
          <cell r="T31" t="str">
            <v>ДОП.ВИР. СТ.ОРГ.</v>
          </cell>
          <cell r="U31" t="str">
            <v>АК КЕ ВСЬОГО</v>
          </cell>
          <cell r="V31" t="str">
            <v>Е/Е</v>
          </cell>
          <cell r="W31" t="str">
            <v xml:space="preserve"> Т/Е</v>
          </cell>
          <cell r="X31" t="str">
            <v>СТАНЦІї ЕЛЕКТРО</v>
          </cell>
          <cell r="Y31" t="str">
            <v>СТАНЦІІ ТЕПЛОВІ</v>
          </cell>
          <cell r="Z31" t="str">
            <v>МЕРЕЖІ ЕЛЕКТРО</v>
          </cell>
          <cell r="AA31" t="str">
            <v>МЕРЕЖІ ТЕПЛОВІ</v>
          </cell>
        </row>
        <row r="32">
          <cell r="N32">
            <v>143</v>
          </cell>
          <cell r="Q32">
            <v>248</v>
          </cell>
          <cell r="S32" t="str">
            <v>ГОЛОВА ПРАЛІННЯ  КЕ</v>
          </cell>
          <cell r="T32" t="str">
            <v>І.В.ПЛАЧКОВ</v>
          </cell>
          <cell r="V32">
            <v>391</v>
          </cell>
        </row>
        <row r="33">
          <cell r="N33">
            <v>130.30000000000001</v>
          </cell>
          <cell r="P33">
            <v>25148</v>
          </cell>
          <cell r="Q33">
            <v>233.6</v>
          </cell>
          <cell r="V33">
            <v>363.9</v>
          </cell>
          <cell r="W33" t="str">
            <v xml:space="preserve">                      ПЛАЧКОВ І.В.</v>
          </cell>
          <cell r="AC33">
            <v>14429</v>
          </cell>
          <cell r="AF33">
            <v>31349</v>
          </cell>
        </row>
        <row r="34">
          <cell r="Q34" t="str">
            <v>КТМ</v>
          </cell>
          <cell r="V34" t="str">
            <v xml:space="preserve">ТЕЦ-5 </v>
          </cell>
          <cell r="AA34" t="str">
            <v xml:space="preserve">ТЕЦ-6 </v>
          </cell>
        </row>
        <row r="35">
          <cell r="S35" t="str">
            <v xml:space="preserve">                   ПЛАЧКОВ І.В.</v>
          </cell>
          <cell r="T35" t="str">
            <v>І.В.ПЛАЧКОВ</v>
          </cell>
          <cell r="V35">
            <v>0</v>
          </cell>
        </row>
        <row r="36">
          <cell r="C36" t="str">
            <v>ВИК.ДИР.</v>
          </cell>
          <cell r="D36" t="str">
            <v>Е/Е</v>
          </cell>
          <cell r="E36" t="str">
            <v xml:space="preserve"> Т/Е</v>
          </cell>
          <cell r="I36" t="str">
            <v>ККМ</v>
          </cell>
          <cell r="J36" t="str">
            <v>КТМ</v>
          </cell>
          <cell r="K36" t="str">
            <v>ВИРОБН</v>
          </cell>
          <cell r="L36" t="str">
            <v>ПЕРЕД</v>
          </cell>
          <cell r="M36" t="str">
            <v>ТЕЦ-5 ВСЬОГО</v>
          </cell>
          <cell r="N36" t="str">
            <v>Е/Е</v>
          </cell>
          <cell r="O36" t="str">
            <v xml:space="preserve"> Т/Е</v>
          </cell>
          <cell r="P36" t="str">
            <v xml:space="preserve">КМ </v>
          </cell>
          <cell r="Q36" t="str">
            <v>Е/Е</v>
          </cell>
          <cell r="R36" t="str">
            <v xml:space="preserve"> Т/Е</v>
          </cell>
          <cell r="S36" t="str">
            <v xml:space="preserve">ТМ </v>
          </cell>
          <cell r="T36" t="str">
            <v>ВИРОБН</v>
          </cell>
          <cell r="U36" t="str">
            <v>ПЕРЕД</v>
          </cell>
          <cell r="V36" t="str">
            <v xml:space="preserve"> Т/Е</v>
          </cell>
          <cell r="W36" t="str">
            <v>АК КЕ ВСЬОГО</v>
          </cell>
          <cell r="X36" t="str">
            <v>ТЕЦ-5 ВСЬОГО</v>
          </cell>
          <cell r="Y36" t="str">
            <v>Е/Е</v>
          </cell>
          <cell r="Z36" t="str">
            <v xml:space="preserve"> Т/Е</v>
          </cell>
          <cell r="AA36" t="str">
            <v>СТАНЦІІ ТЕПЛОВІ</v>
          </cell>
          <cell r="AB36" t="str">
            <v>МЕРЕЖІ ЕЛЕКТРО</v>
          </cell>
          <cell r="AC36" t="str">
            <v>ТЕЦ-6 ВСЬОГО</v>
          </cell>
          <cell r="AD36" t="str">
            <v>Е/Е</v>
          </cell>
          <cell r="AE36" t="str">
            <v xml:space="preserve"> Т/Е</v>
          </cell>
          <cell r="AF36" t="str">
            <v>ТРМ ВСЬОГО</v>
          </cell>
        </row>
        <row r="37">
          <cell r="N37">
            <v>225</v>
          </cell>
          <cell r="Q37">
            <v>158</v>
          </cell>
          <cell r="U37" t="str">
            <v xml:space="preserve">                      ПЛАЧКОВ І.В.</v>
          </cell>
          <cell r="V37">
            <v>0</v>
          </cell>
          <cell r="X37">
            <v>383</v>
          </cell>
        </row>
        <row r="38">
          <cell r="C38" t="str">
            <v>ВИК.ДИР.</v>
          </cell>
          <cell r="D38" t="str">
            <v>Е/Е</v>
          </cell>
          <cell r="E38" t="str">
            <v xml:space="preserve"> Т/Е</v>
          </cell>
          <cell r="I38" t="str">
            <v>ККМ</v>
          </cell>
          <cell r="J38" t="str">
            <v>КТМ</v>
          </cell>
          <cell r="K38" t="str">
            <v>ВИРОБН</v>
          </cell>
          <cell r="L38" t="str">
            <v>ПЕРЕД</v>
          </cell>
          <cell r="M38" t="str">
            <v>ТЕЦ-5 ВСЬОГО</v>
          </cell>
          <cell r="N38" t="str">
            <v>Е/Е</v>
          </cell>
          <cell r="O38" t="str">
            <v xml:space="preserve"> Т/Е</v>
          </cell>
          <cell r="P38" t="str">
            <v>ТЕЦ-6 ВСЬОГО</v>
          </cell>
          <cell r="Q38" t="str">
            <v>Е/Е</v>
          </cell>
          <cell r="R38" t="str">
            <v xml:space="preserve"> Т/Е</v>
          </cell>
          <cell r="S38" t="str">
            <v xml:space="preserve">ДОП.ВИР. </v>
          </cell>
          <cell r="T38" t="str">
            <v>ДОП.ВИР. СТ.ОРГ.</v>
          </cell>
          <cell r="U38" t="str">
            <v>АК КЕ ВСЬОГО</v>
          </cell>
          <cell r="V38" t="str">
            <v>Е/Е</v>
          </cell>
          <cell r="W38" t="str">
            <v xml:space="preserve"> Т/Е</v>
          </cell>
          <cell r="X38" t="str">
            <v xml:space="preserve"> Т/Е</v>
          </cell>
          <cell r="Y38" t="str">
            <v xml:space="preserve"> Т/Е</v>
          </cell>
          <cell r="Z38" t="str">
            <v xml:space="preserve"> Т/Е</v>
          </cell>
          <cell r="AB38" t="str">
            <v xml:space="preserve"> Т/Е</v>
          </cell>
          <cell r="AC38" t="str">
            <v>СТАНЦІї ЕЛЕКТРО</v>
          </cell>
          <cell r="AD38" t="str">
            <v>СТАНЦІІ ТЕПЛОВІ</v>
          </cell>
          <cell r="AE38" t="str">
            <v>МЕРЕЖІ ЕЛЕКТРО</v>
          </cell>
          <cell r="AF38" t="str">
            <v>МЕРЕЖІ ТЕПЛОВІ</v>
          </cell>
        </row>
        <row r="39">
          <cell r="I39">
            <v>0</v>
          </cell>
          <cell r="N39">
            <v>220</v>
          </cell>
          <cell r="Q39">
            <v>160</v>
          </cell>
          <cell r="V39">
            <v>380</v>
          </cell>
          <cell r="X39">
            <v>0</v>
          </cell>
        </row>
        <row r="40">
          <cell r="J40">
            <v>126</v>
          </cell>
          <cell r="N40">
            <v>202.3</v>
          </cell>
          <cell r="O40">
            <v>68</v>
          </cell>
          <cell r="Q40">
            <v>145</v>
          </cell>
          <cell r="R40">
            <v>67</v>
          </cell>
          <cell r="V40">
            <v>347.3</v>
          </cell>
          <cell r="W40">
            <v>261</v>
          </cell>
          <cell r="X40">
            <v>199.5</v>
          </cell>
        </row>
        <row r="41">
          <cell r="V41">
            <v>0</v>
          </cell>
          <cell r="W41">
            <v>0</v>
          </cell>
          <cell r="X41">
            <v>0</v>
          </cell>
        </row>
        <row r="42">
          <cell r="J42">
            <v>126</v>
          </cell>
          <cell r="O42">
            <v>68</v>
          </cell>
          <cell r="R42">
            <v>67</v>
          </cell>
          <cell r="V42">
            <v>33</v>
          </cell>
          <cell r="W42">
            <v>171</v>
          </cell>
          <cell r="X42">
            <v>0</v>
          </cell>
        </row>
        <row r="43">
          <cell r="V43">
            <v>0</v>
          </cell>
          <cell r="X43">
            <v>480.7</v>
          </cell>
        </row>
        <row r="44">
          <cell r="C44" t="e">
            <v>#REF!</v>
          </cell>
          <cell r="D44" t="e">
            <v>#REF!</v>
          </cell>
          <cell r="E44" t="e">
            <v>#REF!</v>
          </cell>
          <cell r="I44">
            <v>0</v>
          </cell>
          <cell r="J44" t="e">
            <v>#REF!</v>
          </cell>
          <cell r="K44" t="e">
            <v>#REF!</v>
          </cell>
          <cell r="L44" t="e">
            <v>#REF!</v>
          </cell>
          <cell r="M44" t="e">
            <v>#REF!</v>
          </cell>
          <cell r="N44" t="e">
            <v>#REF!</v>
          </cell>
          <cell r="O44" t="e">
            <v>#REF!</v>
          </cell>
          <cell r="P44">
            <v>0</v>
          </cell>
          <cell r="Q44" t="e">
            <v>#REF!</v>
          </cell>
          <cell r="R44" t="e">
            <v>#REF!</v>
          </cell>
          <cell r="T44">
            <v>16</v>
          </cell>
          <cell r="U44" t="e">
            <v>#REF!</v>
          </cell>
          <cell r="V44">
            <v>0</v>
          </cell>
          <cell r="W44" t="e">
            <v>#REF!</v>
          </cell>
          <cell r="X44">
            <v>480.7</v>
          </cell>
          <cell r="Y44">
            <v>0</v>
          </cell>
          <cell r="Z44" t="e">
            <v>#REF!</v>
          </cell>
          <cell r="AA44" t="e">
            <v>#REF!</v>
          </cell>
        </row>
        <row r="45">
          <cell r="C45" t="e">
            <v>#REF!</v>
          </cell>
          <cell r="D45" t="e">
            <v>#REF!</v>
          </cell>
          <cell r="E45" t="e">
            <v>#REF!</v>
          </cell>
          <cell r="I45" t="e">
            <v>#REF!</v>
          </cell>
          <cell r="J45">
            <v>330</v>
          </cell>
          <cell r="M45" t="e">
            <v>#REF!</v>
          </cell>
          <cell r="N45" t="e">
            <v>#REF!</v>
          </cell>
          <cell r="O45">
            <v>280</v>
          </cell>
          <cell r="P45" t="e">
            <v>#REF!</v>
          </cell>
          <cell r="Q45" t="e">
            <v>#REF!</v>
          </cell>
          <cell r="R45">
            <v>320</v>
          </cell>
          <cell r="U45" t="e">
            <v>#REF!</v>
          </cell>
          <cell r="V45">
            <v>350</v>
          </cell>
          <cell r="Y45">
            <v>930</v>
          </cell>
        </row>
        <row r="46">
          <cell r="C46" t="e">
            <v>#REF!</v>
          </cell>
          <cell r="D46" t="e">
            <v>#REF!</v>
          </cell>
          <cell r="E46" t="e">
            <v>#REF!</v>
          </cell>
          <cell r="I46">
            <v>0</v>
          </cell>
          <cell r="J46" t="e">
            <v>#REF!</v>
          </cell>
          <cell r="M46" t="e">
            <v>#REF!</v>
          </cell>
          <cell r="N46" t="e">
            <v>#REF!</v>
          </cell>
          <cell r="O46" t="e">
            <v>#REF!</v>
          </cell>
          <cell r="P46" t="e">
            <v>#REF!</v>
          </cell>
          <cell r="Q46" t="e">
            <v>#REF!</v>
          </cell>
          <cell r="R46" t="e">
            <v>#REF!</v>
          </cell>
          <cell r="U46" t="e">
            <v>#REF!</v>
          </cell>
          <cell r="V46">
            <v>350</v>
          </cell>
          <cell r="Y46">
            <v>0</v>
          </cell>
        </row>
        <row r="47">
          <cell r="C47" t="e">
            <v>#REF!</v>
          </cell>
          <cell r="D47" t="e">
            <v>#REF!</v>
          </cell>
          <cell r="E47" t="e">
            <v>#REF!</v>
          </cell>
          <cell r="I47" t="e">
            <v>#REF!</v>
          </cell>
          <cell r="J47">
            <v>80</v>
          </cell>
          <cell r="M47" t="e">
            <v>#REF!</v>
          </cell>
          <cell r="N47" t="e">
            <v>#REF!</v>
          </cell>
          <cell r="O47">
            <v>160</v>
          </cell>
          <cell r="P47" t="e">
            <v>#REF!</v>
          </cell>
          <cell r="Q47" t="e">
            <v>#REF!</v>
          </cell>
          <cell r="R47">
            <v>145</v>
          </cell>
          <cell r="U47" t="e">
            <v>#REF!</v>
          </cell>
          <cell r="W47">
            <v>385</v>
          </cell>
          <cell r="Y47">
            <v>812</v>
          </cell>
        </row>
        <row r="48">
          <cell r="C48" t="e">
            <v>#REF!</v>
          </cell>
          <cell r="D48" t="e">
            <v>#REF!</v>
          </cell>
          <cell r="E48" t="e">
            <v>#REF!</v>
          </cell>
          <cell r="I48" t="e">
            <v>#REF!</v>
          </cell>
          <cell r="J48" t="e">
            <v>#REF!</v>
          </cell>
          <cell r="K48" t="e">
            <v>#REF!</v>
          </cell>
          <cell r="L48" t="e">
            <v>#REF!</v>
          </cell>
          <cell r="M48" t="e">
            <v>#REF!</v>
          </cell>
          <cell r="N48" t="e">
            <v>#REF!</v>
          </cell>
          <cell r="O48" t="e">
            <v>#REF!</v>
          </cell>
          <cell r="P48">
            <v>3631.1559999999999</v>
          </cell>
          <cell r="Q48" t="e">
            <v>#REF!</v>
          </cell>
          <cell r="R48" t="e">
            <v>#REF!</v>
          </cell>
          <cell r="S48">
            <v>9526.8578787878778</v>
          </cell>
          <cell r="T48">
            <v>2010.6708606060602</v>
          </cell>
          <cell r="U48">
            <v>2621.0370181818184</v>
          </cell>
          <cell r="V48" t="e">
            <v>#REF!</v>
          </cell>
          <cell r="W48">
            <v>0</v>
          </cell>
          <cell r="X48">
            <v>2672.4863636363625</v>
          </cell>
          <cell r="Y48" t="e">
            <v>#REF!</v>
          </cell>
          <cell r="Z48" t="e">
            <v>#REF!</v>
          </cell>
          <cell r="AA48" t="e">
            <v>#REF!</v>
          </cell>
          <cell r="AC48">
            <v>1389.1963636363635</v>
          </cell>
          <cell r="AF48">
            <v>4185.9539393939394</v>
          </cell>
        </row>
        <row r="49">
          <cell r="C49" t="e">
            <v>#REF!</v>
          </cell>
          <cell r="D49" t="e">
            <v>#REF!</v>
          </cell>
          <cell r="E49" t="e">
            <v>#REF!</v>
          </cell>
          <cell r="I49" t="e">
            <v>#REF!</v>
          </cell>
          <cell r="J49">
            <v>80</v>
          </cell>
          <cell r="K49" t="e">
            <v>#REF!</v>
          </cell>
          <cell r="L49" t="e">
            <v>#REF!</v>
          </cell>
          <cell r="M49" t="e">
            <v>#REF!</v>
          </cell>
          <cell r="N49" t="e">
            <v>#REF!</v>
          </cell>
          <cell r="O49">
            <v>160</v>
          </cell>
          <cell r="P49">
            <v>0.8</v>
          </cell>
          <cell r="Q49" t="e">
            <v>#REF!</v>
          </cell>
          <cell r="R49">
            <v>145</v>
          </cell>
          <cell r="S49">
            <v>0.8</v>
          </cell>
          <cell r="T49">
            <v>112</v>
          </cell>
          <cell r="U49">
            <v>28</v>
          </cell>
          <cell r="V49">
            <v>84</v>
          </cell>
          <cell r="W49">
            <v>285</v>
          </cell>
          <cell r="X49">
            <v>0.8</v>
          </cell>
          <cell r="Y49" t="e">
            <v>#REF!</v>
          </cell>
          <cell r="Z49" t="e">
            <v>#REF!</v>
          </cell>
          <cell r="AA49" t="e">
            <v>#REF!</v>
          </cell>
          <cell r="AB49" t="e">
            <v>#REF!</v>
          </cell>
          <cell r="AC49">
            <v>0.8</v>
          </cell>
          <cell r="AF49">
            <v>0.8</v>
          </cell>
        </row>
        <row r="50">
          <cell r="C50">
            <v>29</v>
          </cell>
          <cell r="D50">
            <v>10</v>
          </cell>
          <cell r="E50">
            <v>19</v>
          </cell>
          <cell r="I50">
            <v>0</v>
          </cell>
          <cell r="J50">
            <v>252</v>
          </cell>
          <cell r="K50" t="e">
            <v>#REF!</v>
          </cell>
          <cell r="L50" t="e">
            <v>#REF!</v>
          </cell>
          <cell r="M50">
            <v>2</v>
          </cell>
          <cell r="N50">
            <v>1</v>
          </cell>
          <cell r="O50">
            <v>1</v>
          </cell>
          <cell r="P50">
            <v>4</v>
          </cell>
          <cell r="Q50">
            <v>2</v>
          </cell>
          <cell r="R50">
            <v>2</v>
          </cell>
          <cell r="T50">
            <v>0</v>
          </cell>
          <cell r="U50" t="e">
            <v>#REF!</v>
          </cell>
          <cell r="V50">
            <v>0</v>
          </cell>
          <cell r="W50">
            <v>298.7</v>
          </cell>
          <cell r="X50">
            <v>23</v>
          </cell>
          <cell r="Y50">
            <v>275.7</v>
          </cell>
          <cell r="Z50" t="e">
            <v>#REF!</v>
          </cell>
          <cell r="AA50" t="e">
            <v>#REF!</v>
          </cell>
        </row>
        <row r="51">
          <cell r="C51">
            <v>234.33333333333337</v>
          </cell>
          <cell r="D51">
            <v>145</v>
          </cell>
          <cell r="E51">
            <v>89.333333333333371</v>
          </cell>
          <cell r="I51">
            <v>18</v>
          </cell>
          <cell r="J51">
            <v>380</v>
          </cell>
          <cell r="K51">
            <v>190</v>
          </cell>
          <cell r="L51">
            <v>190</v>
          </cell>
          <cell r="M51">
            <v>152</v>
          </cell>
          <cell r="N51">
            <v>106</v>
          </cell>
          <cell r="O51">
            <v>46</v>
          </cell>
          <cell r="P51">
            <v>224</v>
          </cell>
          <cell r="Q51">
            <v>144</v>
          </cell>
          <cell r="R51">
            <v>80</v>
          </cell>
          <cell r="S51">
            <v>760.26666666666688</v>
          </cell>
          <cell r="T51">
            <v>16</v>
          </cell>
          <cell r="U51">
            <v>1046.3333333333335</v>
          </cell>
          <cell r="V51">
            <v>433</v>
          </cell>
          <cell r="W51">
            <v>613.33333333333348</v>
          </cell>
          <cell r="X51">
            <v>613.33333333333348</v>
          </cell>
          <cell r="Y51">
            <v>4503</v>
          </cell>
          <cell r="Z51">
            <v>5116.3333333333339</v>
          </cell>
          <cell r="AA51">
            <v>2319</v>
          </cell>
          <cell r="AB51">
            <v>7435.3333333333339</v>
          </cell>
          <cell r="AC51">
            <v>250</v>
          </cell>
          <cell r="AD51">
            <v>255</v>
          </cell>
          <cell r="AE51">
            <v>183</v>
          </cell>
          <cell r="AF51">
            <v>358.33333333333348</v>
          </cell>
        </row>
        <row r="52">
          <cell r="C52">
            <v>29</v>
          </cell>
          <cell r="D52">
            <v>18</v>
          </cell>
          <cell r="E52">
            <v>11</v>
          </cell>
          <cell r="I52">
            <v>0</v>
          </cell>
          <cell r="J52">
            <v>280</v>
          </cell>
          <cell r="K52" t="e">
            <v>#REF!</v>
          </cell>
          <cell r="L52" t="e">
            <v>#REF!</v>
          </cell>
          <cell r="M52">
            <v>3</v>
          </cell>
          <cell r="N52">
            <v>2</v>
          </cell>
          <cell r="O52">
            <v>1</v>
          </cell>
          <cell r="P52">
            <v>6</v>
          </cell>
          <cell r="Q52">
            <v>4</v>
          </cell>
          <cell r="R52">
            <v>2</v>
          </cell>
          <cell r="S52">
            <v>603</v>
          </cell>
          <cell r="U52">
            <v>331</v>
          </cell>
          <cell r="V52">
            <v>0</v>
          </cell>
          <cell r="W52">
            <v>200</v>
          </cell>
          <cell r="X52">
            <v>115</v>
          </cell>
          <cell r="Y52">
            <v>81</v>
          </cell>
          <cell r="Z52">
            <v>34</v>
          </cell>
          <cell r="AC52">
            <v>96</v>
          </cell>
          <cell r="AD52">
            <v>50</v>
          </cell>
          <cell r="AE52">
            <v>46</v>
          </cell>
          <cell r="AF52">
            <v>361</v>
          </cell>
        </row>
        <row r="53">
          <cell r="C53">
            <v>0</v>
          </cell>
          <cell r="D53">
            <v>0</v>
          </cell>
          <cell r="E53">
            <v>0</v>
          </cell>
          <cell r="I53">
            <v>0</v>
          </cell>
          <cell r="J53" t="e">
            <v>#REF!</v>
          </cell>
          <cell r="K53" t="e">
            <v>#REF!</v>
          </cell>
          <cell r="L53" t="e">
            <v>#REF!</v>
          </cell>
          <cell r="M53">
            <v>60</v>
          </cell>
          <cell r="N53">
            <v>43</v>
          </cell>
          <cell r="O53">
            <v>17</v>
          </cell>
          <cell r="P53">
            <v>50</v>
          </cell>
          <cell r="Q53">
            <v>32</v>
          </cell>
          <cell r="R53">
            <v>18</v>
          </cell>
          <cell r="T53">
            <v>90</v>
          </cell>
          <cell r="U53">
            <v>110</v>
          </cell>
          <cell r="V53">
            <v>60</v>
          </cell>
          <cell r="W53" t="e">
            <v>#REF!</v>
          </cell>
          <cell r="X53">
            <v>4</v>
          </cell>
          <cell r="Y53">
            <v>3</v>
          </cell>
          <cell r="Z53">
            <v>1</v>
          </cell>
          <cell r="AA53" t="e">
            <v>#REF!</v>
          </cell>
          <cell r="AB53" t="e">
            <v>#REF!</v>
          </cell>
          <cell r="AC53">
            <v>0</v>
          </cell>
          <cell r="AD53">
            <v>0</v>
          </cell>
          <cell r="AE53">
            <v>0</v>
          </cell>
        </row>
        <row r="54">
          <cell r="C54">
            <v>200</v>
          </cell>
          <cell r="D54">
            <v>124</v>
          </cell>
          <cell r="E54">
            <v>76</v>
          </cell>
          <cell r="I54" t="e">
            <v>#REF!</v>
          </cell>
          <cell r="J54" t="e">
            <v>#REF!</v>
          </cell>
          <cell r="K54" t="e">
            <v>#REF!</v>
          </cell>
          <cell r="L54" t="e">
            <v>#REF!</v>
          </cell>
          <cell r="M54" t="e">
            <v>#REF!</v>
          </cell>
          <cell r="N54" t="e">
            <v>#REF!</v>
          </cell>
          <cell r="O54" t="e">
            <v>#REF!</v>
          </cell>
          <cell r="P54">
            <v>4</v>
          </cell>
          <cell r="Q54" t="e">
            <v>#REF!</v>
          </cell>
          <cell r="R54" t="e">
            <v>#REF!</v>
          </cell>
          <cell r="S54">
            <v>15</v>
          </cell>
          <cell r="T54">
            <v>42</v>
          </cell>
          <cell r="U54">
            <v>200</v>
          </cell>
          <cell r="V54">
            <v>20</v>
          </cell>
          <cell r="W54" t="e">
            <v>#REF!</v>
          </cell>
          <cell r="X54">
            <v>30</v>
          </cell>
          <cell r="Y54">
            <v>21</v>
          </cell>
          <cell r="Z54">
            <v>9</v>
          </cell>
          <cell r="AA54" t="e">
            <v>#REF!</v>
          </cell>
          <cell r="AB54" t="e">
            <v>#REF!</v>
          </cell>
          <cell r="AC54">
            <v>8</v>
          </cell>
          <cell r="AD54">
            <v>4</v>
          </cell>
          <cell r="AE54">
            <v>4</v>
          </cell>
          <cell r="AF54">
            <v>15</v>
          </cell>
        </row>
        <row r="55">
          <cell r="C55">
            <v>0</v>
          </cell>
          <cell r="D55">
            <v>0</v>
          </cell>
          <cell r="E55">
            <v>0</v>
          </cell>
          <cell r="I55">
            <v>20</v>
          </cell>
          <cell r="J55">
            <v>294</v>
          </cell>
          <cell r="K55">
            <v>229.32000000000002</v>
          </cell>
          <cell r="L55">
            <v>64.679999999999978</v>
          </cell>
          <cell r="M55">
            <v>680</v>
          </cell>
          <cell r="N55">
            <v>474</v>
          </cell>
          <cell r="O55">
            <v>206</v>
          </cell>
          <cell r="P55">
            <v>90</v>
          </cell>
          <cell r="Q55">
            <v>58</v>
          </cell>
          <cell r="R55">
            <v>32</v>
          </cell>
          <cell r="S55">
            <v>263.2</v>
          </cell>
          <cell r="T55">
            <v>51</v>
          </cell>
          <cell r="U55">
            <v>1084</v>
          </cell>
          <cell r="V55">
            <v>552</v>
          </cell>
          <cell r="W55">
            <v>532</v>
          </cell>
          <cell r="X55">
            <v>532</v>
          </cell>
          <cell r="Y55">
            <v>4727</v>
          </cell>
          <cell r="Z55">
            <v>5259</v>
          </cell>
          <cell r="AA55">
            <v>2526</v>
          </cell>
          <cell r="AB55">
            <v>7785</v>
          </cell>
          <cell r="AC55">
            <v>532</v>
          </cell>
          <cell r="AD55">
            <v>338</v>
          </cell>
          <cell r="AE55">
            <v>20</v>
          </cell>
          <cell r="AF55">
            <v>194</v>
          </cell>
        </row>
        <row r="56">
          <cell r="C56">
            <v>0</v>
          </cell>
          <cell r="D56">
            <v>0</v>
          </cell>
          <cell r="E56">
            <v>0</v>
          </cell>
          <cell r="I56" t="e">
            <v>#REF!</v>
          </cell>
          <cell r="J56">
            <v>0</v>
          </cell>
          <cell r="K56">
            <v>0</v>
          </cell>
          <cell r="L56">
            <v>0</v>
          </cell>
          <cell r="M56">
            <v>577</v>
          </cell>
          <cell r="N56">
            <v>402</v>
          </cell>
          <cell r="O56">
            <v>175</v>
          </cell>
          <cell r="P56">
            <v>12</v>
          </cell>
          <cell r="Q56">
            <v>8</v>
          </cell>
          <cell r="R56">
            <v>4</v>
          </cell>
          <cell r="S56">
            <v>13.666666666666666</v>
          </cell>
          <cell r="T56">
            <v>13.666666666666666</v>
          </cell>
          <cell r="U56">
            <v>589</v>
          </cell>
          <cell r="V56">
            <v>410</v>
          </cell>
          <cell r="W56">
            <v>179</v>
          </cell>
          <cell r="X56">
            <v>179</v>
          </cell>
          <cell r="Y56">
            <v>1641</v>
          </cell>
          <cell r="Z56">
            <v>1820</v>
          </cell>
          <cell r="AA56">
            <v>902</v>
          </cell>
          <cell r="AB56">
            <v>2722</v>
          </cell>
          <cell r="AC56">
            <v>410</v>
          </cell>
          <cell r="AD56">
            <v>179</v>
          </cell>
          <cell r="AE56">
            <v>0</v>
          </cell>
          <cell r="AF56">
            <v>0</v>
          </cell>
        </row>
        <row r="57">
          <cell r="C57">
            <v>0</v>
          </cell>
          <cell r="D57">
            <v>0</v>
          </cell>
          <cell r="E57">
            <v>0</v>
          </cell>
          <cell r="I57">
            <v>25</v>
          </cell>
          <cell r="J57">
            <v>1511</v>
          </cell>
          <cell r="K57">
            <v>1511</v>
          </cell>
          <cell r="L57">
            <v>0</v>
          </cell>
          <cell r="M57">
            <v>10838</v>
          </cell>
          <cell r="N57">
            <v>7550</v>
          </cell>
          <cell r="O57">
            <v>3288</v>
          </cell>
          <cell r="P57">
            <v>8271</v>
          </cell>
          <cell r="Q57">
            <v>5299</v>
          </cell>
          <cell r="R57">
            <v>2972</v>
          </cell>
          <cell r="S57">
            <v>1598</v>
          </cell>
          <cell r="T57">
            <v>0</v>
          </cell>
          <cell r="U57">
            <v>20645</v>
          </cell>
          <cell r="V57">
            <v>12874</v>
          </cell>
          <cell r="W57">
            <v>7771</v>
          </cell>
          <cell r="X57">
            <v>8416</v>
          </cell>
          <cell r="Y57">
            <v>139598</v>
          </cell>
          <cell r="Z57">
            <v>148014</v>
          </cell>
          <cell r="AA57">
            <v>146826</v>
          </cell>
          <cell r="AB57">
            <v>294840</v>
          </cell>
          <cell r="AC57">
            <v>12849</v>
          </cell>
          <cell r="AD57">
            <v>7771</v>
          </cell>
          <cell r="AE57">
            <v>25</v>
          </cell>
          <cell r="AF57">
            <v>0</v>
          </cell>
        </row>
        <row r="58">
          <cell r="C58">
            <v>0</v>
          </cell>
          <cell r="D58">
            <v>0</v>
          </cell>
          <cell r="E58">
            <v>0</v>
          </cell>
          <cell r="I58">
            <v>0</v>
          </cell>
          <cell r="J58">
            <v>1511</v>
          </cell>
          <cell r="K58">
            <v>1511</v>
          </cell>
          <cell r="L58">
            <v>0</v>
          </cell>
          <cell r="M58">
            <v>10838</v>
          </cell>
          <cell r="N58">
            <v>7550</v>
          </cell>
          <cell r="O58">
            <v>3288</v>
          </cell>
          <cell r="P58">
            <v>8271</v>
          </cell>
          <cell r="Q58">
            <v>5299</v>
          </cell>
          <cell r="R58">
            <v>2972</v>
          </cell>
          <cell r="S58">
            <v>0</v>
          </cell>
          <cell r="T58">
            <v>1598</v>
          </cell>
          <cell r="U58">
            <v>20620</v>
          </cell>
          <cell r="V58">
            <v>12849</v>
          </cell>
          <cell r="W58">
            <v>7771</v>
          </cell>
          <cell r="X58">
            <v>8416</v>
          </cell>
          <cell r="Y58">
            <v>139598</v>
          </cell>
          <cell r="Z58">
            <v>148014</v>
          </cell>
          <cell r="AA58">
            <v>146826</v>
          </cell>
          <cell r="AB58">
            <v>294840</v>
          </cell>
          <cell r="AC58">
            <v>12849</v>
          </cell>
          <cell r="AD58">
            <v>7771</v>
          </cell>
          <cell r="AE58">
            <v>0</v>
          </cell>
          <cell r="AF58">
            <v>0</v>
          </cell>
        </row>
        <row r="59">
          <cell r="C59">
            <v>0</v>
          </cell>
          <cell r="D59">
            <v>0</v>
          </cell>
          <cell r="E59">
            <v>0</v>
          </cell>
          <cell r="I59" t="e">
            <v>#REF!</v>
          </cell>
          <cell r="J59" t="e">
            <v>#REF!</v>
          </cell>
          <cell r="K59">
            <v>0</v>
          </cell>
          <cell r="L59">
            <v>0</v>
          </cell>
          <cell r="M59">
            <v>0</v>
          </cell>
          <cell r="N59">
            <v>0</v>
          </cell>
          <cell r="O59">
            <v>0</v>
          </cell>
          <cell r="P59">
            <v>0</v>
          </cell>
          <cell r="Q59">
            <v>0</v>
          </cell>
          <cell r="R59">
            <v>0</v>
          </cell>
          <cell r="T59">
            <v>0</v>
          </cell>
          <cell r="U59">
            <v>0</v>
          </cell>
          <cell r="V59">
            <v>0</v>
          </cell>
          <cell r="W59">
            <v>0</v>
          </cell>
          <cell r="X59">
            <v>0</v>
          </cell>
          <cell r="Y59">
            <v>-20749</v>
          </cell>
          <cell r="Z59">
            <v>-20749</v>
          </cell>
          <cell r="AA59">
            <v>0</v>
          </cell>
          <cell r="AB59">
            <v>-20749</v>
          </cell>
          <cell r="AC59" t="e">
            <v>#REF!</v>
          </cell>
          <cell r="AD59">
            <v>0</v>
          </cell>
          <cell r="AF59">
            <v>0</v>
          </cell>
        </row>
        <row r="60">
          <cell r="C60">
            <v>2</v>
          </cell>
          <cell r="D60">
            <v>1</v>
          </cell>
          <cell r="E60">
            <v>1</v>
          </cell>
          <cell r="I60">
            <v>15</v>
          </cell>
          <cell r="J60">
            <v>349</v>
          </cell>
          <cell r="K60">
            <v>349</v>
          </cell>
          <cell r="L60">
            <v>0</v>
          </cell>
          <cell r="M60">
            <v>0</v>
          </cell>
          <cell r="N60">
            <v>0</v>
          </cell>
          <cell r="O60">
            <v>0</v>
          </cell>
          <cell r="P60">
            <v>0</v>
          </cell>
          <cell r="Q60">
            <v>0</v>
          </cell>
          <cell r="R60">
            <v>0</v>
          </cell>
          <cell r="S60">
            <v>267.2</v>
          </cell>
          <cell r="T60">
            <v>29</v>
          </cell>
          <cell r="U60">
            <v>366</v>
          </cell>
          <cell r="V60">
            <v>16</v>
          </cell>
          <cell r="W60">
            <v>350</v>
          </cell>
          <cell r="X60">
            <v>350</v>
          </cell>
          <cell r="Y60">
            <v>7204</v>
          </cell>
          <cell r="Z60">
            <v>7554</v>
          </cell>
          <cell r="AA60">
            <v>4344</v>
          </cell>
          <cell r="AB60">
            <v>11898</v>
          </cell>
          <cell r="AC60">
            <v>0</v>
          </cell>
          <cell r="AD60">
            <v>119</v>
          </cell>
          <cell r="AE60">
            <v>16</v>
          </cell>
          <cell r="AF60">
            <v>231</v>
          </cell>
        </row>
        <row r="61">
          <cell r="C61">
            <v>88</v>
          </cell>
          <cell r="D61">
            <v>54</v>
          </cell>
          <cell r="E61">
            <v>34</v>
          </cell>
          <cell r="I61">
            <v>452.3098245614035</v>
          </cell>
          <cell r="J61">
            <v>479.5263157894737</v>
          </cell>
          <cell r="K61">
            <v>234.96789473684211</v>
          </cell>
          <cell r="L61">
            <v>244.55842105263159</v>
          </cell>
          <cell r="M61">
            <v>156.17543859649123</v>
          </cell>
          <cell r="N61">
            <v>109</v>
          </cell>
          <cell r="O61">
            <v>47.175438596491233</v>
          </cell>
          <cell r="P61">
            <v>62.423728813559308</v>
          </cell>
          <cell r="Q61">
            <v>40</v>
          </cell>
          <cell r="R61">
            <v>22.423728813559308</v>
          </cell>
          <cell r="S61">
            <v>887.77454545454532</v>
          </cell>
          <cell r="T61">
            <v>686</v>
          </cell>
          <cell r="U61">
            <v>1366.4353077609278</v>
          </cell>
          <cell r="V61">
            <v>748.3098245614035</v>
          </cell>
          <cell r="W61">
            <v>618.1254831995243</v>
          </cell>
          <cell r="X61">
            <v>618.1254831995243</v>
          </cell>
          <cell r="Y61">
            <v>5046</v>
          </cell>
          <cell r="Z61">
            <v>5664.1254831995248</v>
          </cell>
          <cell r="AA61">
            <v>2580</v>
          </cell>
          <cell r="AB61">
            <v>8244.1254831995248</v>
          </cell>
          <cell r="AC61">
            <v>149</v>
          </cell>
          <cell r="AD61">
            <v>233</v>
          </cell>
          <cell r="AE61">
            <v>599.3098245614035</v>
          </cell>
          <cell r="AF61">
            <v>385.1254831995243</v>
          </cell>
        </row>
        <row r="62">
          <cell r="C62">
            <v>5</v>
          </cell>
          <cell r="D62">
            <v>3</v>
          </cell>
          <cell r="E62">
            <v>2</v>
          </cell>
          <cell r="I62">
            <v>25</v>
          </cell>
          <cell r="J62">
            <v>26</v>
          </cell>
          <cell r="K62">
            <v>85</v>
          </cell>
          <cell r="L62">
            <v>-59</v>
          </cell>
          <cell r="M62">
            <v>9</v>
          </cell>
          <cell r="N62">
            <v>6</v>
          </cell>
          <cell r="O62">
            <v>3</v>
          </cell>
          <cell r="P62">
            <v>3</v>
          </cell>
          <cell r="Q62">
            <v>2</v>
          </cell>
          <cell r="R62">
            <v>1</v>
          </cell>
          <cell r="S62">
            <v>49</v>
          </cell>
          <cell r="T62">
            <v>257</v>
          </cell>
          <cell r="U62">
            <v>75</v>
          </cell>
          <cell r="V62">
            <v>41</v>
          </cell>
          <cell r="W62">
            <v>34</v>
          </cell>
          <cell r="X62">
            <v>34</v>
          </cell>
          <cell r="Y62">
            <v>283</v>
          </cell>
          <cell r="Z62">
            <v>317</v>
          </cell>
          <cell r="AA62">
            <v>143</v>
          </cell>
          <cell r="AB62">
            <v>460</v>
          </cell>
          <cell r="AC62">
            <v>8</v>
          </cell>
          <cell r="AD62">
            <v>13</v>
          </cell>
          <cell r="AE62">
            <v>33</v>
          </cell>
          <cell r="AF62">
            <v>21</v>
          </cell>
        </row>
        <row r="63">
          <cell r="C63">
            <v>28</v>
          </cell>
          <cell r="D63">
            <v>17</v>
          </cell>
          <cell r="E63">
            <v>11</v>
          </cell>
          <cell r="I63">
            <v>145</v>
          </cell>
          <cell r="J63">
            <v>153</v>
          </cell>
          <cell r="K63">
            <v>4</v>
          </cell>
          <cell r="L63">
            <v>149</v>
          </cell>
          <cell r="M63">
            <v>50</v>
          </cell>
          <cell r="N63">
            <v>35</v>
          </cell>
          <cell r="O63">
            <v>15</v>
          </cell>
          <cell r="P63">
            <v>21</v>
          </cell>
          <cell r="Q63">
            <v>13</v>
          </cell>
          <cell r="R63">
            <v>8</v>
          </cell>
          <cell r="S63">
            <v>0</v>
          </cell>
          <cell r="T63">
            <v>0</v>
          </cell>
          <cell r="U63">
            <v>438</v>
          </cell>
          <cell r="V63">
            <v>240</v>
          </cell>
          <cell r="W63">
            <v>198</v>
          </cell>
          <cell r="X63">
            <v>198</v>
          </cell>
          <cell r="Y63">
            <v>1614</v>
          </cell>
          <cell r="Z63">
            <v>1812</v>
          </cell>
          <cell r="AA63">
            <v>825</v>
          </cell>
          <cell r="AB63">
            <v>2637</v>
          </cell>
          <cell r="AC63">
            <v>0</v>
          </cell>
          <cell r="AD63">
            <v>0</v>
          </cell>
          <cell r="AE63">
            <v>0</v>
          </cell>
          <cell r="AF63">
            <v>0</v>
          </cell>
        </row>
        <row r="64">
          <cell r="C64">
            <v>6</v>
          </cell>
          <cell r="D64">
            <v>4</v>
          </cell>
          <cell r="E64">
            <v>2</v>
          </cell>
          <cell r="I64">
            <v>31</v>
          </cell>
          <cell r="J64">
            <v>35</v>
          </cell>
          <cell r="K64">
            <v>12</v>
          </cell>
          <cell r="L64">
            <v>12</v>
          </cell>
          <cell r="M64">
            <v>12</v>
          </cell>
          <cell r="N64">
            <v>8</v>
          </cell>
          <cell r="O64">
            <v>4</v>
          </cell>
          <cell r="P64">
            <v>12</v>
          </cell>
          <cell r="Q64">
            <v>8</v>
          </cell>
          <cell r="R64">
            <v>4</v>
          </cell>
          <cell r="T64">
            <v>69</v>
          </cell>
          <cell r="U64">
            <v>106</v>
          </cell>
          <cell r="V64">
            <v>58</v>
          </cell>
          <cell r="W64">
            <v>48</v>
          </cell>
          <cell r="X64">
            <v>48</v>
          </cell>
          <cell r="Y64">
            <v>757</v>
          </cell>
          <cell r="Z64">
            <v>805</v>
          </cell>
          <cell r="AA64">
            <v>184</v>
          </cell>
          <cell r="AB64">
            <v>989</v>
          </cell>
          <cell r="AC64">
            <v>16</v>
          </cell>
          <cell r="AD64">
            <v>19</v>
          </cell>
          <cell r="AE64">
            <v>42</v>
          </cell>
          <cell r="AF64">
            <v>29</v>
          </cell>
        </row>
        <row r="65">
          <cell r="C65">
            <v>67</v>
          </cell>
          <cell r="D65">
            <v>41</v>
          </cell>
          <cell r="E65">
            <v>26</v>
          </cell>
          <cell r="I65">
            <v>373</v>
          </cell>
          <cell r="J65">
            <v>823</v>
          </cell>
          <cell r="K65">
            <v>131.68</v>
          </cell>
          <cell r="L65">
            <v>691.31999999999994</v>
          </cell>
          <cell r="M65">
            <v>385</v>
          </cell>
          <cell r="N65">
            <v>268</v>
          </cell>
          <cell r="O65">
            <v>117</v>
          </cell>
          <cell r="P65">
            <v>445</v>
          </cell>
          <cell r="Q65">
            <v>285</v>
          </cell>
          <cell r="R65">
            <v>160</v>
          </cell>
          <cell r="S65">
            <v>1018</v>
          </cell>
          <cell r="T65">
            <v>9</v>
          </cell>
          <cell r="U65">
            <v>2104</v>
          </cell>
          <cell r="V65">
            <v>973</v>
          </cell>
          <cell r="W65">
            <v>1131</v>
          </cell>
          <cell r="X65">
            <v>1131</v>
          </cell>
          <cell r="Y65">
            <v>9553</v>
          </cell>
          <cell r="Z65">
            <v>10684</v>
          </cell>
          <cell r="AA65">
            <v>3962</v>
          </cell>
          <cell r="AB65">
            <v>14646</v>
          </cell>
          <cell r="AC65">
            <v>553</v>
          </cell>
          <cell r="AD65">
            <v>557</v>
          </cell>
          <cell r="AE65">
            <v>420</v>
          </cell>
          <cell r="AF65">
            <v>574</v>
          </cell>
        </row>
        <row r="66">
          <cell r="C66">
            <v>37</v>
          </cell>
          <cell r="D66">
            <v>23</v>
          </cell>
          <cell r="E66">
            <v>14</v>
          </cell>
          <cell r="I66">
            <v>338</v>
          </cell>
          <cell r="J66">
            <v>541</v>
          </cell>
          <cell r="K66">
            <v>86.56</v>
          </cell>
          <cell r="L66">
            <v>454.44</v>
          </cell>
          <cell r="M66">
            <v>385</v>
          </cell>
          <cell r="N66">
            <v>268</v>
          </cell>
          <cell r="O66">
            <v>117</v>
          </cell>
          <cell r="P66">
            <v>445</v>
          </cell>
          <cell r="Q66">
            <v>285</v>
          </cell>
          <cell r="R66">
            <v>160</v>
          </cell>
          <cell r="T66">
            <v>16</v>
          </cell>
          <cell r="U66">
            <v>1746</v>
          </cell>
          <cell r="V66">
            <v>914</v>
          </cell>
          <cell r="W66">
            <v>832</v>
          </cell>
          <cell r="X66">
            <v>832</v>
          </cell>
          <cell r="Y66" t="e">
            <v>#REF!</v>
          </cell>
          <cell r="Z66">
            <v>832</v>
          </cell>
          <cell r="AA66" t="e">
            <v>#REF!</v>
          </cell>
          <cell r="AB66">
            <v>832</v>
          </cell>
          <cell r="AC66" t="e">
            <v>#REF!</v>
          </cell>
          <cell r="AD66">
            <v>426</v>
          </cell>
        </row>
        <row r="67">
          <cell r="C67">
            <v>30</v>
          </cell>
          <cell r="D67">
            <v>19</v>
          </cell>
          <cell r="I67">
            <v>35</v>
          </cell>
          <cell r="J67">
            <v>282</v>
          </cell>
          <cell r="K67">
            <v>45.12</v>
          </cell>
          <cell r="L67">
            <v>236.88</v>
          </cell>
          <cell r="M67">
            <v>0</v>
          </cell>
          <cell r="N67">
            <v>0</v>
          </cell>
          <cell r="O67">
            <v>0</v>
          </cell>
          <cell r="P67">
            <v>0</v>
          </cell>
          <cell r="Q67">
            <v>0</v>
          </cell>
          <cell r="R67">
            <v>0</v>
          </cell>
          <cell r="S67">
            <v>4895</v>
          </cell>
          <cell r="U67">
            <v>347</v>
          </cell>
          <cell r="V67">
            <v>54</v>
          </cell>
          <cell r="W67">
            <v>293</v>
          </cell>
          <cell r="X67">
            <v>293</v>
          </cell>
          <cell r="Y67" t="e">
            <v>#REF!</v>
          </cell>
          <cell r="Z67">
            <v>293</v>
          </cell>
          <cell r="AB67">
            <v>293</v>
          </cell>
          <cell r="AC67">
            <v>85</v>
          </cell>
          <cell r="AD67">
            <v>78</v>
          </cell>
          <cell r="AF67">
            <v>5</v>
          </cell>
        </row>
        <row r="68">
          <cell r="C68">
            <v>80</v>
          </cell>
          <cell r="D68">
            <v>49</v>
          </cell>
          <cell r="E68">
            <v>31</v>
          </cell>
          <cell r="I68">
            <v>580</v>
          </cell>
          <cell r="J68">
            <v>1508</v>
          </cell>
          <cell r="K68">
            <v>377</v>
          </cell>
          <cell r="L68">
            <v>1131</v>
          </cell>
          <cell r="M68">
            <v>1081</v>
          </cell>
          <cell r="N68">
            <v>754</v>
          </cell>
          <cell r="O68">
            <v>327</v>
          </cell>
          <cell r="P68">
            <v>1330</v>
          </cell>
          <cell r="Q68">
            <v>852</v>
          </cell>
          <cell r="R68">
            <v>478</v>
          </cell>
          <cell r="S68">
            <v>0</v>
          </cell>
          <cell r="T68">
            <v>12</v>
          </cell>
          <cell r="U68">
            <v>4593</v>
          </cell>
          <cell r="V68">
            <v>2249</v>
          </cell>
          <cell r="W68">
            <v>2344</v>
          </cell>
          <cell r="X68">
            <v>1817</v>
          </cell>
          <cell r="Y68">
            <v>10210</v>
          </cell>
          <cell r="Z68">
            <v>12027</v>
          </cell>
          <cell r="AA68">
            <v>3910</v>
          </cell>
          <cell r="AB68">
            <v>15937</v>
          </cell>
          <cell r="AC68">
            <v>1606</v>
          </cell>
          <cell r="AD68">
            <v>1318</v>
          </cell>
          <cell r="AE68">
            <v>643</v>
          </cell>
          <cell r="AF68">
            <v>1026</v>
          </cell>
        </row>
        <row r="69">
          <cell r="C69" t="e">
            <v>#REF!</v>
          </cell>
          <cell r="D69" t="e">
            <v>#REF!</v>
          </cell>
          <cell r="E69" t="e">
            <v>#REF!</v>
          </cell>
          <cell r="I69">
            <v>28.07017543859649</v>
          </cell>
          <cell r="J69">
            <v>189.4736842105263</v>
          </cell>
          <cell r="K69">
            <v>47.368421052631575</v>
          </cell>
          <cell r="L69">
            <v>142.10526315789474</v>
          </cell>
          <cell r="M69">
            <v>129.82456140350877</v>
          </cell>
          <cell r="N69">
            <v>90</v>
          </cell>
          <cell r="O69">
            <v>39.824561403508767</v>
          </cell>
          <cell r="P69">
            <v>63.192982456140342</v>
          </cell>
          <cell r="Q69">
            <v>40</v>
          </cell>
          <cell r="R69">
            <v>23.192982456140342</v>
          </cell>
          <cell r="S69">
            <v>-3877</v>
          </cell>
          <cell r="T69">
            <v>146.88</v>
          </cell>
          <cell r="U69">
            <v>410.56140350877189</v>
          </cell>
          <cell r="V69">
            <v>158.07017543859649</v>
          </cell>
          <cell r="W69">
            <v>252.4912280701754</v>
          </cell>
          <cell r="X69">
            <v>252.4912280701754</v>
          </cell>
          <cell r="Y69">
            <v>1917</v>
          </cell>
          <cell r="Z69">
            <v>2169.4912280701756</v>
          </cell>
          <cell r="AA69">
            <v>948</v>
          </cell>
          <cell r="AB69">
            <v>3117.4912280701756</v>
          </cell>
          <cell r="AC69">
            <v>556</v>
          </cell>
          <cell r="AD69">
            <v>336</v>
          </cell>
          <cell r="AE69">
            <v>305</v>
          </cell>
          <cell r="AF69">
            <v>521</v>
          </cell>
        </row>
        <row r="70">
          <cell r="C70">
            <v>0</v>
          </cell>
          <cell r="D70" t="e">
            <v>#REF!</v>
          </cell>
          <cell r="E70" t="e">
            <v>#REF!</v>
          </cell>
          <cell r="I70">
            <v>2</v>
          </cell>
          <cell r="J70">
            <v>10</v>
          </cell>
          <cell r="K70">
            <v>2.5</v>
          </cell>
          <cell r="L70">
            <v>7.5</v>
          </cell>
          <cell r="M70">
            <v>7</v>
          </cell>
          <cell r="N70">
            <v>5</v>
          </cell>
          <cell r="O70">
            <v>2</v>
          </cell>
          <cell r="P70">
            <v>3</v>
          </cell>
          <cell r="Q70">
            <v>2</v>
          </cell>
          <cell r="R70">
            <v>1</v>
          </cell>
          <cell r="S70">
            <v>1918.4</v>
          </cell>
          <cell r="T70">
            <v>479.6</v>
          </cell>
          <cell r="U70">
            <v>22</v>
          </cell>
          <cell r="V70">
            <v>9</v>
          </cell>
          <cell r="W70">
            <v>13</v>
          </cell>
          <cell r="X70">
            <v>13</v>
          </cell>
          <cell r="Y70">
            <v>124</v>
          </cell>
          <cell r="Z70">
            <v>137</v>
          </cell>
          <cell r="AA70">
            <v>51</v>
          </cell>
          <cell r="AB70">
            <v>188</v>
          </cell>
          <cell r="AC70">
            <v>622.4</v>
          </cell>
          <cell r="AD70">
            <v>326</v>
          </cell>
          <cell r="AE70">
            <v>296.39999999999998</v>
          </cell>
          <cell r="AF70">
            <v>1475</v>
          </cell>
        </row>
        <row r="71">
          <cell r="C71">
            <v>0</v>
          </cell>
          <cell r="D71" t="e">
            <v>#REF!</v>
          </cell>
          <cell r="E71" t="e">
            <v>#REF!</v>
          </cell>
          <cell r="I71">
            <v>9</v>
          </cell>
          <cell r="J71">
            <v>62</v>
          </cell>
          <cell r="K71">
            <v>15.5</v>
          </cell>
          <cell r="L71">
            <v>46.5</v>
          </cell>
          <cell r="M71">
            <v>42</v>
          </cell>
          <cell r="N71">
            <v>29</v>
          </cell>
          <cell r="O71">
            <v>13</v>
          </cell>
          <cell r="P71">
            <v>20</v>
          </cell>
          <cell r="Q71">
            <v>13</v>
          </cell>
          <cell r="R71">
            <v>7</v>
          </cell>
          <cell r="S71">
            <v>494.54545454545456</v>
          </cell>
          <cell r="U71">
            <v>133</v>
          </cell>
          <cell r="V71">
            <v>51</v>
          </cell>
          <cell r="W71">
            <v>82</v>
          </cell>
          <cell r="X71">
            <v>82</v>
          </cell>
          <cell r="Y71">
            <v>593</v>
          </cell>
          <cell r="Z71">
            <v>675</v>
          </cell>
          <cell r="AA71">
            <v>303</v>
          </cell>
          <cell r="AB71">
            <v>978</v>
          </cell>
          <cell r="AC71">
            <v>116.36363636363636</v>
          </cell>
          <cell r="AD71">
            <v>61</v>
          </cell>
          <cell r="AE71">
            <v>55.36363636363636</v>
          </cell>
          <cell r="AF71">
            <v>215.27272727272728</v>
          </cell>
        </row>
        <row r="72">
          <cell r="C72">
            <v>0</v>
          </cell>
          <cell r="D72" t="e">
            <v>#REF!</v>
          </cell>
          <cell r="E72">
            <v>0</v>
          </cell>
          <cell r="I72">
            <v>1</v>
          </cell>
          <cell r="J72">
            <v>9</v>
          </cell>
          <cell r="K72">
            <v>2.25</v>
          </cell>
          <cell r="L72">
            <v>6.75</v>
          </cell>
          <cell r="M72">
            <v>6</v>
          </cell>
          <cell r="N72">
            <v>4</v>
          </cell>
          <cell r="O72">
            <v>2</v>
          </cell>
          <cell r="P72">
            <v>3</v>
          </cell>
          <cell r="Q72">
            <v>2</v>
          </cell>
          <cell r="R72">
            <v>1</v>
          </cell>
          <cell r="S72">
            <v>27</v>
          </cell>
          <cell r="U72">
            <v>19</v>
          </cell>
          <cell r="V72">
            <v>7</v>
          </cell>
          <cell r="W72">
            <v>12</v>
          </cell>
          <cell r="X72">
            <v>12</v>
          </cell>
          <cell r="Y72">
            <v>172</v>
          </cell>
          <cell r="Z72">
            <v>184</v>
          </cell>
          <cell r="AA72">
            <v>48</v>
          </cell>
          <cell r="AB72">
            <v>232</v>
          </cell>
          <cell r="AC72">
            <v>6</v>
          </cell>
          <cell r="AD72">
            <v>3</v>
          </cell>
          <cell r="AE72">
            <v>3</v>
          </cell>
          <cell r="AF72">
            <v>12</v>
          </cell>
        </row>
        <row r="73">
          <cell r="C73">
            <v>80</v>
          </cell>
          <cell r="D73" t="e">
            <v>#REF!</v>
          </cell>
          <cell r="E73" t="e">
            <v>#REF!</v>
          </cell>
          <cell r="I73">
            <v>580</v>
          </cell>
          <cell r="J73">
            <v>1508</v>
          </cell>
          <cell r="K73">
            <v>377</v>
          </cell>
          <cell r="L73">
            <v>1131</v>
          </cell>
          <cell r="M73">
            <v>592</v>
          </cell>
          <cell r="N73">
            <v>412</v>
          </cell>
          <cell r="O73">
            <v>180</v>
          </cell>
          <cell r="P73">
            <v>1325</v>
          </cell>
          <cell r="Q73">
            <v>849</v>
          </cell>
          <cell r="R73">
            <v>476</v>
          </cell>
          <cell r="S73">
            <v>158</v>
          </cell>
          <cell r="T73">
            <v>51</v>
          </cell>
          <cell r="U73">
            <v>4085</v>
          </cell>
          <cell r="V73">
            <v>1841</v>
          </cell>
          <cell r="W73">
            <v>2244</v>
          </cell>
          <cell r="X73">
            <v>2244</v>
          </cell>
          <cell r="Y73">
            <v>39</v>
          </cell>
          <cell r="Z73">
            <v>2244</v>
          </cell>
          <cell r="AA73" t="e">
            <v>#REF!</v>
          </cell>
          <cell r="AB73">
            <v>2244</v>
          </cell>
          <cell r="AC73">
            <v>37</v>
          </cell>
          <cell r="AD73">
            <v>19</v>
          </cell>
          <cell r="AE73">
            <v>18</v>
          </cell>
          <cell r="AF73">
            <v>69</v>
          </cell>
        </row>
        <row r="74">
          <cell r="C74">
            <v>0</v>
          </cell>
          <cell r="D74" t="e">
            <v>#REF!</v>
          </cell>
          <cell r="E74" t="e">
            <v>#REF!</v>
          </cell>
          <cell r="I74">
            <v>0</v>
          </cell>
          <cell r="J74">
            <v>0</v>
          </cell>
          <cell r="K74">
            <v>0</v>
          </cell>
          <cell r="L74">
            <v>0</v>
          </cell>
          <cell r="M74">
            <v>489</v>
          </cell>
          <cell r="N74" t="e">
            <v>#REF!</v>
          </cell>
          <cell r="O74">
            <v>0</v>
          </cell>
          <cell r="P74">
            <v>5</v>
          </cell>
          <cell r="Q74">
            <v>3</v>
          </cell>
          <cell r="R74">
            <v>2</v>
          </cell>
          <cell r="U74">
            <v>494</v>
          </cell>
          <cell r="V74">
            <v>3</v>
          </cell>
          <cell r="W74">
            <v>491</v>
          </cell>
          <cell r="X74">
            <v>491</v>
          </cell>
          <cell r="Y74" t="e">
            <v>#REF!</v>
          </cell>
          <cell r="Z74">
            <v>491</v>
          </cell>
          <cell r="AA74" t="e">
            <v>#REF!</v>
          </cell>
          <cell r="AB74">
            <v>491</v>
          </cell>
          <cell r="AC74">
            <v>0</v>
          </cell>
          <cell r="AF74">
            <v>0</v>
          </cell>
        </row>
        <row r="75">
          <cell r="C75">
            <v>302.66666666666674</v>
          </cell>
          <cell r="D75">
            <v>187</v>
          </cell>
          <cell r="E75">
            <v>116</v>
          </cell>
          <cell r="I75">
            <v>70</v>
          </cell>
          <cell r="J75">
            <v>125</v>
          </cell>
          <cell r="K75">
            <v>82.5</v>
          </cell>
          <cell r="L75">
            <v>42.5</v>
          </cell>
          <cell r="M75">
            <v>38</v>
          </cell>
          <cell r="N75">
            <v>26</v>
          </cell>
          <cell r="O75">
            <v>12</v>
          </cell>
          <cell r="P75">
            <v>31</v>
          </cell>
          <cell r="Q75">
            <v>20</v>
          </cell>
          <cell r="R75">
            <v>11</v>
          </cell>
          <cell r="S75">
            <v>0</v>
          </cell>
          <cell r="T75">
            <v>12</v>
          </cell>
          <cell r="U75">
            <v>2919.666666666667</v>
          </cell>
          <cell r="V75">
            <v>635</v>
          </cell>
          <cell r="W75">
            <v>2284.666666666667</v>
          </cell>
          <cell r="X75">
            <v>2300.666666666667</v>
          </cell>
          <cell r="Y75">
            <v>15850</v>
          </cell>
          <cell r="Z75">
            <v>18150.666666666668</v>
          </cell>
          <cell r="AA75">
            <v>5795</v>
          </cell>
          <cell r="AB75">
            <v>23945.666666666668</v>
          </cell>
          <cell r="AC75">
            <v>46</v>
          </cell>
          <cell r="AD75">
            <v>66</v>
          </cell>
          <cell r="AE75">
            <v>589</v>
          </cell>
          <cell r="AF75">
            <v>2218.666666666667</v>
          </cell>
        </row>
        <row r="76">
          <cell r="C76">
            <v>0</v>
          </cell>
          <cell r="D76">
            <v>0</v>
          </cell>
          <cell r="E76">
            <v>0</v>
          </cell>
          <cell r="I76" t="e">
            <v>#REF!</v>
          </cell>
          <cell r="J76" t="e">
            <v>#REF!</v>
          </cell>
          <cell r="K76">
            <v>0</v>
          </cell>
          <cell r="L76">
            <v>0</v>
          </cell>
          <cell r="M76" t="e">
            <v>#REF!</v>
          </cell>
          <cell r="N76">
            <v>0</v>
          </cell>
          <cell r="O76">
            <v>0</v>
          </cell>
          <cell r="P76">
            <v>935</v>
          </cell>
          <cell r="Q76" t="e">
            <v>#REF!</v>
          </cell>
          <cell r="R76" t="e">
            <v>#REF!</v>
          </cell>
          <cell r="S76">
            <v>4732.8</v>
          </cell>
          <cell r="T76">
            <v>51</v>
          </cell>
          <cell r="U76">
            <v>0</v>
          </cell>
          <cell r="V76">
            <v>0</v>
          </cell>
          <cell r="W76">
            <v>0</v>
          </cell>
          <cell r="X76">
            <v>0</v>
          </cell>
          <cell r="Y76">
            <v>401</v>
          </cell>
          <cell r="Z76">
            <v>401</v>
          </cell>
          <cell r="AA76">
            <v>0</v>
          </cell>
          <cell r="AB76">
            <v>401</v>
          </cell>
          <cell r="AC76">
            <v>0</v>
          </cell>
          <cell r="AD76">
            <v>0</v>
          </cell>
          <cell r="AE76">
            <v>0</v>
          </cell>
          <cell r="AF76">
            <v>0</v>
          </cell>
        </row>
        <row r="77">
          <cell r="C77">
            <v>302.66666666666674</v>
          </cell>
          <cell r="D77">
            <v>187</v>
          </cell>
          <cell r="E77">
            <v>116</v>
          </cell>
          <cell r="I77">
            <v>70</v>
          </cell>
          <cell r="J77">
            <v>125</v>
          </cell>
          <cell r="K77">
            <v>82.5</v>
          </cell>
          <cell r="L77">
            <v>42.5</v>
          </cell>
          <cell r="M77">
            <v>38</v>
          </cell>
          <cell r="N77">
            <v>26</v>
          </cell>
          <cell r="O77">
            <v>12</v>
          </cell>
          <cell r="P77">
            <v>31</v>
          </cell>
          <cell r="Q77">
            <v>20</v>
          </cell>
          <cell r="R77">
            <v>11</v>
          </cell>
          <cell r="S77">
            <v>201.86666666666662</v>
          </cell>
          <cell r="T77">
            <v>12</v>
          </cell>
          <cell r="U77">
            <v>2919.666666666667</v>
          </cell>
          <cell r="V77">
            <v>635</v>
          </cell>
          <cell r="W77">
            <v>2284.666666666667</v>
          </cell>
          <cell r="X77">
            <v>2284.666666666667</v>
          </cell>
          <cell r="Y77">
            <v>15449</v>
          </cell>
          <cell r="Z77">
            <v>17733.666666666668</v>
          </cell>
          <cell r="AA77">
            <v>5796</v>
          </cell>
          <cell r="AB77">
            <v>23529.666666666668</v>
          </cell>
          <cell r="AC77">
            <v>46</v>
          </cell>
          <cell r="AD77">
            <v>66</v>
          </cell>
          <cell r="AE77">
            <v>589</v>
          </cell>
          <cell r="AF77">
            <v>2218.666666666667</v>
          </cell>
        </row>
        <row r="78">
          <cell r="C78">
            <v>303</v>
          </cell>
          <cell r="D78">
            <v>187</v>
          </cell>
          <cell r="E78">
            <v>116</v>
          </cell>
          <cell r="I78">
            <v>70</v>
          </cell>
          <cell r="J78">
            <v>125</v>
          </cell>
          <cell r="K78">
            <v>82.5</v>
          </cell>
          <cell r="L78">
            <v>42.5</v>
          </cell>
          <cell r="M78">
            <v>38</v>
          </cell>
          <cell r="N78">
            <v>26</v>
          </cell>
          <cell r="O78">
            <v>12</v>
          </cell>
          <cell r="P78">
            <v>31</v>
          </cell>
          <cell r="Q78">
            <v>20</v>
          </cell>
          <cell r="R78">
            <v>11</v>
          </cell>
          <cell r="T78">
            <v>0</v>
          </cell>
          <cell r="U78">
            <v>703</v>
          </cell>
          <cell r="V78">
            <v>373</v>
          </cell>
          <cell r="W78">
            <v>330</v>
          </cell>
          <cell r="X78">
            <v>330</v>
          </cell>
          <cell r="Y78">
            <v>0</v>
          </cell>
          <cell r="Z78">
            <v>330</v>
          </cell>
          <cell r="AA78">
            <v>0</v>
          </cell>
          <cell r="AB78">
            <v>330</v>
          </cell>
          <cell r="AE78">
            <v>0</v>
          </cell>
          <cell r="AF78">
            <v>330</v>
          </cell>
        </row>
        <row r="79">
          <cell r="C79">
            <v>0</v>
          </cell>
          <cell r="D79">
            <v>0</v>
          </cell>
          <cell r="E79">
            <v>0</v>
          </cell>
          <cell r="I79" t="e">
            <v>#REF!</v>
          </cell>
          <cell r="J79">
            <v>0</v>
          </cell>
          <cell r="K79" t="e">
            <v>#REF!</v>
          </cell>
          <cell r="L79" t="e">
            <v>#REF!</v>
          </cell>
          <cell r="M79" t="e">
            <v>#REF!</v>
          </cell>
          <cell r="N79" t="e">
            <v>#REF!</v>
          </cell>
          <cell r="O79" t="e">
            <v>#REF!</v>
          </cell>
          <cell r="P79">
            <v>88.2</v>
          </cell>
          <cell r="Q79" t="e">
            <v>#REF!</v>
          </cell>
          <cell r="R79" t="e">
            <v>#REF!</v>
          </cell>
          <cell r="S79">
            <v>201.86666666666662</v>
          </cell>
          <cell r="T79">
            <v>80.431999999999974</v>
          </cell>
          <cell r="U79">
            <v>2217</v>
          </cell>
          <cell r="V79">
            <v>262</v>
          </cell>
          <cell r="W79">
            <v>1955</v>
          </cell>
          <cell r="X79">
            <v>1955</v>
          </cell>
          <cell r="Y79">
            <v>60</v>
          </cell>
          <cell r="Z79">
            <v>1955</v>
          </cell>
          <cell r="AA79" t="e">
            <v>#REF!</v>
          </cell>
          <cell r="AB79">
            <v>1955</v>
          </cell>
          <cell r="AC79">
            <v>135.4</v>
          </cell>
          <cell r="AD79">
            <v>71</v>
          </cell>
          <cell r="AE79">
            <v>64.400000000000006</v>
          </cell>
          <cell r="AF79">
            <v>1955</v>
          </cell>
        </row>
        <row r="80">
          <cell r="C80">
            <v>0</v>
          </cell>
          <cell r="D80">
            <v>0</v>
          </cell>
          <cell r="E80">
            <v>0</v>
          </cell>
          <cell r="I80" t="e">
            <v>#REF!</v>
          </cell>
          <cell r="J80" t="e">
            <v>#REF!</v>
          </cell>
          <cell r="K80" t="e">
            <v>#REF!</v>
          </cell>
          <cell r="L80" t="e">
            <v>#REF!</v>
          </cell>
          <cell r="M80">
            <v>0</v>
          </cell>
          <cell r="N80" t="e">
            <v>#REF!</v>
          </cell>
          <cell r="O80" t="e">
            <v>#REF!</v>
          </cell>
          <cell r="P80">
            <v>0</v>
          </cell>
          <cell r="Q80" t="e">
            <v>#REF!</v>
          </cell>
          <cell r="R80" t="e">
            <v>#REF!</v>
          </cell>
          <cell r="S80">
            <v>121.86666666666663</v>
          </cell>
          <cell r="T80">
            <v>80.431999999999974</v>
          </cell>
          <cell r="U80">
            <v>0</v>
          </cell>
          <cell r="V80">
            <v>0</v>
          </cell>
          <cell r="W80">
            <v>0</v>
          </cell>
          <cell r="X80">
            <v>0</v>
          </cell>
          <cell r="Y80">
            <v>46</v>
          </cell>
          <cell r="Z80">
            <v>19.600000000000009</v>
          </cell>
          <cell r="AA80" t="e">
            <v>#REF!</v>
          </cell>
          <cell r="AB80" t="e">
            <v>#REF!</v>
          </cell>
          <cell r="AC80">
            <v>27.200000000000003</v>
          </cell>
          <cell r="AD80">
            <v>14</v>
          </cell>
          <cell r="AE80">
            <v>13.200000000000003</v>
          </cell>
          <cell r="AF80">
            <v>110.4</v>
          </cell>
        </row>
        <row r="81">
          <cell r="C81">
            <v>0</v>
          </cell>
          <cell r="D81">
            <v>0</v>
          </cell>
          <cell r="E81">
            <v>0</v>
          </cell>
          <cell r="I81">
            <v>30</v>
          </cell>
          <cell r="J81">
            <v>30</v>
          </cell>
          <cell r="M81">
            <v>3</v>
          </cell>
          <cell r="P81">
            <v>2</v>
          </cell>
          <cell r="S81">
            <v>0</v>
          </cell>
          <cell r="U81">
            <v>65</v>
          </cell>
          <cell r="V81">
            <v>30</v>
          </cell>
          <cell r="W81">
            <v>35</v>
          </cell>
          <cell r="X81">
            <v>35</v>
          </cell>
          <cell r="Y81" t="e">
            <v>#REF!</v>
          </cell>
          <cell r="Z81" t="e">
            <v>#REF!</v>
          </cell>
          <cell r="AA81" t="e">
            <v>#REF!</v>
          </cell>
          <cell r="AB81" t="e">
            <v>#REF!</v>
          </cell>
          <cell r="AC81" t="e">
            <v>#REF!</v>
          </cell>
        </row>
        <row r="82">
          <cell r="C82">
            <v>813.00000000000011</v>
          </cell>
          <cell r="D82">
            <v>501</v>
          </cell>
          <cell r="E82">
            <v>312.33333333333337</v>
          </cell>
          <cell r="I82">
            <v>1754.3098245614035</v>
          </cell>
          <cell r="J82">
            <v>5683.5263157894733</v>
          </cell>
          <cell r="K82">
            <v>3206.467894736842</v>
          </cell>
          <cell r="L82">
            <v>2466.0584210526313</v>
          </cell>
          <cell r="M82">
            <v>13401.17543859649</v>
          </cell>
          <cell r="N82">
            <v>9336</v>
          </cell>
          <cell r="O82">
            <v>4065.1754385964914</v>
          </cell>
          <cell r="P82">
            <v>10489.423728813559</v>
          </cell>
          <cell r="Q82">
            <v>6721</v>
          </cell>
          <cell r="R82">
            <v>3768.4237288135591</v>
          </cell>
          <cell r="S82">
            <v>0</v>
          </cell>
          <cell r="T82">
            <v>1129</v>
          </cell>
          <cell r="U82">
            <v>34743.435307760927</v>
          </cell>
          <cell r="V82">
            <v>18819.309824561402</v>
          </cell>
          <cell r="W82">
            <v>15924.125483199525</v>
          </cell>
          <cell r="X82">
            <v>16058.125483199525</v>
          </cell>
          <cell r="Y82">
            <v>178596</v>
          </cell>
          <cell r="Z82">
            <v>194654.12548319952</v>
          </cell>
          <cell r="AA82">
            <v>173414</v>
          </cell>
          <cell r="AB82">
            <v>368068.12548319955</v>
          </cell>
          <cell r="AC82">
            <v>16009</v>
          </cell>
          <cell r="AD82">
            <v>10689</v>
          </cell>
          <cell r="AE82">
            <v>2570.3098245614037</v>
          </cell>
          <cell r="AF82">
            <v>5037.1254831995248</v>
          </cell>
        </row>
        <row r="83">
          <cell r="C83">
            <v>813.00000000000011</v>
          </cell>
          <cell r="D83">
            <v>501</v>
          </cell>
          <cell r="E83">
            <v>312.33333333333337</v>
          </cell>
          <cell r="P83">
            <v>20</v>
          </cell>
          <cell r="S83">
            <v>40</v>
          </cell>
          <cell r="U83">
            <v>14098.435307760927</v>
          </cell>
          <cell r="V83">
            <v>5945.3098245614019</v>
          </cell>
          <cell r="W83">
            <v>8153.1254831995248</v>
          </cell>
          <cell r="X83">
            <v>8153.1254831995248</v>
          </cell>
          <cell r="Y83">
            <v>14</v>
          </cell>
          <cell r="Z83">
            <v>5.2000000000000028</v>
          </cell>
          <cell r="AA83">
            <v>0</v>
          </cell>
          <cell r="AB83">
            <v>0</v>
          </cell>
          <cell r="AC83">
            <v>3160</v>
          </cell>
          <cell r="AD83">
            <v>2918</v>
          </cell>
          <cell r="AE83">
            <v>2545.3098245614037</v>
          </cell>
          <cell r="AF83">
            <v>5037.1254831995248</v>
          </cell>
        </row>
        <row r="84">
          <cell r="C84" t="e">
            <v>#REF!</v>
          </cell>
          <cell r="D84" t="e">
            <v>#REF!</v>
          </cell>
          <cell r="E84" t="e">
            <v>#REF!</v>
          </cell>
          <cell r="I84" t="e">
            <v>#REF!</v>
          </cell>
          <cell r="J84" t="e">
            <v>#REF!</v>
          </cell>
          <cell r="K84" t="e">
            <v>#REF!</v>
          </cell>
          <cell r="L84" t="e">
            <v>#REF!</v>
          </cell>
          <cell r="M84" t="e">
            <v>#REF!</v>
          </cell>
          <cell r="N84" t="e">
            <v>#REF!</v>
          </cell>
          <cell r="O84" t="e">
            <v>#REF!</v>
          </cell>
          <cell r="P84" t="e">
            <v>#REF!</v>
          </cell>
          <cell r="Q84" t="e">
            <v>#REF!</v>
          </cell>
          <cell r="R84" t="e">
            <v>#REF!</v>
          </cell>
          <cell r="S84">
            <v>0</v>
          </cell>
          <cell r="T84">
            <v>824</v>
          </cell>
          <cell r="U84">
            <v>261</v>
          </cell>
          <cell r="V84">
            <v>563</v>
          </cell>
          <cell r="W84" t="e">
            <v>#REF!</v>
          </cell>
          <cell r="X84">
            <v>0</v>
          </cell>
          <cell r="Y84" t="e">
            <v>#REF!</v>
          </cell>
          <cell r="Z84" t="e">
            <v>#REF!</v>
          </cell>
          <cell r="AA84" t="e">
            <v>#REF!</v>
          </cell>
          <cell r="AB84" t="e">
            <v>#REF!</v>
          </cell>
          <cell r="AC84" t="e">
            <v>#REF!</v>
          </cell>
        </row>
        <row r="85">
          <cell r="C85">
            <v>3670</v>
          </cell>
          <cell r="D85">
            <v>3670</v>
          </cell>
          <cell r="E85" t="e">
            <v>#REF!</v>
          </cell>
          <cell r="I85" t="e">
            <v>#REF!</v>
          </cell>
          <cell r="J85" t="e">
            <v>#REF!</v>
          </cell>
          <cell r="K85" t="e">
            <v>#REF!</v>
          </cell>
          <cell r="L85" t="e">
            <v>#REF!</v>
          </cell>
          <cell r="M85" t="e">
            <v>#REF!</v>
          </cell>
          <cell r="N85" t="e">
            <v>#REF!</v>
          </cell>
          <cell r="O85" t="e">
            <v>#REF!</v>
          </cell>
          <cell r="P85">
            <v>9.6000000000000014</v>
          </cell>
          <cell r="Q85" t="e">
            <v>#REF!</v>
          </cell>
          <cell r="R85" t="e">
            <v>#REF!</v>
          </cell>
          <cell r="S85">
            <v>0</v>
          </cell>
          <cell r="T85">
            <v>1129</v>
          </cell>
          <cell r="U85">
            <v>3670</v>
          </cell>
          <cell r="V85">
            <v>3670</v>
          </cell>
          <cell r="W85">
            <v>0</v>
          </cell>
          <cell r="X85">
            <v>0</v>
          </cell>
          <cell r="Y85">
            <v>747</v>
          </cell>
          <cell r="Z85">
            <v>747</v>
          </cell>
          <cell r="AA85">
            <v>0</v>
          </cell>
          <cell r="AB85">
            <v>747</v>
          </cell>
          <cell r="AC85">
            <v>0</v>
          </cell>
          <cell r="AD85">
            <v>0</v>
          </cell>
          <cell r="AE85">
            <v>0</v>
          </cell>
          <cell r="AF85">
            <v>0</v>
          </cell>
        </row>
        <row r="86">
          <cell r="C86">
            <v>4483</v>
          </cell>
          <cell r="D86">
            <v>4171</v>
          </cell>
          <cell r="E86">
            <v>312.33333333333337</v>
          </cell>
          <cell r="I86">
            <v>1754.3098245614035</v>
          </cell>
          <cell r="J86">
            <v>5683.5263157894733</v>
          </cell>
          <cell r="K86">
            <v>3206.467894736842</v>
          </cell>
          <cell r="L86">
            <v>2466.0584210526313</v>
          </cell>
          <cell r="M86">
            <v>13401.17543859649</v>
          </cell>
          <cell r="N86">
            <v>9336</v>
          </cell>
          <cell r="O86">
            <v>4065.1754385964914</v>
          </cell>
          <cell r="P86">
            <v>10489.423728813559</v>
          </cell>
          <cell r="Q86">
            <v>6721</v>
          </cell>
          <cell r="R86">
            <v>3768.4237288135591</v>
          </cell>
          <cell r="S86">
            <v>0</v>
          </cell>
          <cell r="T86">
            <v>1129</v>
          </cell>
          <cell r="U86">
            <v>38413.435307760927</v>
          </cell>
          <cell r="V86">
            <v>22489.309824561402</v>
          </cell>
          <cell r="W86">
            <v>15924.125483199525</v>
          </cell>
          <cell r="X86">
            <v>16058.125483199525</v>
          </cell>
          <cell r="Y86">
            <v>179343</v>
          </cell>
          <cell r="Z86">
            <v>195401.12548319952</v>
          </cell>
          <cell r="AA86">
            <v>173414</v>
          </cell>
          <cell r="AB86">
            <v>368815.12548319955</v>
          </cell>
          <cell r="AC86">
            <v>16009</v>
          </cell>
          <cell r="AD86">
            <v>10689</v>
          </cell>
          <cell r="AE86">
            <v>2570.3098245614037</v>
          </cell>
          <cell r="AF86">
            <v>5037.1254831995248</v>
          </cell>
        </row>
        <row r="87">
          <cell r="C87">
            <v>230.42400000000001</v>
          </cell>
          <cell r="D87">
            <v>178.35599999999999</v>
          </cell>
          <cell r="E87">
            <v>52.068000000000012</v>
          </cell>
          <cell r="I87" t="e">
            <v>#REF!</v>
          </cell>
          <cell r="J87">
            <v>0</v>
          </cell>
          <cell r="K87">
            <v>0</v>
          </cell>
          <cell r="L87">
            <v>0</v>
          </cell>
          <cell r="M87">
            <v>0</v>
          </cell>
          <cell r="N87">
            <v>0</v>
          </cell>
          <cell r="O87">
            <v>0</v>
          </cell>
          <cell r="P87">
            <v>611.32000000000005</v>
          </cell>
          <cell r="Q87">
            <v>0</v>
          </cell>
          <cell r="R87">
            <v>0</v>
          </cell>
          <cell r="S87" t="e">
            <v>#REF!</v>
          </cell>
          <cell r="T87">
            <v>435.00952727272721</v>
          </cell>
          <cell r="U87">
            <v>230.42400000000001</v>
          </cell>
          <cell r="V87">
            <v>178.35599999999999</v>
          </cell>
          <cell r="W87">
            <v>52.068000000000012</v>
          </cell>
          <cell r="X87">
            <v>52.068000000000012</v>
          </cell>
          <cell r="Y87">
            <v>1358</v>
          </cell>
          <cell r="Z87">
            <v>1410.068</v>
          </cell>
          <cell r="AA87">
            <v>776</v>
          </cell>
          <cell r="AB87">
            <v>2186.0680000000002</v>
          </cell>
          <cell r="AC87">
            <v>0</v>
          </cell>
          <cell r="AD87">
            <v>0</v>
          </cell>
          <cell r="AE87">
            <v>178.35599999999999</v>
          </cell>
          <cell r="AF87">
            <v>52.068000000000012</v>
          </cell>
        </row>
        <row r="88">
          <cell r="C88">
            <v>384</v>
          </cell>
          <cell r="D88">
            <v>297</v>
          </cell>
          <cell r="E88">
            <v>87</v>
          </cell>
          <cell r="I88" t="e">
            <v>#REF!</v>
          </cell>
          <cell r="J88" t="e">
            <v>#REF!</v>
          </cell>
          <cell r="M88" t="e">
            <v>#REF!</v>
          </cell>
          <cell r="P88" t="e">
            <v>#REF!</v>
          </cell>
          <cell r="S88" t="e">
            <v>#REF!</v>
          </cell>
          <cell r="U88">
            <v>384</v>
          </cell>
          <cell r="V88">
            <v>297</v>
          </cell>
          <cell r="W88">
            <v>87</v>
          </cell>
          <cell r="X88">
            <v>87</v>
          </cell>
          <cell r="Y88">
            <v>3097</v>
          </cell>
          <cell r="Z88">
            <v>3184</v>
          </cell>
          <cell r="AA88">
            <v>1294</v>
          </cell>
          <cell r="AB88">
            <v>4478</v>
          </cell>
          <cell r="AC88">
            <v>0</v>
          </cell>
          <cell r="AD88">
            <v>0</v>
          </cell>
          <cell r="AE88">
            <v>297</v>
          </cell>
          <cell r="AF88">
            <v>87</v>
          </cell>
        </row>
        <row r="89">
          <cell r="C89">
            <v>57.666666666666664</v>
          </cell>
          <cell r="D89">
            <v>36</v>
          </cell>
          <cell r="E89">
            <v>21.666666666666664</v>
          </cell>
          <cell r="I89" t="e">
            <v>#REF!</v>
          </cell>
          <cell r="J89">
            <v>0</v>
          </cell>
          <cell r="K89">
            <v>0</v>
          </cell>
          <cell r="L89">
            <v>0</v>
          </cell>
          <cell r="M89">
            <v>0</v>
          </cell>
          <cell r="N89">
            <v>0</v>
          </cell>
          <cell r="O89">
            <v>0</v>
          </cell>
          <cell r="P89">
            <v>0</v>
          </cell>
          <cell r="Q89">
            <v>0</v>
          </cell>
          <cell r="R89">
            <v>0</v>
          </cell>
          <cell r="S89">
            <v>0</v>
          </cell>
          <cell r="T89">
            <v>824</v>
          </cell>
          <cell r="U89">
            <v>57.666666666666664</v>
          </cell>
          <cell r="V89">
            <v>36</v>
          </cell>
          <cell r="W89">
            <v>21.666666666666664</v>
          </cell>
          <cell r="X89">
            <v>21.666666666666664</v>
          </cell>
          <cell r="Y89">
            <v>1002</v>
          </cell>
          <cell r="Z89">
            <v>1023.6666666666666</v>
          </cell>
          <cell r="AA89">
            <v>1525</v>
          </cell>
          <cell r="AB89">
            <v>2548.6666666666665</v>
          </cell>
          <cell r="AC89">
            <v>0</v>
          </cell>
          <cell r="AD89">
            <v>0</v>
          </cell>
          <cell r="AE89">
            <v>36</v>
          </cell>
          <cell r="AF89">
            <v>21.666666666666664</v>
          </cell>
        </row>
        <row r="90">
          <cell r="C90">
            <v>0</v>
          </cell>
          <cell r="D90">
            <v>0</v>
          </cell>
          <cell r="E90">
            <v>0</v>
          </cell>
          <cell r="I90" t="e">
            <v>#REF!</v>
          </cell>
          <cell r="J90" t="e">
            <v>#REF!</v>
          </cell>
          <cell r="K90" t="e">
            <v>#REF!</v>
          </cell>
          <cell r="L90" t="e">
            <v>#REF!</v>
          </cell>
          <cell r="M90" t="e">
            <v>#REF!</v>
          </cell>
          <cell r="N90" t="e">
            <v>#REF!</v>
          </cell>
          <cell r="O90" t="e">
            <v>#REF!</v>
          </cell>
          <cell r="P90">
            <v>2586.1559999999999</v>
          </cell>
          <cell r="Q90">
            <v>0</v>
          </cell>
          <cell r="R90">
            <v>0</v>
          </cell>
          <cell r="S90">
            <v>7247.7078787878781</v>
          </cell>
          <cell r="T90">
            <v>3771.5508606060603</v>
          </cell>
          <cell r="U90">
            <v>0</v>
          </cell>
          <cell r="V90">
            <v>0</v>
          </cell>
          <cell r="W90">
            <v>0</v>
          </cell>
          <cell r="X90">
            <v>0</v>
          </cell>
          <cell r="Y90">
            <v>0</v>
          </cell>
          <cell r="Z90">
            <v>0</v>
          </cell>
          <cell r="AA90">
            <v>0</v>
          </cell>
          <cell r="AB90">
            <v>0</v>
          </cell>
          <cell r="AC90">
            <v>0</v>
          </cell>
          <cell r="AD90">
            <v>0</v>
          </cell>
          <cell r="AE90">
            <v>0</v>
          </cell>
          <cell r="AF90">
            <v>0</v>
          </cell>
        </row>
        <row r="91">
          <cell r="C91">
            <v>5155.0906666666669</v>
          </cell>
          <cell r="D91">
            <v>4682.3559999999998</v>
          </cell>
          <cell r="E91">
            <v>473.06800000000004</v>
          </cell>
          <cell r="I91">
            <v>1754.3098245614035</v>
          </cell>
          <cell r="J91">
            <v>5683.5263157894733</v>
          </cell>
          <cell r="K91">
            <v>3206.467894736842</v>
          </cell>
          <cell r="L91">
            <v>2466.0584210526313</v>
          </cell>
          <cell r="M91">
            <v>13401.17543859649</v>
          </cell>
          <cell r="N91">
            <v>9336</v>
          </cell>
          <cell r="O91">
            <v>4065.1754385964914</v>
          </cell>
          <cell r="P91">
            <v>10489.423728813559</v>
          </cell>
          <cell r="Q91">
            <v>6721</v>
          </cell>
          <cell r="R91">
            <v>3768.4237288135591</v>
          </cell>
          <cell r="S91">
            <v>0</v>
          </cell>
          <cell r="T91">
            <v>1129</v>
          </cell>
          <cell r="U91">
            <v>39085.52597442759</v>
          </cell>
          <cell r="V91">
            <v>23000.665824561402</v>
          </cell>
          <cell r="W91">
            <v>16084.86014986619</v>
          </cell>
          <cell r="X91">
            <v>16218.86014986619</v>
          </cell>
          <cell r="Y91">
            <v>184800</v>
          </cell>
          <cell r="Z91">
            <v>201018.86014986617</v>
          </cell>
          <cell r="AA91">
            <v>177009</v>
          </cell>
          <cell r="AB91">
            <v>378027.86014986626</v>
          </cell>
          <cell r="AC91">
            <v>16009</v>
          </cell>
          <cell r="AD91">
            <v>10689</v>
          </cell>
          <cell r="AE91">
            <v>3081.6658245614035</v>
          </cell>
          <cell r="AF91">
            <v>5197.8601498661919</v>
          </cell>
        </row>
        <row r="92">
          <cell r="C92">
            <v>1485.0906666666669</v>
          </cell>
          <cell r="D92">
            <v>1012.3559999999998</v>
          </cell>
          <cell r="E92">
            <v>473.06800000000004</v>
          </cell>
          <cell r="I92">
            <v>1729.3098245614035</v>
          </cell>
          <cell r="J92">
            <v>4172.5263157894733</v>
          </cell>
          <cell r="K92">
            <v>1695.467894736842</v>
          </cell>
          <cell r="L92">
            <v>2466.0584210526313</v>
          </cell>
          <cell r="M92">
            <v>2563.1754385964905</v>
          </cell>
          <cell r="N92">
            <v>1786</v>
          </cell>
          <cell r="O92">
            <v>777.1754385964914</v>
          </cell>
          <cell r="P92">
            <v>2218.4237288135591</v>
          </cell>
          <cell r="Q92">
            <v>1422</v>
          </cell>
          <cell r="R92">
            <v>796.42372881355914</v>
          </cell>
          <cell r="S92">
            <v>0</v>
          </cell>
          <cell r="T92">
            <v>1129</v>
          </cell>
          <cell r="U92">
            <v>14770.52597442759</v>
          </cell>
          <cell r="V92">
            <v>6456.6658245614017</v>
          </cell>
          <cell r="W92">
            <v>8313.8601498661901</v>
          </cell>
          <cell r="X92">
            <v>7802.8601498661901</v>
          </cell>
          <cell r="Y92">
            <v>65204</v>
          </cell>
          <cell r="Z92">
            <v>73006.860149866174</v>
          </cell>
          <cell r="AA92">
            <v>30183</v>
          </cell>
          <cell r="AB92">
            <v>103189.86014986626</v>
          </cell>
          <cell r="AC92">
            <v>3160</v>
          </cell>
          <cell r="AD92">
            <v>2918</v>
          </cell>
          <cell r="AE92">
            <v>3056.6658245614035</v>
          </cell>
          <cell r="AF92">
            <v>5197.8601498661919</v>
          </cell>
        </row>
        <row r="93">
          <cell r="C93">
            <v>88</v>
          </cell>
          <cell r="D93">
            <v>54</v>
          </cell>
          <cell r="E93">
            <v>34</v>
          </cell>
          <cell r="I93">
            <v>480.38</v>
          </cell>
          <cell r="J93">
            <v>669</v>
          </cell>
          <cell r="K93">
            <v>282.3363157894737</v>
          </cell>
          <cell r="L93">
            <v>386.6636842105263</v>
          </cell>
          <cell r="M93">
            <v>286</v>
          </cell>
          <cell r="N93">
            <v>199</v>
          </cell>
          <cell r="O93">
            <v>87</v>
          </cell>
          <cell r="P93">
            <v>125.61671126969965</v>
          </cell>
          <cell r="Q93">
            <v>80</v>
          </cell>
          <cell r="R93">
            <v>45.61671126969965</v>
          </cell>
          <cell r="S93">
            <v>0</v>
          </cell>
          <cell r="T93">
            <v>686</v>
          </cell>
          <cell r="U93">
            <v>1776.9967112696997</v>
          </cell>
          <cell r="V93">
            <v>906.38</v>
          </cell>
          <cell r="W93">
            <v>870.61671126969964</v>
          </cell>
          <cell r="X93">
            <v>0</v>
          </cell>
          <cell r="Y93">
            <v>0</v>
          </cell>
          <cell r="Z93">
            <v>0</v>
          </cell>
          <cell r="AA93">
            <v>0</v>
          </cell>
          <cell r="AB93">
            <v>0</v>
          </cell>
          <cell r="AC93">
            <v>149</v>
          </cell>
          <cell r="AD93">
            <v>233</v>
          </cell>
          <cell r="AE93">
            <v>599.3098245614035</v>
          </cell>
          <cell r="AF93">
            <v>385.1254831995243</v>
          </cell>
        </row>
        <row r="94">
          <cell r="C94">
            <v>950</v>
          </cell>
          <cell r="I94">
            <v>338</v>
          </cell>
          <cell r="J94">
            <v>541</v>
          </cell>
          <cell r="M94">
            <v>874</v>
          </cell>
          <cell r="P94">
            <v>450</v>
          </cell>
          <cell r="S94">
            <v>153</v>
          </cell>
          <cell r="T94">
            <v>0</v>
          </cell>
          <cell r="U94">
            <v>3306</v>
          </cell>
          <cell r="W94" t="e">
            <v>#REF!</v>
          </cell>
          <cell r="X94">
            <v>0</v>
          </cell>
          <cell r="Y94">
            <v>0</v>
          </cell>
          <cell r="Z94">
            <v>0</v>
          </cell>
          <cell r="AC94">
            <v>0</v>
          </cell>
          <cell r="AD94">
            <v>0</v>
          </cell>
          <cell r="AE94">
            <v>0</v>
          </cell>
          <cell r="AF94">
            <v>12</v>
          </cell>
        </row>
        <row r="95">
          <cell r="C95">
            <v>37</v>
          </cell>
          <cell r="I95">
            <v>338</v>
          </cell>
          <cell r="J95">
            <v>541</v>
          </cell>
          <cell r="M95">
            <v>385</v>
          </cell>
          <cell r="P95">
            <v>445</v>
          </cell>
          <cell r="S95">
            <v>8</v>
          </cell>
          <cell r="T95">
            <v>54</v>
          </cell>
          <cell r="U95">
            <v>1754</v>
          </cell>
          <cell r="W95" t="e">
            <v>#REF!</v>
          </cell>
        </row>
        <row r="96">
          <cell r="C96">
            <v>0</v>
          </cell>
          <cell r="I96">
            <v>0</v>
          </cell>
          <cell r="J96">
            <v>0</v>
          </cell>
          <cell r="M96">
            <v>489</v>
          </cell>
          <cell r="P96">
            <v>5</v>
          </cell>
          <cell r="S96">
            <v>0</v>
          </cell>
          <cell r="U96">
            <v>494</v>
          </cell>
          <cell r="W96" t="e">
            <v>#REF!</v>
          </cell>
        </row>
        <row r="97">
          <cell r="C97">
            <v>913</v>
          </cell>
          <cell r="I97">
            <v>0</v>
          </cell>
          <cell r="J97">
            <v>0</v>
          </cell>
          <cell r="M97">
            <v>0</v>
          </cell>
          <cell r="P97">
            <v>0</v>
          </cell>
          <cell r="Q97">
            <v>0</v>
          </cell>
          <cell r="R97">
            <v>0</v>
          </cell>
          <cell r="S97">
            <v>0</v>
          </cell>
          <cell r="T97">
            <v>3771.5508606060603</v>
          </cell>
          <cell r="U97">
            <v>913</v>
          </cell>
          <cell r="V97">
            <v>0</v>
          </cell>
          <cell r="W97">
            <v>0</v>
          </cell>
          <cell r="X97">
            <v>16562.486363636363</v>
          </cell>
          <cell r="Y97">
            <v>11736</v>
          </cell>
          <cell r="Z97">
            <v>4826.4863636363634</v>
          </cell>
          <cell r="AA97">
            <v>0</v>
          </cell>
          <cell r="AB97">
            <v>0</v>
          </cell>
          <cell r="AC97">
            <v>13534.196363636363</v>
          </cell>
          <cell r="AD97">
            <v>7091</v>
          </cell>
          <cell r="AE97">
            <v>6443.1963636363625</v>
          </cell>
          <cell r="AF97">
            <v>4706.9539393939394</v>
          </cell>
        </row>
        <row r="98">
          <cell r="C98" t="e">
            <v>#REF!</v>
          </cell>
          <cell r="I98" t="e">
            <v>#REF!</v>
          </cell>
          <cell r="J98" t="e">
            <v>#REF!</v>
          </cell>
          <cell r="M98" t="e">
            <v>#REF!</v>
          </cell>
          <cell r="P98">
            <v>2586.1559999999999</v>
          </cell>
          <cell r="Q98">
            <v>0</v>
          </cell>
          <cell r="R98">
            <v>0</v>
          </cell>
          <cell r="S98">
            <v>5649.7078787878781</v>
          </cell>
          <cell r="T98">
            <v>2173.5508606060603</v>
          </cell>
          <cell r="U98">
            <v>0</v>
          </cell>
          <cell r="V98">
            <v>0</v>
          </cell>
          <cell r="W98">
            <v>0</v>
          </cell>
          <cell r="X98">
            <v>2952.4863636363625</v>
          </cell>
          <cell r="Y98">
            <v>2091</v>
          </cell>
          <cell r="Z98">
            <v>861.48636363636342</v>
          </cell>
          <cell r="AA98">
            <v>0</v>
          </cell>
          <cell r="AB98">
            <v>0</v>
          </cell>
          <cell r="AC98">
            <v>1945.1963636363635</v>
          </cell>
          <cell r="AD98">
            <v>1019</v>
          </cell>
          <cell r="AE98">
            <v>926.19636363636255</v>
          </cell>
          <cell r="AF98">
            <v>4706.9539393939394</v>
          </cell>
        </row>
        <row r="99">
          <cell r="C99" t="e">
            <v>#REF!</v>
          </cell>
          <cell r="I99" t="e">
            <v>#REF!</v>
          </cell>
          <cell r="J99" t="e">
            <v>#REF!</v>
          </cell>
          <cell r="M99" t="e">
            <v>#REF!</v>
          </cell>
          <cell r="P99">
            <v>1565</v>
          </cell>
          <cell r="S99">
            <v>4895.1499999999996</v>
          </cell>
          <cell r="U99">
            <v>0</v>
          </cell>
          <cell r="V99">
            <v>0</v>
          </cell>
          <cell r="W99" t="e">
            <v>#REF!</v>
          </cell>
          <cell r="X99">
            <v>290</v>
          </cell>
          <cell r="AC99">
            <v>85</v>
          </cell>
          <cell r="AF99">
            <v>5</v>
          </cell>
        </row>
        <row r="100">
          <cell r="C100">
            <v>1058</v>
          </cell>
          <cell r="I100">
            <v>1</v>
          </cell>
          <cell r="J100">
            <v>2</v>
          </cell>
          <cell r="M100">
            <v>0</v>
          </cell>
          <cell r="P100">
            <v>31</v>
          </cell>
          <cell r="S100">
            <v>1</v>
          </cell>
          <cell r="U100">
            <v>1093</v>
          </cell>
          <cell r="W100" t="e">
            <v>#REF!</v>
          </cell>
          <cell r="X100">
            <v>290</v>
          </cell>
          <cell r="AC100">
            <v>85</v>
          </cell>
          <cell r="AF100">
            <v>5</v>
          </cell>
        </row>
        <row r="101">
          <cell r="C101">
            <v>913</v>
          </cell>
          <cell r="I101">
            <v>0</v>
          </cell>
          <cell r="J101">
            <v>0</v>
          </cell>
          <cell r="M101">
            <v>0</v>
          </cell>
          <cell r="P101">
            <v>0</v>
          </cell>
          <cell r="S101">
            <v>0</v>
          </cell>
          <cell r="U101">
            <v>913</v>
          </cell>
          <cell r="V101">
            <v>0</v>
          </cell>
          <cell r="W101" t="e">
            <v>#REF!</v>
          </cell>
          <cell r="X101">
            <v>109.5</v>
          </cell>
          <cell r="AC101">
            <v>85</v>
          </cell>
        </row>
        <row r="102">
          <cell r="C102">
            <v>50</v>
          </cell>
          <cell r="I102">
            <v>0</v>
          </cell>
          <cell r="J102">
            <v>0</v>
          </cell>
          <cell r="M102">
            <v>0</v>
          </cell>
          <cell r="P102">
            <v>0</v>
          </cell>
          <cell r="S102">
            <v>0</v>
          </cell>
          <cell r="U102">
            <v>50</v>
          </cell>
          <cell r="W102" t="e">
            <v>#REF!</v>
          </cell>
          <cell r="X102">
            <v>0</v>
          </cell>
          <cell r="AC102">
            <v>0</v>
          </cell>
          <cell r="AF102">
            <v>0</v>
          </cell>
        </row>
        <row r="103">
          <cell r="C103">
            <v>95</v>
          </cell>
          <cell r="I103">
            <v>1</v>
          </cell>
          <cell r="J103">
            <v>2</v>
          </cell>
          <cell r="M103" t="e">
            <v>#REF!</v>
          </cell>
          <cell r="P103">
            <v>31</v>
          </cell>
          <cell r="S103">
            <v>1</v>
          </cell>
          <cell r="T103">
            <v>10</v>
          </cell>
          <cell r="U103">
            <v>130</v>
          </cell>
          <cell r="W103" t="e">
            <v>#REF!</v>
          </cell>
        </row>
        <row r="104">
          <cell r="C104">
            <v>3285</v>
          </cell>
          <cell r="I104">
            <v>25</v>
          </cell>
          <cell r="J104">
            <v>59</v>
          </cell>
          <cell r="M104">
            <v>22</v>
          </cell>
          <cell r="P104">
            <v>-14</v>
          </cell>
          <cell r="S104">
            <v>539</v>
          </cell>
          <cell r="T104">
            <v>10</v>
          </cell>
          <cell r="U104">
            <v>3922</v>
          </cell>
          <cell r="W104" t="e">
            <v>#REF!</v>
          </cell>
          <cell r="X104">
            <v>80</v>
          </cell>
          <cell r="AC104">
            <v>85</v>
          </cell>
        </row>
        <row r="105">
          <cell r="C105">
            <v>0</v>
          </cell>
          <cell r="I105">
            <v>0</v>
          </cell>
          <cell r="J105" t="e">
            <v>#REF!</v>
          </cell>
          <cell r="M105" t="e">
            <v>#REF!</v>
          </cell>
          <cell r="P105">
            <v>0</v>
          </cell>
          <cell r="S105">
            <v>261</v>
          </cell>
          <cell r="U105">
            <v>261</v>
          </cell>
          <cell r="W105" t="e">
            <v>#REF!</v>
          </cell>
          <cell r="X105">
            <v>0</v>
          </cell>
        </row>
        <row r="106">
          <cell r="C106">
            <v>3285</v>
          </cell>
          <cell r="I106">
            <v>25</v>
          </cell>
          <cell r="J106">
            <v>59</v>
          </cell>
          <cell r="M106">
            <v>22</v>
          </cell>
          <cell r="P106">
            <v>-14</v>
          </cell>
          <cell r="S106">
            <v>278</v>
          </cell>
          <cell r="T106">
            <v>55</v>
          </cell>
          <cell r="U106">
            <v>3661</v>
          </cell>
          <cell r="V106" t="e">
            <v>#REF!</v>
          </cell>
          <cell r="W106" t="e">
            <v>#REF!</v>
          </cell>
          <cell r="X106">
            <v>80</v>
          </cell>
          <cell r="Y106">
            <v>0</v>
          </cell>
          <cell r="AC106">
            <v>85</v>
          </cell>
        </row>
        <row r="107">
          <cell r="C107">
            <v>0</v>
          </cell>
          <cell r="I107">
            <v>420</v>
          </cell>
          <cell r="J107">
            <v>656</v>
          </cell>
          <cell r="M107" t="e">
            <v>#REF!</v>
          </cell>
          <cell r="P107">
            <v>0</v>
          </cell>
          <cell r="T107">
            <v>55</v>
          </cell>
          <cell r="U107">
            <v>-38.052597442759001</v>
          </cell>
          <cell r="V107">
            <v>-38.052597442759001</v>
          </cell>
          <cell r="W107">
            <v>0</v>
          </cell>
        </row>
        <row r="108">
          <cell r="C108">
            <v>-808</v>
          </cell>
          <cell r="D108">
            <v>0</v>
          </cell>
          <cell r="E108">
            <v>0</v>
          </cell>
          <cell r="I108">
            <v>420</v>
          </cell>
          <cell r="J108">
            <v>656</v>
          </cell>
          <cell r="M108" t="e">
            <v>#REF!</v>
          </cell>
          <cell r="N108">
            <v>0</v>
          </cell>
          <cell r="O108">
            <v>0</v>
          </cell>
          <cell r="P108" t="e">
            <v>#REF!</v>
          </cell>
          <cell r="Q108">
            <v>0</v>
          </cell>
          <cell r="R108">
            <v>0</v>
          </cell>
          <cell r="S108" t="e">
            <v>#REF!</v>
          </cell>
          <cell r="T108">
            <v>0</v>
          </cell>
          <cell r="U108">
            <v>268</v>
          </cell>
          <cell r="V108" t="e">
            <v>#REF!</v>
          </cell>
          <cell r="W108">
            <v>0</v>
          </cell>
          <cell r="X108">
            <v>0</v>
          </cell>
          <cell r="Y108">
            <v>0</v>
          </cell>
          <cell r="Z108">
            <v>0</v>
          </cell>
          <cell r="AA108">
            <v>0</v>
          </cell>
        </row>
        <row r="109">
          <cell r="C109">
            <v>0</v>
          </cell>
          <cell r="D109">
            <v>0</v>
          </cell>
          <cell r="E109">
            <v>0</v>
          </cell>
          <cell r="I109" t="e">
            <v>#REF!</v>
          </cell>
          <cell r="J109" t="e">
            <v>#REF!</v>
          </cell>
          <cell r="M109">
            <v>0</v>
          </cell>
          <cell r="N109">
            <v>0</v>
          </cell>
          <cell r="O109">
            <v>0</v>
          </cell>
          <cell r="P109">
            <v>0</v>
          </cell>
          <cell r="S109">
            <v>-17.850000000000364</v>
          </cell>
          <cell r="T109">
            <v>0</v>
          </cell>
          <cell r="U109">
            <v>0</v>
          </cell>
          <cell r="V109">
            <v>0</v>
          </cell>
          <cell r="W109">
            <v>0</v>
          </cell>
          <cell r="X109">
            <v>0</v>
          </cell>
          <cell r="AC109">
            <v>0</v>
          </cell>
          <cell r="AF109">
            <v>0</v>
          </cell>
        </row>
        <row r="110">
          <cell r="C110" t="e">
            <v>#REF!</v>
          </cell>
          <cell r="I110">
            <v>0</v>
          </cell>
          <cell r="J110">
            <v>0</v>
          </cell>
          <cell r="M110">
            <v>0</v>
          </cell>
          <cell r="P110">
            <v>0</v>
          </cell>
          <cell r="S110">
            <v>-17.850000000000364</v>
          </cell>
          <cell r="U110">
            <v>0</v>
          </cell>
          <cell r="W110" t="e">
            <v>#REF!</v>
          </cell>
          <cell r="AC110">
            <v>0</v>
          </cell>
          <cell r="AF110">
            <v>0</v>
          </cell>
        </row>
        <row r="111">
          <cell r="C111">
            <v>56.375</v>
          </cell>
          <cell r="I111">
            <v>213.25</v>
          </cell>
          <cell r="J111">
            <v>310.75</v>
          </cell>
          <cell r="M111">
            <v>114.125</v>
          </cell>
          <cell r="P111">
            <v>244.25</v>
          </cell>
          <cell r="S111">
            <v>537.625</v>
          </cell>
          <cell r="U111">
            <v>1568.5</v>
          </cell>
          <cell r="W111" t="e">
            <v>#REF!</v>
          </cell>
          <cell r="AC111">
            <v>0</v>
          </cell>
          <cell r="AF111">
            <v>0</v>
          </cell>
        </row>
        <row r="112">
          <cell r="C112">
            <v>1.25</v>
          </cell>
          <cell r="I112">
            <v>13</v>
          </cell>
          <cell r="J112">
            <v>9.3333333333333339</v>
          </cell>
          <cell r="M112">
            <v>0</v>
          </cell>
          <cell r="P112">
            <v>30</v>
          </cell>
          <cell r="S112">
            <v>0</v>
          </cell>
          <cell r="U112">
            <v>53.583333333333336</v>
          </cell>
          <cell r="V112" t="e">
            <v>#REF!</v>
          </cell>
          <cell r="W112" t="e">
            <v>#REF!</v>
          </cell>
          <cell r="X112">
            <v>0</v>
          </cell>
          <cell r="AC112">
            <v>0</v>
          </cell>
          <cell r="AF112">
            <v>0</v>
          </cell>
        </row>
        <row r="113">
          <cell r="C113">
            <v>-12710</v>
          </cell>
          <cell r="P113">
            <v>0</v>
          </cell>
          <cell r="S113">
            <v>18</v>
          </cell>
          <cell r="W113">
            <v>-12710</v>
          </cell>
          <cell r="X113">
            <v>0</v>
          </cell>
          <cell r="AC113">
            <v>0</v>
          </cell>
          <cell r="AF113">
            <v>0</v>
          </cell>
        </row>
        <row r="114">
          <cell r="C114" t="e">
            <v>#REF!</v>
          </cell>
          <cell r="P114">
            <v>0</v>
          </cell>
          <cell r="S114">
            <v>18</v>
          </cell>
          <cell r="U114" t="e">
            <v>#REF!</v>
          </cell>
          <cell r="V114" t="e">
            <v>#REF!</v>
          </cell>
          <cell r="W114" t="e">
            <v>#REF!</v>
          </cell>
          <cell r="X114">
            <v>0</v>
          </cell>
          <cell r="AC114">
            <v>0</v>
          </cell>
          <cell r="AF114">
            <v>0</v>
          </cell>
        </row>
        <row r="115">
          <cell r="C115">
            <v>0</v>
          </cell>
          <cell r="D115">
            <v>0</v>
          </cell>
          <cell r="E115">
            <v>0</v>
          </cell>
          <cell r="I115" t="e">
            <v>#REF!</v>
          </cell>
          <cell r="J115" t="e">
            <v>#REF!</v>
          </cell>
          <cell r="M115" t="e">
            <v>#REF!</v>
          </cell>
          <cell r="N115">
            <v>0</v>
          </cell>
          <cell r="O115">
            <v>0</v>
          </cell>
          <cell r="P115">
            <v>0</v>
          </cell>
          <cell r="Q115">
            <v>0</v>
          </cell>
          <cell r="R115">
            <v>0</v>
          </cell>
          <cell r="S115">
            <v>0</v>
          </cell>
          <cell r="T115">
            <v>65</v>
          </cell>
          <cell r="U115" t="e">
            <v>#REF!</v>
          </cell>
          <cell r="W115" t="e">
            <v>#REF!</v>
          </cell>
          <cell r="X115">
            <v>0</v>
          </cell>
          <cell r="Z115">
            <v>0</v>
          </cell>
          <cell r="AA115">
            <v>0</v>
          </cell>
          <cell r="AB115">
            <v>0</v>
          </cell>
          <cell r="AC115">
            <v>0</v>
          </cell>
          <cell r="AF115">
            <v>0</v>
          </cell>
        </row>
        <row r="116">
          <cell r="C116" t="e">
            <v>#REF!</v>
          </cell>
          <cell r="D116">
            <v>0</v>
          </cell>
          <cell r="E116">
            <v>0</v>
          </cell>
          <cell r="I116">
            <v>672.25</v>
          </cell>
          <cell r="J116">
            <v>1037.0833333333333</v>
          </cell>
          <cell r="M116">
            <v>136.125</v>
          </cell>
          <cell r="N116">
            <v>0</v>
          </cell>
          <cell r="O116">
            <v>0</v>
          </cell>
          <cell r="P116">
            <v>291.25</v>
          </cell>
          <cell r="Q116">
            <v>0</v>
          </cell>
          <cell r="R116">
            <v>0</v>
          </cell>
          <cell r="S116">
            <v>1077.625</v>
          </cell>
          <cell r="T116">
            <v>0</v>
          </cell>
          <cell r="U116">
            <v>7512.0307358905739</v>
          </cell>
          <cell r="V116" t="e">
            <v>#REF!</v>
          </cell>
          <cell r="W116" t="e">
            <v>#REF!</v>
          </cell>
          <cell r="AC116">
            <v>0</v>
          </cell>
          <cell r="AD116">
            <v>0</v>
          </cell>
          <cell r="AE116">
            <v>0</v>
          </cell>
          <cell r="AF116">
            <v>0</v>
          </cell>
        </row>
        <row r="117">
          <cell r="C117" t="e">
            <v>#REF!</v>
          </cell>
          <cell r="D117">
            <v>0</v>
          </cell>
          <cell r="E117">
            <v>0</v>
          </cell>
          <cell r="I117">
            <v>672.25</v>
          </cell>
          <cell r="J117">
            <v>1037.0833333333333</v>
          </cell>
          <cell r="M117">
            <v>136.125</v>
          </cell>
          <cell r="N117">
            <v>0</v>
          </cell>
          <cell r="O117">
            <v>0</v>
          </cell>
          <cell r="P117">
            <v>291.25</v>
          </cell>
          <cell r="S117">
            <v>1077.625</v>
          </cell>
          <cell r="T117">
            <v>0</v>
          </cell>
          <cell r="U117">
            <v>6599.0307358905739</v>
          </cell>
          <cell r="W117" t="e">
            <v>#REF!</v>
          </cell>
          <cell r="X117">
            <v>0</v>
          </cell>
          <cell r="Z117">
            <v>0</v>
          </cell>
        </row>
        <row r="118">
          <cell r="P118">
            <v>0</v>
          </cell>
          <cell r="S118">
            <v>0</v>
          </cell>
          <cell r="U118" t="e">
            <v>#REF!</v>
          </cell>
          <cell r="W118" t="e">
            <v>#REF!</v>
          </cell>
          <cell r="X118">
            <v>0</v>
          </cell>
          <cell r="AC118">
            <v>0</v>
          </cell>
        </row>
        <row r="119">
          <cell r="P119">
            <v>0</v>
          </cell>
          <cell r="S119">
            <v>0</v>
          </cell>
          <cell r="U119">
            <v>-230.79318209931299</v>
          </cell>
          <cell r="W119" t="e">
            <v>#REF!</v>
          </cell>
          <cell r="X119" t="e">
            <v>#REF!</v>
          </cell>
          <cell r="Y119" t="e">
            <v>#REF!</v>
          </cell>
          <cell r="AC119">
            <v>0</v>
          </cell>
        </row>
        <row r="120">
          <cell r="P120">
            <v>0</v>
          </cell>
          <cell r="S120">
            <v>0</v>
          </cell>
          <cell r="U120">
            <v>-380.52597442758997</v>
          </cell>
          <cell r="V120">
            <v>6725.3341754385983</v>
          </cell>
          <cell r="W120">
            <v>-7406.8601498661901</v>
          </cell>
          <cell r="X120" t="e">
            <v>#REF!</v>
          </cell>
          <cell r="AC120">
            <v>0</v>
          </cell>
          <cell r="AF120">
            <v>0</v>
          </cell>
        </row>
        <row r="121">
          <cell r="P121">
            <v>0</v>
          </cell>
          <cell r="S121">
            <v>0</v>
          </cell>
          <cell r="U121">
            <v>0</v>
          </cell>
          <cell r="W121">
            <v>0</v>
          </cell>
          <cell r="X121">
            <v>0</v>
          </cell>
          <cell r="Z121">
            <v>0</v>
          </cell>
          <cell r="AC121">
            <v>0</v>
          </cell>
        </row>
        <row r="122">
          <cell r="U122">
            <v>-149.73279232827699</v>
          </cell>
          <cell r="AC122">
            <v>0</v>
          </cell>
        </row>
        <row r="123">
          <cell r="S123">
            <v>0</v>
          </cell>
          <cell r="U123">
            <v>7.59</v>
          </cell>
          <cell r="X123">
            <v>0</v>
          </cell>
          <cell r="AF123">
            <v>0</v>
          </cell>
        </row>
        <row r="124">
          <cell r="U124">
            <v>0</v>
          </cell>
          <cell r="W124">
            <v>24998</v>
          </cell>
          <cell r="Y124">
            <v>24998</v>
          </cell>
          <cell r="Z124">
            <v>0</v>
          </cell>
          <cell r="AB124">
            <v>0</v>
          </cell>
        </row>
        <row r="125">
          <cell r="T125">
            <v>0</v>
          </cell>
          <cell r="U125">
            <v>8678</v>
          </cell>
          <cell r="W125">
            <v>8678</v>
          </cell>
          <cell r="X125" t="e">
            <v>#VALUE!</v>
          </cell>
          <cell r="Z125">
            <v>0</v>
          </cell>
          <cell r="AC125">
            <v>0</v>
          </cell>
          <cell r="AE125">
            <v>0</v>
          </cell>
        </row>
        <row r="126">
          <cell r="U126">
            <v>-7406.8601498661901</v>
          </cell>
          <cell r="V126">
            <v>25363</v>
          </cell>
          <cell r="W126">
            <v>30.79</v>
          </cell>
          <cell r="Z126" t="e">
            <v>#DIV/0!</v>
          </cell>
          <cell r="AC126">
            <v>0</v>
          </cell>
        </row>
        <row r="127">
          <cell r="U127">
            <v>30.45</v>
          </cell>
          <cell r="W127" t="e">
            <v>#REF!</v>
          </cell>
          <cell r="Z127" t="e">
            <v>#REF!</v>
          </cell>
          <cell r="AC127" t="e">
            <v>#DIV/0!</v>
          </cell>
        </row>
        <row r="128">
          <cell r="P128">
            <v>274</v>
          </cell>
          <cell r="Q128">
            <v>0</v>
          </cell>
          <cell r="R128">
            <v>0</v>
          </cell>
          <cell r="S128">
            <v>0.1499999999996362</v>
          </cell>
          <cell r="T128">
            <v>0</v>
          </cell>
          <cell r="U128">
            <v>56.44</v>
          </cell>
          <cell r="V128">
            <v>0</v>
          </cell>
          <cell r="W128">
            <v>0</v>
          </cell>
          <cell r="X128">
            <v>0</v>
          </cell>
          <cell r="Y128">
            <v>0</v>
          </cell>
          <cell r="Z128">
            <v>0</v>
          </cell>
          <cell r="AA128">
            <v>0</v>
          </cell>
          <cell r="AB128">
            <v>0</v>
          </cell>
          <cell r="AC128" t="e">
            <v>#DIV/0!</v>
          </cell>
          <cell r="AD128">
            <v>0</v>
          </cell>
          <cell r="AE128">
            <v>0</v>
          </cell>
          <cell r="AF128">
            <v>0</v>
          </cell>
        </row>
        <row r="129">
          <cell r="J129">
            <v>0</v>
          </cell>
          <cell r="P129">
            <v>548</v>
          </cell>
          <cell r="S129">
            <v>0.2999999999992724</v>
          </cell>
          <cell r="U129">
            <v>0</v>
          </cell>
          <cell r="X129">
            <v>0</v>
          </cell>
          <cell r="Y129">
            <v>0</v>
          </cell>
          <cell r="Z129">
            <v>0</v>
          </cell>
          <cell r="AC129">
            <v>0</v>
          </cell>
          <cell r="AD129">
            <v>0</v>
          </cell>
          <cell r="AE129">
            <v>0</v>
          </cell>
          <cell r="AF129">
            <v>0</v>
          </cell>
        </row>
        <row r="130">
          <cell r="W130">
            <v>11.87</v>
          </cell>
          <cell r="Z130" t="e">
            <v>#DIV/0!</v>
          </cell>
        </row>
        <row r="131">
          <cell r="T131">
            <v>0</v>
          </cell>
          <cell r="U131">
            <v>8.49</v>
          </cell>
          <cell r="V131">
            <v>25363</v>
          </cell>
          <cell r="W131">
            <v>0</v>
          </cell>
          <cell r="X131">
            <v>0</v>
          </cell>
          <cell r="AC131" t="e">
            <v>#DIV/0!</v>
          </cell>
        </row>
        <row r="132">
          <cell r="T132">
            <v>0</v>
          </cell>
          <cell r="U132">
            <v>0</v>
          </cell>
          <cell r="V132">
            <v>187.5</v>
          </cell>
          <cell r="W132" t="e">
            <v>#REF!</v>
          </cell>
          <cell r="Z132" t="e">
            <v>#REF!</v>
          </cell>
        </row>
        <row r="133">
          <cell r="T133">
            <v>0</v>
          </cell>
          <cell r="U133">
            <v>6.57</v>
          </cell>
          <cell r="V133">
            <v>25550.5</v>
          </cell>
          <cell r="W133">
            <v>57083</v>
          </cell>
          <cell r="X133">
            <v>57083</v>
          </cell>
          <cell r="AC133" t="e">
            <v>#DIV/0!</v>
          </cell>
        </row>
        <row r="134">
          <cell r="U134">
            <v>29726</v>
          </cell>
          <cell r="V134">
            <v>29726</v>
          </cell>
          <cell r="X134" t="e">
            <v>#REF!</v>
          </cell>
          <cell r="Y134" t="e">
            <v>#VALUE!</v>
          </cell>
          <cell r="Z134" t="e">
            <v>#REF!</v>
          </cell>
          <cell r="AA134" t="e">
            <v>#REF!</v>
          </cell>
        </row>
        <row r="135">
          <cell r="T135">
            <v>300</v>
          </cell>
          <cell r="U135" t="e">
            <v>#REF!</v>
          </cell>
          <cell r="V135" t="e">
            <v>#REF!</v>
          </cell>
          <cell r="W135">
            <v>300</v>
          </cell>
        </row>
        <row r="136">
          <cell r="J136">
            <v>1</v>
          </cell>
          <cell r="T136">
            <v>300</v>
          </cell>
          <cell r="U136">
            <v>300</v>
          </cell>
          <cell r="W136">
            <v>1</v>
          </cell>
        </row>
        <row r="137">
          <cell r="C137">
            <v>0</v>
          </cell>
          <cell r="I137">
            <v>0</v>
          </cell>
          <cell r="J137">
            <v>1</v>
          </cell>
          <cell r="M137">
            <v>0</v>
          </cell>
          <cell r="P137">
            <v>0</v>
          </cell>
          <cell r="S137">
            <v>0</v>
          </cell>
          <cell r="T137">
            <v>142</v>
          </cell>
          <cell r="U137">
            <v>1</v>
          </cell>
        </row>
        <row r="138">
          <cell r="C138" t="e">
            <v>#REF!</v>
          </cell>
          <cell r="I138" t="e">
            <v>#REF!</v>
          </cell>
          <cell r="J138" t="e">
            <v>#REF!</v>
          </cell>
          <cell r="M138" t="e">
            <v>#REF!</v>
          </cell>
          <cell r="P138" t="e">
            <v>#REF!</v>
          </cell>
          <cell r="T138">
            <v>0</v>
          </cell>
          <cell r="U138" t="e">
            <v>#REF!</v>
          </cell>
          <cell r="W138">
            <v>82081</v>
          </cell>
          <cell r="X138">
            <v>57083</v>
          </cell>
          <cell r="Y138">
            <v>24998</v>
          </cell>
          <cell r="Z138">
            <v>0</v>
          </cell>
        </row>
        <row r="139">
          <cell r="C139">
            <v>40</v>
          </cell>
          <cell r="T139">
            <v>0</v>
          </cell>
          <cell r="U139">
            <v>38404</v>
          </cell>
          <cell r="V139">
            <v>29726</v>
          </cell>
          <cell r="W139">
            <v>8678</v>
          </cell>
          <cell r="X139">
            <v>0</v>
          </cell>
          <cell r="AC139">
            <v>0</v>
          </cell>
        </row>
        <row r="140">
          <cell r="U140">
            <v>0</v>
          </cell>
          <cell r="V140">
            <v>0</v>
          </cell>
          <cell r="W140">
            <v>82081</v>
          </cell>
          <cell r="X140">
            <v>57083</v>
          </cell>
          <cell r="Y140">
            <v>24998</v>
          </cell>
        </row>
        <row r="141">
          <cell r="U141">
            <v>38404</v>
          </cell>
          <cell r="V141">
            <v>29726</v>
          </cell>
          <cell r="W141">
            <v>8678</v>
          </cell>
          <cell r="Z141" t="e">
            <v>#REF!</v>
          </cell>
          <cell r="AA141" t="e">
            <v>#REF!</v>
          </cell>
          <cell r="AB141" t="e">
            <v>#REF!</v>
          </cell>
          <cell r="AC141" t="e">
            <v>#REF!</v>
          </cell>
        </row>
        <row r="142">
          <cell r="W142" t="e">
            <v>#REF!</v>
          </cell>
          <cell r="X142" t="e">
            <v>#REF!</v>
          </cell>
          <cell r="Y142" t="e">
            <v>#REF!</v>
          </cell>
          <cell r="AC142">
            <v>3160</v>
          </cell>
          <cell r="AD142">
            <v>2918</v>
          </cell>
          <cell r="AE142">
            <v>3056.6658245614035</v>
          </cell>
          <cell r="AF142">
            <v>5197.8601498661919</v>
          </cell>
        </row>
        <row r="143">
          <cell r="C143">
            <v>17.179166666666667</v>
          </cell>
          <cell r="U143">
            <v>-1</v>
          </cell>
          <cell r="V143">
            <v>29.2</v>
          </cell>
          <cell r="W143">
            <v>-46</v>
          </cell>
        </row>
        <row r="144">
          <cell r="C144">
            <v>0</v>
          </cell>
          <cell r="I144">
            <v>0</v>
          </cell>
          <cell r="J144">
            <v>0</v>
          </cell>
          <cell r="M144">
            <v>0</v>
          </cell>
          <cell r="N144" t="str">
            <v xml:space="preserve">                   КОРИГУВАННЯ   ПЛАНУ   НА   СЕРПЕНЬ  1998 р</v>
          </cell>
          <cell r="P144">
            <v>0</v>
          </cell>
          <cell r="S144">
            <v>0</v>
          </cell>
          <cell r="W144">
            <v>0</v>
          </cell>
        </row>
        <row r="145">
          <cell r="C145">
            <v>0</v>
          </cell>
          <cell r="I145">
            <v>0</v>
          </cell>
          <cell r="J145">
            <v>0</v>
          </cell>
          <cell r="M145">
            <v>0</v>
          </cell>
          <cell r="P145">
            <v>0</v>
          </cell>
          <cell r="S145">
            <v>0</v>
          </cell>
          <cell r="T145">
            <v>312</v>
          </cell>
          <cell r="U145">
            <v>0</v>
          </cell>
          <cell r="W145">
            <v>3847.9000000000005</v>
          </cell>
        </row>
        <row r="146">
          <cell r="C146">
            <v>80</v>
          </cell>
          <cell r="I146">
            <v>615</v>
          </cell>
          <cell r="J146">
            <v>1790</v>
          </cell>
          <cell r="M146">
            <v>592</v>
          </cell>
          <cell r="P146">
            <v>1325</v>
          </cell>
          <cell r="T146">
            <v>194</v>
          </cell>
          <cell r="U146">
            <v>4402</v>
          </cell>
          <cell r="W146">
            <v>2595.8000000000002</v>
          </cell>
        </row>
        <row r="147">
          <cell r="C147">
            <v>80</v>
          </cell>
          <cell r="I147">
            <v>300</v>
          </cell>
          <cell r="J147">
            <v>1360</v>
          </cell>
          <cell r="M147">
            <v>7</v>
          </cell>
          <cell r="P147">
            <v>1174</v>
          </cell>
          <cell r="U147">
            <v>2921</v>
          </cell>
          <cell r="W147">
            <v>0</v>
          </cell>
        </row>
        <row r="148">
          <cell r="I148">
            <v>0</v>
          </cell>
          <cell r="U148">
            <v>0</v>
          </cell>
          <cell r="W148">
            <v>0</v>
          </cell>
        </row>
        <row r="149">
          <cell r="I149">
            <v>0</v>
          </cell>
          <cell r="J149" t="e">
            <v>#REF!</v>
          </cell>
          <cell r="M149" t="e">
            <v>#REF!</v>
          </cell>
          <cell r="P149" t="e">
            <v>#REF!</v>
          </cell>
          <cell r="U149">
            <v>0</v>
          </cell>
          <cell r="W149" t="e">
            <v>#REF!</v>
          </cell>
        </row>
        <row r="150">
          <cell r="C150">
            <v>17.179166666666667</v>
          </cell>
          <cell r="I150">
            <v>35</v>
          </cell>
          <cell r="J150">
            <v>282</v>
          </cell>
          <cell r="K150">
            <v>0</v>
          </cell>
          <cell r="L150">
            <v>0</v>
          </cell>
          <cell r="M150">
            <v>0</v>
          </cell>
          <cell r="N150" t="e">
            <v>#REF!</v>
          </cell>
          <cell r="O150">
            <v>0</v>
          </cell>
          <cell r="P150">
            <v>0</v>
          </cell>
          <cell r="S150">
            <v>0</v>
          </cell>
          <cell r="T150">
            <v>630</v>
          </cell>
          <cell r="U150">
            <v>317</v>
          </cell>
          <cell r="W150">
            <v>1774.0124999999998</v>
          </cell>
        </row>
        <row r="151">
          <cell r="C151">
            <v>17.179166666666667</v>
          </cell>
          <cell r="I151">
            <v>502</v>
          </cell>
          <cell r="J151">
            <v>1041.8333333333333</v>
          </cell>
          <cell r="M151">
            <v>213</v>
          </cell>
          <cell r="U151">
            <v>1774.0124999999998</v>
          </cell>
          <cell r="W151">
            <v>0</v>
          </cell>
        </row>
        <row r="152">
          <cell r="C152">
            <v>0</v>
          </cell>
          <cell r="I152">
            <v>0</v>
          </cell>
          <cell r="J152">
            <v>0</v>
          </cell>
          <cell r="M152">
            <v>0</v>
          </cell>
          <cell r="P152" t="e">
            <v>#REF!</v>
          </cell>
          <cell r="U152">
            <v>0</v>
          </cell>
          <cell r="W152" t="e">
            <v>#REF!</v>
          </cell>
        </row>
        <row r="153">
          <cell r="C153">
            <v>80</v>
          </cell>
          <cell r="I153">
            <v>580</v>
          </cell>
          <cell r="J153">
            <v>1508</v>
          </cell>
          <cell r="M153">
            <v>592</v>
          </cell>
          <cell r="P153">
            <v>1325</v>
          </cell>
          <cell r="U153">
            <v>4085</v>
          </cell>
          <cell r="W153" t="e">
            <v>#REF!</v>
          </cell>
        </row>
        <row r="154">
          <cell r="C154">
            <v>80</v>
          </cell>
          <cell r="I154">
            <v>580</v>
          </cell>
          <cell r="J154">
            <v>1508</v>
          </cell>
          <cell r="M154">
            <v>592</v>
          </cell>
          <cell r="P154">
            <v>1325</v>
          </cell>
          <cell r="W154" t="e">
            <v>#REF!</v>
          </cell>
          <cell r="Y154">
            <v>1507.2</v>
          </cell>
        </row>
        <row r="155">
          <cell r="I155">
            <v>0</v>
          </cell>
          <cell r="J155">
            <v>0</v>
          </cell>
          <cell r="M155">
            <v>0</v>
          </cell>
          <cell r="O155">
            <v>250</v>
          </cell>
          <cell r="P155">
            <v>0</v>
          </cell>
          <cell r="U155">
            <v>0</v>
          </cell>
          <cell r="W155">
            <v>-798.66666666666674</v>
          </cell>
          <cell r="X155" t="str">
            <v>ОЧИК.18.02.</v>
          </cell>
        </row>
        <row r="156">
          <cell r="I156">
            <v>0</v>
          </cell>
          <cell r="J156">
            <v>-298</v>
          </cell>
          <cell r="M156">
            <v>-180</v>
          </cell>
          <cell r="P156">
            <v>-100</v>
          </cell>
          <cell r="U156">
            <v>-578</v>
          </cell>
          <cell r="W156">
            <v>0</v>
          </cell>
        </row>
        <row r="157">
          <cell r="C157" t="e">
            <v>#REF!</v>
          </cell>
          <cell r="D157" t="str">
            <v>АПАРАТ ЕЛЕКТРО</v>
          </cell>
          <cell r="E157" t="str">
            <v>АПАРАТ ТЕПЛО</v>
          </cell>
          <cell r="I157">
            <v>0</v>
          </cell>
          <cell r="J157" t="e">
            <v>#REF!</v>
          </cell>
          <cell r="K157">
            <v>0</v>
          </cell>
          <cell r="L157">
            <v>0</v>
          </cell>
          <cell r="M157" t="e">
            <v>#REF!</v>
          </cell>
          <cell r="N157">
            <v>0</v>
          </cell>
          <cell r="O157">
            <v>0</v>
          </cell>
          <cell r="P157" t="e">
            <v>#REF!</v>
          </cell>
          <cell r="Q157" t="str">
            <v>Е/Е</v>
          </cell>
          <cell r="R157" t="str">
            <v xml:space="preserve"> Т/Е</v>
          </cell>
          <cell r="S157">
            <v>171</v>
          </cell>
          <cell r="T157">
            <v>205</v>
          </cell>
          <cell r="U157">
            <v>0</v>
          </cell>
          <cell r="V157" t="str">
            <v>Е/Е</v>
          </cell>
          <cell r="W157" t="e">
            <v>#REF!</v>
          </cell>
          <cell r="X157" t="str">
            <v>СТАНЦІї ЕЛЕКТРО</v>
          </cell>
          <cell r="Y157" t="str">
            <v>СТАНЦІІ ТЕПЛОВІ</v>
          </cell>
          <cell r="Z157" t="str">
            <v>МЕРЕЖІ ЕЛЕКТРО</v>
          </cell>
          <cell r="AA157" t="str">
            <v>МЕРЕЖІ ТЕПЛОВІ</v>
          </cell>
        </row>
        <row r="158">
          <cell r="C158">
            <v>950</v>
          </cell>
          <cell r="I158">
            <v>758</v>
          </cell>
          <cell r="J158">
            <v>1197</v>
          </cell>
          <cell r="K158">
            <v>0</v>
          </cell>
          <cell r="L158">
            <v>0</v>
          </cell>
          <cell r="M158">
            <v>874</v>
          </cell>
          <cell r="N158">
            <v>0</v>
          </cell>
          <cell r="O158">
            <v>0</v>
          </cell>
          <cell r="P158">
            <v>450</v>
          </cell>
          <cell r="S158">
            <v>414</v>
          </cell>
          <cell r="T158">
            <v>630</v>
          </cell>
          <cell r="U158">
            <v>4643</v>
          </cell>
          <cell r="X158">
            <v>1.954</v>
          </cell>
          <cell r="Y158">
            <v>1.954</v>
          </cell>
          <cell r="Z158">
            <v>1.954</v>
          </cell>
          <cell r="AA158">
            <v>1.905</v>
          </cell>
        </row>
        <row r="159">
          <cell r="C159">
            <v>57</v>
          </cell>
          <cell r="O159">
            <v>250</v>
          </cell>
        </row>
        <row r="160">
          <cell r="C160">
            <v>57</v>
          </cell>
          <cell r="J160" t="e">
            <v>#REF!</v>
          </cell>
          <cell r="M160" t="e">
            <v>#REF!</v>
          </cell>
          <cell r="N160" t="e">
            <v>#REF!</v>
          </cell>
          <cell r="O160">
            <v>250</v>
          </cell>
          <cell r="P160">
            <v>0</v>
          </cell>
          <cell r="S160">
            <v>0</v>
          </cell>
          <cell r="U160" t="e">
            <v>#REF!</v>
          </cell>
          <cell r="X160">
            <v>0</v>
          </cell>
          <cell r="AC160">
            <v>0</v>
          </cell>
        </row>
        <row r="161">
          <cell r="C161">
            <v>0</v>
          </cell>
          <cell r="J161" t="e">
            <v>#REF!</v>
          </cell>
          <cell r="M161" t="e">
            <v>#REF!</v>
          </cell>
          <cell r="N161" t="e">
            <v>#REF!</v>
          </cell>
          <cell r="P161">
            <v>870.40000000000009</v>
          </cell>
          <cell r="S161">
            <v>1918.4</v>
          </cell>
          <cell r="U161" t="e">
            <v>#REF!</v>
          </cell>
          <cell r="X161">
            <v>903.2</v>
          </cell>
          <cell r="AA161" t="e">
            <v>#REF!</v>
          </cell>
          <cell r="AC161">
            <v>622.4</v>
          </cell>
          <cell r="AF161">
            <v>1475</v>
          </cell>
        </row>
        <row r="162">
          <cell r="I162">
            <v>0</v>
          </cell>
          <cell r="J162">
            <v>82.5</v>
          </cell>
          <cell r="M162">
            <v>82.5</v>
          </cell>
          <cell r="N162">
            <v>82.5</v>
          </cell>
          <cell r="P162">
            <v>510.40000000000003</v>
          </cell>
          <cell r="Q162">
            <v>63.33</v>
          </cell>
          <cell r="R162">
            <v>63.33</v>
          </cell>
          <cell r="S162">
            <v>1345</v>
          </cell>
          <cell r="T162">
            <v>63.33</v>
          </cell>
          <cell r="U162">
            <v>82.5</v>
          </cell>
          <cell r="X162">
            <v>837</v>
          </cell>
          <cell r="Z162" t="str">
            <v>ОЧИК.18.02.</v>
          </cell>
          <cell r="AC162">
            <v>468</v>
          </cell>
          <cell r="AD162" t="e">
            <v>#REF!</v>
          </cell>
          <cell r="AF162">
            <v>378</v>
          </cell>
        </row>
        <row r="163">
          <cell r="I163">
            <v>0</v>
          </cell>
          <cell r="J163" t="e">
            <v>#REF!</v>
          </cell>
          <cell r="M163" t="e">
            <v>#REF!</v>
          </cell>
          <cell r="N163" t="e">
            <v>#REF!</v>
          </cell>
          <cell r="P163">
            <v>120</v>
          </cell>
          <cell r="S163">
            <v>0</v>
          </cell>
          <cell r="U163" t="e">
            <v>#REF!</v>
          </cell>
          <cell r="X163">
            <v>126</v>
          </cell>
          <cell r="AC163" t="str">
            <v>ОЧИК.18.02.</v>
          </cell>
          <cell r="AF163">
            <v>100</v>
          </cell>
        </row>
        <row r="164">
          <cell r="C164" t="str">
            <v>АПАРАТ ВСЬОГО</v>
          </cell>
          <cell r="D164" t="str">
            <v>АПАРАТ ЕЛЕКТРО</v>
          </cell>
          <cell r="E164" t="str">
            <v>АПАРАТ ТЕПЛО</v>
          </cell>
          <cell r="I164" t="str">
            <v>ККМ</v>
          </cell>
          <cell r="J164" t="str">
            <v>КТМ</v>
          </cell>
          <cell r="M164" t="str">
            <v>ТЕЦ-5 ВСЬОГО</v>
          </cell>
          <cell r="N164" t="str">
            <v>Е/Е</v>
          </cell>
          <cell r="O164" t="str">
            <v xml:space="preserve"> Т/Е</v>
          </cell>
          <cell r="P164">
            <v>70</v>
          </cell>
          <cell r="Q164" t="str">
            <v>Е/Е</v>
          </cell>
          <cell r="R164" t="str">
            <v xml:space="preserve"> Т/Е</v>
          </cell>
          <cell r="S164">
            <v>0</v>
          </cell>
          <cell r="T164" t="str">
            <v>ДОП.ВИР. СТ.ОРГ.</v>
          </cell>
          <cell r="U164" t="e">
            <v>#REF!</v>
          </cell>
          <cell r="W164" t="str">
            <v>АК КЕ ВСЬОГО</v>
          </cell>
          <cell r="X164">
            <v>107</v>
          </cell>
          <cell r="Y164" t="str">
            <v xml:space="preserve"> Т/Е</v>
          </cell>
          <cell r="Z164" t="str">
            <v>СТАНЦІї ЕЛЕКТРО</v>
          </cell>
          <cell r="AA164" t="str">
            <v>СТАНЦІІ ТЕПЛОВІ</v>
          </cell>
          <cell r="AB164" t="str">
            <v>МЕРЕЖІ ЕЛЕКТРО</v>
          </cell>
          <cell r="AC164">
            <v>41</v>
          </cell>
          <cell r="AF164">
            <v>80</v>
          </cell>
        </row>
        <row r="165">
          <cell r="C165" t="str">
            <v>АПАРАТ ВСЬОГО</v>
          </cell>
          <cell r="D165" t="str">
            <v>АПАРАТ ЕЛЕКТРО</v>
          </cell>
          <cell r="E165" t="str">
            <v>АПАРАТ ТЕПЛО</v>
          </cell>
          <cell r="I165" t="str">
            <v>ККМ</v>
          </cell>
          <cell r="J165" t="str">
            <v>КТМ</v>
          </cell>
          <cell r="K165">
            <v>2.78</v>
          </cell>
          <cell r="L165">
            <v>2.78</v>
          </cell>
          <cell r="M165" t="str">
            <v>ТЕЦ-5 ВСЬОГО</v>
          </cell>
          <cell r="N165" t="str">
            <v>Е/Е</v>
          </cell>
          <cell r="O165" t="str">
            <v xml:space="preserve"> Т/Е</v>
          </cell>
          <cell r="P165" t="str">
            <v>ТЕЦ-6 ВСЬОГО</v>
          </cell>
          <cell r="Q165" t="str">
            <v>Е/Е</v>
          </cell>
          <cell r="R165" t="str">
            <v xml:space="preserve"> Т/Е</v>
          </cell>
          <cell r="S165" t="str">
            <v xml:space="preserve">ДОП.ВИР. </v>
          </cell>
          <cell r="T165" t="str">
            <v>ДОП.ВИР. СТ.ОРГ.</v>
          </cell>
          <cell r="U165" t="str">
            <v>АК КЕ ВСЬОГО</v>
          </cell>
          <cell r="V165" t="str">
            <v>Е/Е</v>
          </cell>
          <cell r="W165" t="str">
            <v xml:space="preserve"> Т/Е</v>
          </cell>
          <cell r="Z165">
            <v>2.1804999999999999</v>
          </cell>
          <cell r="AA165">
            <v>2.1804999999999999</v>
          </cell>
          <cell r="AB165">
            <v>2.1804999999999999</v>
          </cell>
          <cell r="AC165" t="str">
            <v>СТАНЦІї ЕЛЕКТРО</v>
          </cell>
          <cell r="AD165" t="str">
            <v>СТАНЦІІ ТЕПЛОВІ</v>
          </cell>
          <cell r="AE165" t="str">
            <v>МЕРЕЖІ ЕЛЕКТРО</v>
          </cell>
          <cell r="AF165" t="str">
            <v>МЕРЕЖІ ТЕПЛОВІ</v>
          </cell>
        </row>
        <row r="166">
          <cell r="C166">
            <v>2.1149</v>
          </cell>
          <cell r="J166">
            <v>2.1435</v>
          </cell>
          <cell r="M166">
            <v>2.1435</v>
          </cell>
          <cell r="N166">
            <v>2.1435</v>
          </cell>
          <cell r="O166">
            <v>2.1435</v>
          </cell>
          <cell r="P166">
            <v>2.1435</v>
          </cell>
          <cell r="Q166">
            <v>2.1435</v>
          </cell>
          <cell r="R166">
            <v>2.1435</v>
          </cell>
          <cell r="S166">
            <v>2.1435</v>
          </cell>
          <cell r="T166">
            <v>2.1435</v>
          </cell>
          <cell r="U166">
            <v>2.1435</v>
          </cell>
          <cell r="AC166">
            <v>2.1804999999999999</v>
          </cell>
          <cell r="AD166">
            <v>2.1804999999999999</v>
          </cell>
          <cell r="AE166">
            <v>2.1804999999999999</v>
          </cell>
          <cell r="AF166">
            <v>1.905</v>
          </cell>
        </row>
        <row r="167">
          <cell r="J167">
            <v>4.2000000000000028</v>
          </cell>
          <cell r="M167">
            <v>31.319999999999993</v>
          </cell>
          <cell r="N167" t="e">
            <v>#REF!</v>
          </cell>
          <cell r="P167">
            <v>153</v>
          </cell>
          <cell r="S167">
            <v>679.5454545454545</v>
          </cell>
          <cell r="U167" t="e">
            <v>#REF!</v>
          </cell>
          <cell r="W167">
            <v>57.239999999999995</v>
          </cell>
          <cell r="X167">
            <v>236.36363636363637</v>
          </cell>
          <cell r="Z167">
            <v>221.49122807017542</v>
          </cell>
          <cell r="AC167">
            <v>159.36363636363637</v>
          </cell>
          <cell r="AF167">
            <v>296.27272727272725</v>
          </cell>
        </row>
        <row r="168">
          <cell r="J168">
            <v>0.75</v>
          </cell>
          <cell r="M168">
            <v>26.159999999999997</v>
          </cell>
          <cell r="P168">
            <v>17.39</v>
          </cell>
          <cell r="S168">
            <v>1238.8545454545456</v>
          </cell>
          <cell r="U168">
            <v>44.3</v>
          </cell>
          <cell r="W168">
            <v>65.146999999999991</v>
          </cell>
          <cell r="X168">
            <v>666.83636363636367</v>
          </cell>
          <cell r="Z168">
            <v>252.49999999999997</v>
          </cell>
          <cell r="AC168">
            <v>221.49122807017542</v>
          </cell>
        </row>
        <row r="169">
          <cell r="I169">
            <v>0</v>
          </cell>
          <cell r="J169">
            <v>0.78999999999999915</v>
          </cell>
          <cell r="M169">
            <v>29.880000000000003</v>
          </cell>
          <cell r="P169">
            <v>19.82</v>
          </cell>
          <cell r="S169">
            <v>1918.4</v>
          </cell>
          <cell r="T169">
            <v>82.5</v>
          </cell>
          <cell r="U169">
            <v>50.49</v>
          </cell>
          <cell r="W169">
            <v>82.5</v>
          </cell>
          <cell r="X169">
            <v>903.2</v>
          </cell>
          <cell r="Z169">
            <v>66</v>
          </cell>
          <cell r="AC169">
            <v>252.49999999999997</v>
          </cell>
        </row>
        <row r="170">
          <cell r="I170">
            <v>0</v>
          </cell>
          <cell r="J170">
            <v>82.5</v>
          </cell>
          <cell r="M170">
            <v>82.5</v>
          </cell>
          <cell r="P170">
            <v>82.5</v>
          </cell>
          <cell r="S170">
            <v>82.5</v>
          </cell>
          <cell r="T170">
            <v>82.5</v>
          </cell>
          <cell r="U170">
            <v>82.5</v>
          </cell>
          <cell r="W170">
            <v>288.75</v>
          </cell>
          <cell r="X170">
            <v>0</v>
          </cell>
          <cell r="Z170">
            <v>143.91299999999998</v>
          </cell>
          <cell r="AC170">
            <v>66</v>
          </cell>
        </row>
        <row r="171">
          <cell r="I171">
            <v>0</v>
          </cell>
          <cell r="J171">
            <v>176.84</v>
          </cell>
          <cell r="M171">
            <v>176.84</v>
          </cell>
          <cell r="P171">
            <v>176.84</v>
          </cell>
          <cell r="S171">
            <v>0</v>
          </cell>
          <cell r="U171">
            <v>176.84</v>
          </cell>
          <cell r="W171">
            <v>16528</v>
          </cell>
          <cell r="X171">
            <v>0</v>
          </cell>
          <cell r="Z171">
            <v>31875</v>
          </cell>
          <cell r="AC171">
            <v>143.91299999999998</v>
          </cell>
          <cell r="AF171">
            <v>0</v>
          </cell>
        </row>
        <row r="172">
          <cell r="J172">
            <v>133</v>
          </cell>
          <cell r="M172">
            <v>4626</v>
          </cell>
          <cell r="P172">
            <v>3075</v>
          </cell>
          <cell r="Q172">
            <v>0</v>
          </cell>
          <cell r="R172">
            <v>0</v>
          </cell>
          <cell r="S172">
            <v>4913.1499999999996</v>
          </cell>
          <cell r="T172">
            <v>0</v>
          </cell>
          <cell r="U172">
            <v>7834</v>
          </cell>
          <cell r="V172">
            <v>0</v>
          </cell>
          <cell r="W172">
            <v>0</v>
          </cell>
          <cell r="X172">
            <v>290</v>
          </cell>
          <cell r="Y172">
            <v>0</v>
          </cell>
          <cell r="Z172">
            <v>0</v>
          </cell>
          <cell r="AA172">
            <v>0</v>
          </cell>
          <cell r="AB172">
            <v>0</v>
          </cell>
          <cell r="AC172">
            <v>31875</v>
          </cell>
          <cell r="AD172">
            <v>0</v>
          </cell>
          <cell r="AE172">
            <v>0</v>
          </cell>
          <cell r="AF172">
            <v>5</v>
          </cell>
        </row>
        <row r="173">
          <cell r="J173">
            <v>40.5</v>
          </cell>
          <cell r="M173">
            <v>48.28</v>
          </cell>
          <cell r="P173">
            <v>1565</v>
          </cell>
          <cell r="Q173">
            <v>0</v>
          </cell>
          <cell r="R173">
            <v>0</v>
          </cell>
          <cell r="S173">
            <v>4913.1499999999996</v>
          </cell>
          <cell r="T173">
            <v>0</v>
          </cell>
          <cell r="U173">
            <v>7834</v>
          </cell>
          <cell r="V173">
            <v>0</v>
          </cell>
          <cell r="W173">
            <v>0</v>
          </cell>
          <cell r="X173">
            <v>290</v>
          </cell>
          <cell r="Y173">
            <v>0</v>
          </cell>
          <cell r="Z173">
            <v>0</v>
          </cell>
          <cell r="AA173">
            <v>0</v>
          </cell>
          <cell r="AB173">
            <v>0</v>
          </cell>
          <cell r="AC173">
            <v>85</v>
          </cell>
          <cell r="AD173">
            <v>0</v>
          </cell>
          <cell r="AE173">
            <v>0</v>
          </cell>
          <cell r="AF173">
            <v>5</v>
          </cell>
        </row>
        <row r="174">
          <cell r="C174">
            <v>75</v>
          </cell>
          <cell r="I174">
            <v>75</v>
          </cell>
          <cell r="J174">
            <v>10.15</v>
          </cell>
          <cell r="M174">
            <v>38.94</v>
          </cell>
          <cell r="P174">
            <v>31.61</v>
          </cell>
          <cell r="R174">
            <v>0</v>
          </cell>
          <cell r="S174">
            <v>0</v>
          </cell>
          <cell r="T174">
            <v>0</v>
          </cell>
          <cell r="U174">
            <v>80.7</v>
          </cell>
          <cell r="V174">
            <v>0</v>
          </cell>
          <cell r="W174">
            <v>0</v>
          </cell>
          <cell r="X174">
            <v>0</v>
          </cell>
          <cell r="Y174">
            <v>0</v>
          </cell>
          <cell r="Z174">
            <v>0</v>
          </cell>
          <cell r="AA174">
            <v>0</v>
          </cell>
          <cell r="AB174">
            <v>0</v>
          </cell>
          <cell r="AC174">
            <v>0</v>
          </cell>
          <cell r="AE174">
            <v>0</v>
          </cell>
          <cell r="AF174">
            <v>0</v>
          </cell>
        </row>
        <row r="175">
          <cell r="J175">
            <v>11.56</v>
          </cell>
          <cell r="K175">
            <v>0</v>
          </cell>
          <cell r="L175">
            <v>0</v>
          </cell>
          <cell r="M175">
            <v>44.35</v>
          </cell>
          <cell r="P175">
            <v>36</v>
          </cell>
          <cell r="U175">
            <v>91.91</v>
          </cell>
          <cell r="W175">
            <v>63.33</v>
          </cell>
          <cell r="X175">
            <v>195.28</v>
          </cell>
        </row>
        <row r="176">
          <cell r="J176">
            <v>63.33</v>
          </cell>
          <cell r="M176">
            <v>63.33</v>
          </cell>
          <cell r="P176">
            <v>63.33</v>
          </cell>
          <cell r="U176">
            <v>63.33</v>
          </cell>
          <cell r="W176">
            <v>216.84</v>
          </cell>
          <cell r="X176">
            <v>14810</v>
          </cell>
        </row>
        <row r="177">
          <cell r="J177">
            <v>135.75</v>
          </cell>
          <cell r="M177">
            <v>135.75</v>
          </cell>
          <cell r="P177">
            <v>135.75</v>
          </cell>
          <cell r="U177">
            <v>135.75</v>
          </cell>
          <cell r="V177" t="e">
            <v>#REF!</v>
          </cell>
          <cell r="W177">
            <v>29438</v>
          </cell>
        </row>
        <row r="178">
          <cell r="J178">
            <v>1378</v>
          </cell>
          <cell r="M178">
            <v>5286</v>
          </cell>
          <cell r="N178" t="e">
            <v>#REF!</v>
          </cell>
          <cell r="O178" t="e">
            <v>#REF!</v>
          </cell>
          <cell r="P178">
            <v>4291</v>
          </cell>
          <cell r="Q178">
            <v>0</v>
          </cell>
          <cell r="R178">
            <v>0</v>
          </cell>
          <cell r="S178">
            <v>1900.3199999999997</v>
          </cell>
          <cell r="T178">
            <v>598.00952727272715</v>
          </cell>
          <cell r="U178">
            <v>10955</v>
          </cell>
          <cell r="V178">
            <v>0</v>
          </cell>
          <cell r="W178">
            <v>0</v>
          </cell>
          <cell r="X178">
            <v>643.65000000000009</v>
          </cell>
          <cell r="Y178">
            <v>74.900000000000006</v>
          </cell>
          <cell r="Z178">
            <v>281.5</v>
          </cell>
          <cell r="AA178">
            <v>0</v>
          </cell>
          <cell r="AB178">
            <v>0</v>
          </cell>
          <cell r="AC178">
            <v>537.76</v>
          </cell>
          <cell r="AF178">
            <v>1730.76</v>
          </cell>
        </row>
        <row r="179">
          <cell r="J179">
            <v>0</v>
          </cell>
          <cell r="M179">
            <v>0</v>
          </cell>
          <cell r="N179" t="e">
            <v>#REF!</v>
          </cell>
          <cell r="O179" t="e">
            <v>#REF!</v>
          </cell>
          <cell r="P179">
            <v>153</v>
          </cell>
          <cell r="Q179">
            <v>0</v>
          </cell>
          <cell r="R179">
            <v>0</v>
          </cell>
          <cell r="S179">
            <v>679.5454545454545</v>
          </cell>
          <cell r="T179">
            <v>0</v>
          </cell>
          <cell r="U179">
            <v>10955</v>
          </cell>
          <cell r="V179">
            <v>0</v>
          </cell>
          <cell r="W179">
            <v>0</v>
          </cell>
          <cell r="X179">
            <v>236.36363636363637</v>
          </cell>
          <cell r="Y179">
            <v>167</v>
          </cell>
          <cell r="Z179">
            <v>69.363636363636374</v>
          </cell>
          <cell r="AA179">
            <v>0</v>
          </cell>
          <cell r="AB179">
            <v>0</v>
          </cell>
          <cell r="AC179">
            <v>159.36363636363637</v>
          </cell>
          <cell r="AD179">
            <v>83</v>
          </cell>
          <cell r="AE179">
            <v>76.36363636363636</v>
          </cell>
          <cell r="AF179">
            <v>296.27272727272725</v>
          </cell>
        </row>
        <row r="180">
          <cell r="J180">
            <v>0</v>
          </cell>
          <cell r="M180">
            <v>4.3</v>
          </cell>
          <cell r="N180" t="e">
            <v>#REF!</v>
          </cell>
          <cell r="O180" t="e">
            <v>#REF!</v>
          </cell>
          <cell r="P180">
            <v>4.2</v>
          </cell>
          <cell r="Q180">
            <v>0</v>
          </cell>
          <cell r="R180">
            <v>0</v>
          </cell>
          <cell r="S180">
            <v>13.666666666666666</v>
          </cell>
          <cell r="T180">
            <v>13.666666666666666</v>
          </cell>
          <cell r="U180">
            <v>8.5</v>
          </cell>
          <cell r="V180">
            <v>0</v>
          </cell>
          <cell r="W180">
            <v>0</v>
          </cell>
          <cell r="X180">
            <v>708.80000000000007</v>
          </cell>
          <cell r="Y180">
            <v>121.7</v>
          </cell>
          <cell r="Z180">
            <v>103.9</v>
          </cell>
          <cell r="AA180">
            <v>0</v>
          </cell>
          <cell r="AB180">
            <v>0</v>
          </cell>
          <cell r="AC180">
            <v>75.839416058394164</v>
          </cell>
          <cell r="AF180">
            <v>12</v>
          </cell>
        </row>
        <row r="181">
          <cell r="C181">
            <v>75</v>
          </cell>
          <cell r="I181">
            <v>75</v>
          </cell>
          <cell r="J181">
            <v>0</v>
          </cell>
          <cell r="M181">
            <v>5.9</v>
          </cell>
          <cell r="P181">
            <v>5.8</v>
          </cell>
          <cell r="T181">
            <v>0</v>
          </cell>
          <cell r="U181">
            <v>11.7</v>
          </cell>
          <cell r="V181" t="e">
            <v>#REF!</v>
          </cell>
          <cell r="W181">
            <v>100.5</v>
          </cell>
          <cell r="X181">
            <v>52</v>
          </cell>
          <cell r="Y181">
            <v>52</v>
          </cell>
          <cell r="Z181">
            <v>89.557440953909662</v>
          </cell>
          <cell r="AC181">
            <v>103.9</v>
          </cell>
        </row>
        <row r="182">
          <cell r="C182">
            <v>75</v>
          </cell>
          <cell r="I182">
            <v>75</v>
          </cell>
          <cell r="J182">
            <v>100.5</v>
          </cell>
          <cell r="K182">
            <v>0</v>
          </cell>
          <cell r="L182">
            <v>0</v>
          </cell>
          <cell r="M182">
            <v>100.5</v>
          </cell>
          <cell r="P182">
            <v>100.5</v>
          </cell>
          <cell r="T182">
            <v>0</v>
          </cell>
          <cell r="U182">
            <v>100.5</v>
          </cell>
          <cell r="V182" t="e">
            <v>#REF!</v>
          </cell>
          <cell r="W182">
            <v>344.11199999999997</v>
          </cell>
          <cell r="X182">
            <v>43426</v>
          </cell>
          <cell r="Y182">
            <v>9167.3552188552203</v>
          </cell>
          <cell r="Z182">
            <v>195.28</v>
          </cell>
          <cell r="AC182">
            <v>89.557440953909662</v>
          </cell>
          <cell r="AF182">
            <v>75</v>
          </cell>
        </row>
        <row r="183">
          <cell r="J183">
            <v>215.42175</v>
          </cell>
          <cell r="K183">
            <v>0</v>
          </cell>
          <cell r="L183">
            <v>0</v>
          </cell>
          <cell r="M183">
            <v>215.42175</v>
          </cell>
          <cell r="P183">
            <v>215.42175</v>
          </cell>
          <cell r="S183">
            <v>1460.8666666666668</v>
          </cell>
          <cell r="U183">
            <v>215.42175</v>
          </cell>
          <cell r="W183">
            <v>0</v>
          </cell>
          <cell r="X183">
            <v>363.19999999999868</v>
          </cell>
          <cell r="Z183">
            <v>14810</v>
          </cell>
          <cell r="AC183">
            <v>195.28</v>
          </cell>
          <cell r="AF183">
            <v>1259.4666666666667</v>
          </cell>
        </row>
        <row r="184">
          <cell r="J184">
            <v>0</v>
          </cell>
          <cell r="M184">
            <v>926</v>
          </cell>
          <cell r="P184">
            <v>905</v>
          </cell>
          <cell r="U184">
            <v>1831</v>
          </cell>
          <cell r="W184">
            <v>0</v>
          </cell>
          <cell r="AC184">
            <v>14810</v>
          </cell>
        </row>
        <row r="185">
          <cell r="J185">
            <v>50.9</v>
          </cell>
          <cell r="M185">
            <v>90.6</v>
          </cell>
          <cell r="N185">
            <v>48.2</v>
          </cell>
          <cell r="O185">
            <v>42.399999999999991</v>
          </cell>
          <cell r="P185">
            <v>78.3</v>
          </cell>
          <cell r="Q185">
            <v>30.9</v>
          </cell>
          <cell r="R185">
            <v>47.4</v>
          </cell>
          <cell r="U185">
            <v>1831</v>
          </cell>
          <cell r="V185" t="str">
            <v>Е/Е</v>
          </cell>
          <cell r="W185">
            <v>219.79999999999998</v>
          </cell>
          <cell r="X185">
            <v>79.099999999999994</v>
          </cell>
          <cell r="Y185">
            <v>140.69999999999999</v>
          </cell>
          <cell r="Z185">
            <v>356.4</v>
          </cell>
          <cell r="AA185">
            <v>74.900000000000006</v>
          </cell>
          <cell r="AB185">
            <v>281.5</v>
          </cell>
        </row>
        <row r="186">
          <cell r="J186">
            <v>12.35</v>
          </cell>
          <cell r="M186">
            <v>80.13</v>
          </cell>
          <cell r="N186">
            <v>55.82</v>
          </cell>
          <cell r="O186">
            <v>24.309999999999995</v>
          </cell>
          <cell r="P186">
            <v>61.620000000000005</v>
          </cell>
          <cell r="Q186">
            <v>39.479999999999997</v>
          </cell>
          <cell r="R186">
            <v>22.140000000000008</v>
          </cell>
          <cell r="U186">
            <v>154.1</v>
          </cell>
          <cell r="V186">
            <v>95.3</v>
          </cell>
          <cell r="W186">
            <v>58.8</v>
          </cell>
          <cell r="X186">
            <v>17090</v>
          </cell>
          <cell r="Y186">
            <v>28877</v>
          </cell>
          <cell r="Z186">
            <v>46685</v>
          </cell>
          <cell r="AA186">
            <v>9811.1854657688</v>
          </cell>
          <cell r="AB186">
            <v>36873.814534231198</v>
          </cell>
          <cell r="AC186">
            <v>356.4</v>
          </cell>
          <cell r="AD186">
            <v>74.900000000000006</v>
          </cell>
          <cell r="AE186">
            <v>281.5</v>
          </cell>
        </row>
        <row r="187">
          <cell r="J187">
            <v>1511</v>
          </cell>
          <cell r="M187">
            <v>10838</v>
          </cell>
          <cell r="N187">
            <v>7550</v>
          </cell>
          <cell r="O187">
            <v>3288</v>
          </cell>
          <cell r="P187">
            <v>8271</v>
          </cell>
          <cell r="Q187">
            <v>5299</v>
          </cell>
          <cell r="R187">
            <v>2972</v>
          </cell>
          <cell r="S187" t="str">
            <v>КТМ</v>
          </cell>
          <cell r="T187">
            <v>0</v>
          </cell>
          <cell r="U187">
            <v>20620</v>
          </cell>
          <cell r="V187">
            <v>12849</v>
          </cell>
          <cell r="W187">
            <v>7771</v>
          </cell>
          <cell r="X187" t="str">
            <v>ТЕЦ-5 ВСЬОГО</v>
          </cell>
          <cell r="Y187" t="str">
            <v>Е/Е</v>
          </cell>
          <cell r="Z187" t="str">
            <v xml:space="preserve"> Т/Е</v>
          </cell>
          <cell r="AA187">
            <v>130.99</v>
          </cell>
          <cell r="AB187">
            <v>130.99</v>
          </cell>
          <cell r="AC187">
            <v>46685</v>
          </cell>
          <cell r="AD187">
            <v>9811.1854657688</v>
          </cell>
          <cell r="AE187">
            <v>36873.814534231198</v>
          </cell>
          <cell r="AF187" t="str">
            <v>Е/Е</v>
          </cell>
        </row>
        <row r="188">
          <cell r="J188">
            <v>122.35</v>
          </cell>
          <cell r="M188">
            <v>135.26</v>
          </cell>
          <cell r="N188">
            <v>135.26</v>
          </cell>
          <cell r="O188">
            <v>135.25</v>
          </cell>
          <cell r="P188">
            <v>134.22999999999999</v>
          </cell>
          <cell r="Q188">
            <v>134.22</v>
          </cell>
          <cell r="R188">
            <v>134.24</v>
          </cell>
          <cell r="S188">
            <v>0</v>
          </cell>
          <cell r="T188">
            <v>0</v>
          </cell>
          <cell r="U188">
            <v>133.81</v>
          </cell>
          <cell r="V188">
            <v>134.83000000000001</v>
          </cell>
          <cell r="W188">
            <v>132.16</v>
          </cell>
          <cell r="X188" t="e">
            <v>#REF!</v>
          </cell>
          <cell r="Y188" t="e">
            <v>#REF!</v>
          </cell>
          <cell r="Z188">
            <v>52</v>
          </cell>
          <cell r="AA188">
            <v>52</v>
          </cell>
          <cell r="AC188">
            <v>130.99</v>
          </cell>
          <cell r="AD188">
            <v>130.99</v>
          </cell>
          <cell r="AE188">
            <v>130.99</v>
          </cell>
          <cell r="AF188">
            <v>0</v>
          </cell>
        </row>
        <row r="189">
          <cell r="M189">
            <v>19746</v>
          </cell>
          <cell r="N189">
            <v>110.89999999999998</v>
          </cell>
          <cell r="O189">
            <v>-52.500000000000014</v>
          </cell>
          <cell r="P189">
            <v>16686</v>
          </cell>
          <cell r="Q189">
            <v>102.69999999999999</v>
          </cell>
          <cell r="R189">
            <v>-47.700000000000017</v>
          </cell>
          <cell r="U189">
            <v>25</v>
          </cell>
          <cell r="V189">
            <v>25</v>
          </cell>
          <cell r="W189">
            <v>0</v>
          </cell>
          <cell r="X189" t="e">
            <v>#REF!</v>
          </cell>
          <cell r="Y189" t="e">
            <v>#REF!</v>
          </cell>
          <cell r="Z189">
            <v>46737</v>
          </cell>
          <cell r="AA189">
            <v>9863.1854657688</v>
          </cell>
          <cell r="AB189">
            <v>36873.814534231198</v>
          </cell>
          <cell r="AC189">
            <v>52</v>
          </cell>
          <cell r="AD189">
            <v>52</v>
          </cell>
        </row>
        <row r="190">
          <cell r="M190">
            <v>10838</v>
          </cell>
          <cell r="N190" t="e">
            <v>#REF!</v>
          </cell>
          <cell r="O190" t="e">
            <v>#REF!</v>
          </cell>
          <cell r="P190">
            <v>8271</v>
          </cell>
          <cell r="Q190" t="e">
            <v>#REF!</v>
          </cell>
          <cell r="R190" t="e">
            <v>#REF!</v>
          </cell>
          <cell r="S190">
            <v>8.3000000000000007</v>
          </cell>
          <cell r="U190">
            <v>20645</v>
          </cell>
          <cell r="V190">
            <v>12874</v>
          </cell>
          <cell r="W190">
            <v>7771</v>
          </cell>
          <cell r="X190">
            <v>70.7</v>
          </cell>
          <cell r="AC190">
            <v>46737</v>
          </cell>
          <cell r="AD190">
            <v>9863.1854657688</v>
          </cell>
          <cell r="AE190">
            <v>36873.814534231198</v>
          </cell>
        </row>
        <row r="191">
          <cell r="N191" t="e">
            <v>#REF!</v>
          </cell>
          <cell r="O191" t="e">
            <v>#REF!</v>
          </cell>
          <cell r="Q191" t="e">
            <v>#REF!</v>
          </cell>
          <cell r="R191" t="e">
            <v>#REF!</v>
          </cell>
          <cell r="S191">
            <v>9.5</v>
          </cell>
          <cell r="X191">
            <v>81</v>
          </cell>
          <cell r="AC191">
            <v>68.900000000000006</v>
          </cell>
        </row>
        <row r="192">
          <cell r="N192" t="e">
            <v>#REF!</v>
          </cell>
          <cell r="O192" t="e">
            <v>#REF!</v>
          </cell>
          <cell r="P192">
            <v>0</v>
          </cell>
          <cell r="Q192" t="e">
            <v>#REF!</v>
          </cell>
          <cell r="R192" t="e">
            <v>#REF!</v>
          </cell>
          <cell r="S192">
            <v>0</v>
          </cell>
          <cell r="V192" t="e">
            <v>#REF!</v>
          </cell>
          <cell r="W192" t="e">
            <v>#REF!</v>
          </cell>
          <cell r="X192">
            <v>0</v>
          </cell>
          <cell r="AC192">
            <v>0</v>
          </cell>
        </row>
        <row r="193">
          <cell r="P193">
            <v>0</v>
          </cell>
          <cell r="S193">
            <v>192.5</v>
          </cell>
          <cell r="X193">
            <v>192.5</v>
          </cell>
          <cell r="AC193">
            <v>192.5</v>
          </cell>
        </row>
        <row r="194">
          <cell r="S194">
            <v>1598</v>
          </cell>
          <cell r="X194">
            <v>4948.1398501338099</v>
          </cell>
          <cell r="Z194">
            <v>4948.1398501338263</v>
          </cell>
          <cell r="AB194">
            <v>4948.1398501337389</v>
          </cell>
          <cell r="AC194">
            <v>11589</v>
          </cell>
        </row>
        <row r="196">
          <cell r="X196">
            <v>0</v>
          </cell>
          <cell r="AC196">
            <v>0</v>
          </cell>
        </row>
        <row r="197">
          <cell r="X197">
            <v>0</v>
          </cell>
          <cell r="AC197">
            <v>0</v>
          </cell>
        </row>
        <row r="198">
          <cell r="X198">
            <v>82.5</v>
          </cell>
          <cell r="Y198">
            <v>1507.2</v>
          </cell>
          <cell r="AC198">
            <v>82.5</v>
          </cell>
        </row>
        <row r="199">
          <cell r="X199">
            <v>0</v>
          </cell>
          <cell r="AC199">
            <v>0</v>
          </cell>
        </row>
        <row r="200">
          <cell r="S200">
            <v>0</v>
          </cell>
          <cell r="X200">
            <v>0</v>
          </cell>
          <cell r="AC200">
            <v>0</v>
          </cell>
        </row>
        <row r="202">
          <cell r="X202">
            <v>0</v>
          </cell>
          <cell r="AC202">
            <v>0</v>
          </cell>
        </row>
        <row r="203">
          <cell r="X203">
            <v>0</v>
          </cell>
          <cell r="AC203">
            <v>0</v>
          </cell>
        </row>
        <row r="204">
          <cell r="P204">
            <v>75</v>
          </cell>
        </row>
        <row r="205">
          <cell r="S205">
            <v>385</v>
          </cell>
          <cell r="X205">
            <v>385</v>
          </cell>
          <cell r="AC205">
            <v>385</v>
          </cell>
        </row>
        <row r="206">
          <cell r="S206">
            <v>0</v>
          </cell>
          <cell r="X206">
            <v>0</v>
          </cell>
          <cell r="AC206">
            <v>0</v>
          </cell>
        </row>
        <row r="208">
          <cell r="S208">
            <v>9.5</v>
          </cell>
          <cell r="X208">
            <v>81</v>
          </cell>
          <cell r="Y208">
            <v>57.4</v>
          </cell>
          <cell r="Z208">
            <v>23.6</v>
          </cell>
          <cell r="AC208">
            <v>68.900000000000006</v>
          </cell>
          <cell r="AD208">
            <v>36.1</v>
          </cell>
          <cell r="AE208">
            <v>32.799999999999997</v>
          </cell>
        </row>
        <row r="209">
          <cell r="S209">
            <v>1598</v>
          </cell>
          <cell r="X209">
            <v>13610</v>
          </cell>
          <cell r="Y209">
            <v>9645</v>
          </cell>
          <cell r="Z209">
            <v>3965</v>
          </cell>
          <cell r="AA209">
            <v>3965</v>
          </cell>
          <cell r="AC209">
            <v>11589</v>
          </cell>
          <cell r="AD209">
            <v>6072</v>
          </cell>
          <cell r="AE209">
            <v>5517</v>
          </cell>
        </row>
        <row r="210">
          <cell r="S210">
            <v>168.21</v>
          </cell>
          <cell r="X210">
            <v>168.02</v>
          </cell>
          <cell r="Y210">
            <v>168.03</v>
          </cell>
          <cell r="Z210">
            <v>168.01</v>
          </cell>
          <cell r="AC210">
            <v>168.2</v>
          </cell>
          <cell r="AD210">
            <v>168.2</v>
          </cell>
          <cell r="AE210">
            <v>168.2</v>
          </cell>
        </row>
        <row r="211">
          <cell r="M211" t="str">
            <v>ЗАТВЕРДЖУЮ</v>
          </cell>
        </row>
        <row r="212">
          <cell r="M212" t="str">
            <v>ГЕНЕРАЛЬНИЙ ДИРЕКТОР -</v>
          </cell>
          <cell r="X212">
            <v>13610</v>
          </cell>
          <cell r="AC212">
            <v>11589</v>
          </cell>
        </row>
        <row r="213">
          <cell r="M213" t="str">
            <v>ГОЛОВА ПРАВЛІННЯ КЕ</v>
          </cell>
        </row>
        <row r="214">
          <cell r="M214" t="str">
            <v xml:space="preserve">                        І.В.ПЛАЧКОВ</v>
          </cell>
          <cell r="N214" t="str">
            <v xml:space="preserve">      І.В.ПЛАЧКОВ</v>
          </cell>
        </row>
        <row r="215">
          <cell r="M215" t="str">
            <v>ЗАТВЕРДЖУЮ</v>
          </cell>
        </row>
        <row r="216">
          <cell r="M216" t="str">
            <v>ГЕНЕРАЛЬНИЙ ДИРЕКТОР -</v>
          </cell>
          <cell r="N216" t="str">
            <v xml:space="preserve">      І.В.ПЛАЧКОВ</v>
          </cell>
        </row>
        <row r="217">
          <cell r="M217" t="str">
            <v>ГОЛОВА ПРАВЛІННЯ КЕ</v>
          </cell>
        </row>
        <row r="218">
          <cell r="M218" t="str">
            <v xml:space="preserve">                        І.В.ПЛАЧКОВ</v>
          </cell>
          <cell r="N218" t="str">
            <v xml:space="preserve">      І.В.ПЛАЧКОВ</v>
          </cell>
        </row>
        <row r="221">
          <cell r="C221" t="str">
            <v>ПОТРЕБА   В КОШТАХ НА  жовтень 1998 року</v>
          </cell>
        </row>
        <row r="222">
          <cell r="C222" t="str">
            <v>ПО ФІЛІАЛАХ АК КИЇВЕНЕРГО</v>
          </cell>
        </row>
        <row r="223">
          <cell r="C223" t="str">
            <v>ПОТРЕБА   В КОШТАХ НА  червень 1998 року</v>
          </cell>
        </row>
        <row r="224">
          <cell r="C224" t="str">
            <v>ПО ФІЛІАЛАХ АК КИЇВЕНЕРГО</v>
          </cell>
        </row>
        <row r="225">
          <cell r="C225" t="str">
            <v>ПОТРЕБА   В КОШТАХ НА  вересень 1998 року</v>
          </cell>
          <cell r="S225" t="str">
            <v>ТИС.ГРН.</v>
          </cell>
        </row>
        <row r="226">
          <cell r="C226" t="str">
            <v>ПО ФІЛІАЛАХ АК КИЇВЕНЕРГО</v>
          </cell>
          <cell r="D226" t="str">
            <v>АПАРАТ ЕЛЕКТРО</v>
          </cell>
          <cell r="E226" t="str">
            <v>АПАРАТ ТЕПЛО</v>
          </cell>
          <cell r="I226" t="str">
            <v>ККМ</v>
          </cell>
          <cell r="J226" t="str">
            <v>КТМ</v>
          </cell>
          <cell r="K226" t="str">
            <v>ВИРОБН</v>
          </cell>
          <cell r="L226" t="str">
            <v>ПЕРЕД</v>
          </cell>
          <cell r="M226" t="str">
            <v>ТЕЦ-5 ВСЬОГО</v>
          </cell>
          <cell r="N226" t="str">
            <v>Е/Е</v>
          </cell>
          <cell r="O226" t="str">
            <v xml:space="preserve"> Т/Е</v>
          </cell>
          <cell r="P226" t="str">
            <v>ТЕЦ-6 ВСЬОГО</v>
          </cell>
          <cell r="Q226" t="str">
            <v>Е/Е</v>
          </cell>
          <cell r="R226" t="str">
            <v xml:space="preserve"> Т/Е</v>
          </cell>
          <cell r="S226" t="str">
            <v xml:space="preserve">ДОП.ВИР. </v>
          </cell>
          <cell r="T226" t="str">
            <v>ДОП.ВИР. СТ.ОРГ.</v>
          </cell>
          <cell r="W226" t="str">
            <v>АК КЕ ВСЬОГО</v>
          </cell>
          <cell r="X226" t="str">
            <v>Е/Е</v>
          </cell>
          <cell r="Y226" t="str">
            <v xml:space="preserve"> Т/Е</v>
          </cell>
          <cell r="Z226" t="str">
            <v>СТАНЦІї ЕЛЕКТРО</v>
          </cell>
          <cell r="AA226" t="str">
            <v>СТАНЦІІ ТЕПЛОВІ</v>
          </cell>
          <cell r="AB226" t="str">
            <v>МЕРЕЖІ ЕЛЕКТРО</v>
          </cell>
          <cell r="AC226" t="str">
            <v>МЕРЕЖІ ТЕПЛОВІ</v>
          </cell>
        </row>
        <row r="227">
          <cell r="S227" t="str">
            <v>ТИС.ГРН.</v>
          </cell>
        </row>
        <row r="228">
          <cell r="C228" t="str">
            <v>ВИКОН.ДИР.</v>
          </cell>
          <cell r="D228" t="str">
            <v>АПАРАТ ЕЛЕКТРО</v>
          </cell>
          <cell r="E228" t="str">
            <v>АПАРАТ ТЕПЛО</v>
          </cell>
          <cell r="I228" t="str">
            <v>ККМ</v>
          </cell>
          <cell r="J228" t="str">
            <v>КТМ</v>
          </cell>
          <cell r="K228" t="str">
            <v>ВИРОБН</v>
          </cell>
          <cell r="L228" t="str">
            <v>ПЕРЕД</v>
          </cell>
          <cell r="M228" t="str">
            <v>ТЕЦ-5 ВСЬОГО</v>
          </cell>
          <cell r="N228" t="str">
            <v>Е/Е</v>
          </cell>
          <cell r="O228" t="str">
            <v xml:space="preserve"> Т/Е</v>
          </cell>
          <cell r="P228" t="str">
            <v>ТЕЦ-6 ВСЬОГО</v>
          </cell>
          <cell r="Q228" t="str">
            <v>Е/Е</v>
          </cell>
          <cell r="R228" t="str">
            <v xml:space="preserve"> Т/Е</v>
          </cell>
          <cell r="S228" t="str">
            <v xml:space="preserve">ДОП.ВИР. </v>
          </cell>
          <cell r="T228" t="str">
            <v>ДОП.ВИР. СТ.ОРГ.</v>
          </cell>
          <cell r="U228" t="str">
            <v>АК КЕ ВСЬОГО</v>
          </cell>
          <cell r="V228" t="str">
            <v>Е/Е</v>
          </cell>
          <cell r="W228" t="str">
            <v xml:space="preserve"> Т/Е</v>
          </cell>
          <cell r="X228" t="str">
            <v>СТАНЦІї ЕЛЕКТРО</v>
          </cell>
          <cell r="Y228" t="str">
            <v>СТАНЦІІ ТЕПЛОВІ</v>
          </cell>
          <cell r="Z228" t="str">
            <v>МЕРЕЖІ ЕЛЕКТРО</v>
          </cell>
          <cell r="AA228" t="str">
            <v>МЕРЕЖІ ТЕПЛОВІ</v>
          </cell>
        </row>
        <row r="229">
          <cell r="C229" t="e">
            <v>#REF!</v>
          </cell>
          <cell r="D229" t="e">
            <v>#REF!</v>
          </cell>
          <cell r="E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str">
            <v>ТИС.ГРН.</v>
          </cell>
          <cell r="T229">
            <v>889</v>
          </cell>
          <cell r="W229" t="e">
            <v>#REF!</v>
          </cell>
          <cell r="X229" t="e">
            <v>#REF!</v>
          </cell>
          <cell r="Y229" t="e">
            <v>#REF!</v>
          </cell>
        </row>
        <row r="230">
          <cell r="C230" t="str">
            <v>ВИКОН.ДИР.</v>
          </cell>
          <cell r="D230" t="str">
            <v>АПАРАТ ЕЛЕКТРО</v>
          </cell>
          <cell r="E230" t="str">
            <v>АПАРАТ ТЕПЛО</v>
          </cell>
          <cell r="I230" t="str">
            <v>ККМ</v>
          </cell>
          <cell r="J230" t="str">
            <v>КТМ</v>
          </cell>
          <cell r="K230" t="str">
            <v>ВИРОБН</v>
          </cell>
          <cell r="L230" t="str">
            <v>ПЕРЕД</v>
          </cell>
          <cell r="M230" t="str">
            <v>ТЕЦ-5 ВСЬОГО</v>
          </cell>
          <cell r="N230" t="str">
            <v>Е/Е</v>
          </cell>
          <cell r="O230" t="str">
            <v xml:space="preserve"> Т/Е</v>
          </cell>
          <cell r="P230" t="str">
            <v>ТЕЦ-6 ВСЬОГО</v>
          </cell>
          <cell r="Q230" t="str">
            <v>Е/Е</v>
          </cell>
          <cell r="R230" t="str">
            <v xml:space="preserve"> Т/Е</v>
          </cell>
          <cell r="S230" t="str">
            <v xml:space="preserve">ДОП.ВИР. </v>
          </cell>
          <cell r="T230" t="str">
            <v>ДОП.ВИР. СТ.ОРГ.</v>
          </cell>
          <cell r="U230" t="str">
            <v>АК КЕ ВСЬОГО</v>
          </cell>
          <cell r="V230" t="str">
            <v>Е/Е</v>
          </cell>
          <cell r="W230" t="str">
            <v xml:space="preserve"> Т/Е</v>
          </cell>
          <cell r="X230" t="e">
            <v>#REF!</v>
          </cell>
          <cell r="AC230" t="str">
            <v>СТАНЦІї ЕЛЕКТРО</v>
          </cell>
          <cell r="AD230" t="str">
            <v>СТАНЦІІ ТЕПЛОВІ</v>
          </cell>
          <cell r="AE230" t="str">
            <v>МЕРЕЖІ ЕЛЕКТРО</v>
          </cell>
          <cell r="AF230" t="str">
            <v>МЕРЕЖІ ТЕПЛОВІ</v>
          </cell>
        </row>
        <row r="231">
          <cell r="C231" t="e">
            <v>#REF!</v>
          </cell>
          <cell r="D231" t="e">
            <v>#REF!</v>
          </cell>
          <cell r="E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v>1129</v>
          </cell>
          <cell r="U231" t="e">
            <v>#REF!</v>
          </cell>
          <cell r="V231" t="e">
            <v>#REF!</v>
          </cell>
          <cell r="W231" t="e">
            <v>#REF!</v>
          </cell>
        </row>
        <row r="232">
          <cell r="C232" t="e">
            <v>#REF!</v>
          </cell>
          <cell r="D232" t="e">
            <v>#REF!</v>
          </cell>
          <cell r="E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v>117</v>
          </cell>
          <cell r="U232" t="e">
            <v>#REF!</v>
          </cell>
          <cell r="V232" t="e">
            <v>#REF!</v>
          </cell>
          <cell r="W232" t="e">
            <v>#REF!</v>
          </cell>
          <cell r="X232" t="e">
            <v>#REF!</v>
          </cell>
        </row>
        <row r="233">
          <cell r="C233" t="e">
            <v>#REF!</v>
          </cell>
          <cell r="D233">
            <v>1012.3559999999998</v>
          </cell>
          <cell r="E233">
            <v>473.06800000000004</v>
          </cell>
          <cell r="I233">
            <v>2401.5598245614037</v>
          </cell>
          <cell r="J233">
            <v>4911.6096491228063</v>
          </cell>
          <cell r="K233">
            <v>1695.467894736842</v>
          </cell>
          <cell r="L233">
            <v>2466.0584210526313</v>
          </cell>
          <cell r="M233">
            <v>2519.3004385964905</v>
          </cell>
          <cell r="N233">
            <v>1786</v>
          </cell>
          <cell r="O233">
            <v>777.1754385964914</v>
          </cell>
          <cell r="P233">
            <v>2409.6737288135591</v>
          </cell>
          <cell r="Q233">
            <v>1422</v>
          </cell>
          <cell r="R233">
            <v>796.42372881355914</v>
          </cell>
          <cell r="S233">
            <v>1077.625</v>
          </cell>
          <cell r="T233">
            <v>1129</v>
          </cell>
          <cell r="U233">
            <v>23976.15725132322</v>
          </cell>
          <cell r="V233" t="e">
            <v>#REF!</v>
          </cell>
          <cell r="W233">
            <v>44621.157251323224</v>
          </cell>
          <cell r="X233" t="e">
            <v>#REF!</v>
          </cell>
        </row>
        <row r="234">
          <cell r="C234" t="e">
            <v>#REF!</v>
          </cell>
          <cell r="D234">
            <v>934.35599999999977</v>
          </cell>
          <cell r="E234">
            <v>424.06800000000004</v>
          </cell>
          <cell r="I234">
            <v>1149.9298245614036</v>
          </cell>
          <cell r="J234">
            <v>1617.8596491228063</v>
          </cell>
          <cell r="K234">
            <v>1359.5</v>
          </cell>
          <cell r="L234">
            <v>2119.4999999999995</v>
          </cell>
          <cell r="M234">
            <v>1343.1754385964905</v>
          </cell>
          <cell r="N234">
            <v>1585</v>
          </cell>
          <cell r="O234">
            <v>691.00000000000023</v>
          </cell>
          <cell r="P234">
            <v>733.8070175438595</v>
          </cell>
          <cell r="Q234">
            <v>1327</v>
          </cell>
          <cell r="R234">
            <v>742.99999999999977</v>
          </cell>
          <cell r="S234">
            <v>605</v>
          </cell>
          <cell r="T234">
            <v>117</v>
          </cell>
          <cell r="U234">
            <v>15320.660540053519</v>
          </cell>
          <cell r="V234" t="e">
            <v>#REF!</v>
          </cell>
          <cell r="W234" t="e">
            <v>#REF!</v>
          </cell>
          <cell r="X234" t="e">
            <v>#REF!</v>
          </cell>
        </row>
        <row r="235">
          <cell r="C235" t="e">
            <v>#REF!</v>
          </cell>
          <cell r="I235" t="e">
            <v>#REF!</v>
          </cell>
          <cell r="J235" t="e">
            <v>#REF!</v>
          </cell>
          <cell r="K235">
            <v>0</v>
          </cell>
          <cell r="L235">
            <v>0</v>
          </cell>
          <cell r="M235" t="e">
            <v>#REF!</v>
          </cell>
          <cell r="N235">
            <v>0</v>
          </cell>
          <cell r="O235">
            <v>0</v>
          </cell>
          <cell r="P235" t="e">
            <v>#REF!</v>
          </cell>
          <cell r="Q235">
            <v>0</v>
          </cell>
          <cell r="R235">
            <v>0</v>
          </cell>
          <cell r="S235">
            <v>897</v>
          </cell>
          <cell r="T235">
            <v>0</v>
          </cell>
          <cell r="U235" t="e">
            <v>#REF!</v>
          </cell>
          <cell r="V235" t="e">
            <v>#REF!</v>
          </cell>
          <cell r="W235" t="e">
            <v>#REF!</v>
          </cell>
          <cell r="X235" t="e">
            <v>#REF!</v>
          </cell>
        </row>
        <row r="236">
          <cell r="C236">
            <v>7782.6740000000009</v>
          </cell>
          <cell r="D236">
            <v>934.35599999999977</v>
          </cell>
          <cell r="E236">
            <v>424.06800000000004</v>
          </cell>
          <cell r="I236">
            <v>1150</v>
          </cell>
          <cell r="J236">
            <v>1617.8596491228061</v>
          </cell>
          <cell r="K236">
            <v>1359.5</v>
          </cell>
          <cell r="L236">
            <v>2119.4999999999995</v>
          </cell>
          <cell r="M236">
            <v>1023</v>
          </cell>
          <cell r="N236">
            <v>1585</v>
          </cell>
          <cell r="O236">
            <v>691.00000000000023</v>
          </cell>
          <cell r="P236">
            <v>733.8070175438595</v>
          </cell>
          <cell r="Q236" t="e">
            <v>#REF!</v>
          </cell>
          <cell r="R236" t="e">
            <v>#REF!</v>
          </cell>
          <cell r="S236">
            <v>685</v>
          </cell>
          <cell r="T236">
            <v>0</v>
          </cell>
          <cell r="U236">
            <v>15689.007333333333</v>
          </cell>
          <cell r="V236">
            <v>15376.340666666665</v>
          </cell>
          <cell r="W236" t="e">
            <v>#REF!</v>
          </cell>
          <cell r="X236" t="e">
            <v>#REF!</v>
          </cell>
        </row>
        <row r="237">
          <cell r="C237">
            <v>183.375</v>
          </cell>
          <cell r="D237">
            <v>78</v>
          </cell>
          <cell r="E237">
            <v>49</v>
          </cell>
          <cell r="I237">
            <v>906.63</v>
          </cell>
          <cell r="J237">
            <v>1274.75</v>
          </cell>
          <cell r="K237">
            <v>335.96789473684214</v>
          </cell>
          <cell r="L237">
            <v>346.55842105263162</v>
          </cell>
          <cell r="M237">
            <v>526.125</v>
          </cell>
          <cell r="N237">
            <v>158</v>
          </cell>
          <cell r="O237">
            <v>69.175438596491233</v>
          </cell>
          <cell r="P237">
            <v>431.86671126969964</v>
          </cell>
          <cell r="Q237">
            <v>63</v>
          </cell>
          <cell r="R237">
            <v>35.423728813559308</v>
          </cell>
          <cell r="S237">
            <v>537.625</v>
          </cell>
          <cell r="T237">
            <v>1012</v>
          </cell>
          <cell r="U237">
            <v>4138.4967112696995</v>
          </cell>
          <cell r="V237">
            <v>4138.4967112696995</v>
          </cell>
          <cell r="W237" t="e">
            <v>#REF!</v>
          </cell>
          <cell r="X237" t="e">
            <v>#REF!</v>
          </cell>
          <cell r="Z237">
            <v>6</v>
          </cell>
          <cell r="AA237">
            <v>6</v>
          </cell>
          <cell r="AB237">
            <v>12</v>
          </cell>
        </row>
        <row r="238">
          <cell r="C238">
            <v>54.955188679245282</v>
          </cell>
          <cell r="I238">
            <v>273.35377358490564</v>
          </cell>
          <cell r="J238">
            <v>382.94811320754718</v>
          </cell>
          <cell r="K238">
            <v>121.25</v>
          </cell>
          <cell r="L238">
            <v>162.75</v>
          </cell>
          <cell r="M238">
            <v>158.2995283018868</v>
          </cell>
          <cell r="P238">
            <v>131.12735849056605</v>
          </cell>
          <cell r="S238">
            <v>146.625</v>
          </cell>
          <cell r="U238">
            <v>1220.7727272727273</v>
          </cell>
          <cell r="V238">
            <v>1231.382075471698</v>
          </cell>
          <cell r="W238">
            <v>0</v>
          </cell>
          <cell r="X238">
            <v>0</v>
          </cell>
          <cell r="Y238">
            <v>6</v>
          </cell>
          <cell r="Z238">
            <v>12</v>
          </cell>
        </row>
        <row r="239">
          <cell r="C239">
            <v>2944.9412076717231</v>
          </cell>
          <cell r="I239">
            <v>13</v>
          </cell>
          <cell r="J239">
            <v>9.3333333333333339</v>
          </cell>
          <cell r="K239">
            <v>0</v>
          </cell>
          <cell r="L239">
            <v>0</v>
          </cell>
          <cell r="M239">
            <v>577</v>
          </cell>
          <cell r="N239">
            <v>0</v>
          </cell>
          <cell r="O239">
            <v>0</v>
          </cell>
          <cell r="P239">
            <v>42</v>
          </cell>
          <cell r="Q239">
            <v>0</v>
          </cell>
          <cell r="R239">
            <v>0</v>
          </cell>
          <cell r="S239">
            <v>0</v>
          </cell>
          <cell r="T239">
            <v>0</v>
          </cell>
          <cell r="U239">
            <v>3586.2745410050566</v>
          </cell>
          <cell r="V239">
            <v>3586.2745410050566</v>
          </cell>
          <cell r="W239">
            <v>2421.3333333333335</v>
          </cell>
          <cell r="X239">
            <v>2421.3333333333335</v>
          </cell>
        </row>
        <row r="240">
          <cell r="C240">
            <v>0</v>
          </cell>
          <cell r="D240" t="e">
            <v>#REF!</v>
          </cell>
          <cell r="E240" t="e">
            <v>#REF!</v>
          </cell>
          <cell r="I240">
            <v>0</v>
          </cell>
          <cell r="J240">
            <v>0</v>
          </cell>
          <cell r="K240">
            <v>0</v>
          </cell>
          <cell r="L240">
            <v>0</v>
          </cell>
          <cell r="M240">
            <v>577</v>
          </cell>
          <cell r="N240">
            <v>0</v>
          </cell>
          <cell r="O240">
            <v>0</v>
          </cell>
          <cell r="P240">
            <v>12</v>
          </cell>
          <cell r="Q240">
            <v>0</v>
          </cell>
          <cell r="R240">
            <v>0</v>
          </cell>
          <cell r="S240">
            <v>0</v>
          </cell>
          <cell r="U240">
            <v>589</v>
          </cell>
          <cell r="V240">
            <v>589</v>
          </cell>
          <cell r="W240" t="e">
            <v>#REF!</v>
          </cell>
          <cell r="X240" t="e">
            <v>#REF!</v>
          </cell>
        </row>
        <row r="241">
          <cell r="C241">
            <v>1.25</v>
          </cell>
          <cell r="D241" t="e">
            <v>#REF!</v>
          </cell>
          <cell r="E241" t="e">
            <v>#REF!</v>
          </cell>
          <cell r="I241">
            <v>13</v>
          </cell>
          <cell r="J241">
            <v>9.3333333333333339</v>
          </cell>
          <cell r="K241">
            <v>0</v>
          </cell>
          <cell r="L241">
            <v>0</v>
          </cell>
          <cell r="M241">
            <v>0</v>
          </cell>
          <cell r="N241" t="e">
            <v>#REF!</v>
          </cell>
          <cell r="O241" t="e">
            <v>#REF!</v>
          </cell>
          <cell r="P241">
            <v>30</v>
          </cell>
          <cell r="Q241" t="e">
            <v>#REF!</v>
          </cell>
          <cell r="R241" t="e">
            <v>#REF!</v>
          </cell>
          <cell r="S241">
            <v>0</v>
          </cell>
          <cell r="U241">
            <v>53.583333333333336</v>
          </cell>
          <cell r="V241">
            <v>53.583333333333336</v>
          </cell>
          <cell r="X241">
            <v>0</v>
          </cell>
          <cell r="AC241">
            <v>6</v>
          </cell>
          <cell r="AD241">
            <v>6</v>
          </cell>
          <cell r="AE241">
            <v>12</v>
          </cell>
        </row>
        <row r="242">
          <cell r="C242">
            <v>-149.73279232827699</v>
          </cell>
          <cell r="I242" t="e">
            <v>#REF!</v>
          </cell>
          <cell r="J242" t="e">
            <v>#REF!</v>
          </cell>
          <cell r="M242" t="e">
            <v>#REF!</v>
          </cell>
          <cell r="P242" t="e">
            <v>#REF!</v>
          </cell>
          <cell r="S242">
            <v>163</v>
          </cell>
          <cell r="U242">
            <v>-149.73279232827699</v>
          </cell>
          <cell r="V242">
            <v>-149.73279232827699</v>
          </cell>
          <cell r="W242" t="e">
            <v>#REF!</v>
          </cell>
          <cell r="X242" t="e">
            <v>#REF!</v>
          </cell>
        </row>
        <row r="243">
          <cell r="C243">
            <v>2421.3333333333335</v>
          </cell>
          <cell r="I243">
            <v>370</v>
          </cell>
          <cell r="J243">
            <v>1217.0999999999999</v>
          </cell>
          <cell r="M243">
            <v>548.70000000000005</v>
          </cell>
          <cell r="P243">
            <v>180</v>
          </cell>
          <cell r="S243">
            <v>0</v>
          </cell>
          <cell r="U243">
            <v>2421.3333333333335</v>
          </cell>
          <cell r="V243">
            <v>2421.3333333333335</v>
          </cell>
          <cell r="W243">
            <v>2595.8000000000002</v>
          </cell>
          <cell r="X243">
            <v>2401.8000000000002</v>
          </cell>
        </row>
        <row r="244">
          <cell r="C244">
            <v>672.09066666666661</v>
          </cell>
          <cell r="D244">
            <v>511.35599999999999</v>
          </cell>
          <cell r="E244">
            <v>160.73466666666667</v>
          </cell>
          <cell r="I244">
            <v>0</v>
          </cell>
          <cell r="J244">
            <v>0</v>
          </cell>
          <cell r="K244">
            <v>0</v>
          </cell>
          <cell r="L244">
            <v>0</v>
          </cell>
          <cell r="M244">
            <v>0</v>
          </cell>
          <cell r="N244">
            <v>0</v>
          </cell>
          <cell r="O244">
            <v>0</v>
          </cell>
          <cell r="P244">
            <v>0</v>
          </cell>
          <cell r="Q244">
            <v>0</v>
          </cell>
          <cell r="R244">
            <v>0</v>
          </cell>
          <cell r="S244">
            <v>0</v>
          </cell>
          <cell r="U244">
            <v>672.09066666666661</v>
          </cell>
          <cell r="V244">
            <v>672.09066666666661</v>
          </cell>
          <cell r="X244">
            <v>0</v>
          </cell>
        </row>
        <row r="245">
          <cell r="C245">
            <v>0</v>
          </cell>
          <cell r="I245">
            <v>-195.33333333333334</v>
          </cell>
          <cell r="J245">
            <v>-166</v>
          </cell>
          <cell r="K245">
            <v>0</v>
          </cell>
          <cell r="L245">
            <v>0</v>
          </cell>
          <cell r="M245">
            <v>-272</v>
          </cell>
          <cell r="N245">
            <v>0</v>
          </cell>
          <cell r="O245">
            <v>0</v>
          </cell>
          <cell r="P245">
            <v>-165.33333333333334</v>
          </cell>
          <cell r="Q245">
            <v>0</v>
          </cell>
          <cell r="R245">
            <v>0</v>
          </cell>
          <cell r="S245">
            <v>0</v>
          </cell>
          <cell r="T245">
            <v>0</v>
          </cell>
          <cell r="V245">
            <v>0</v>
          </cell>
          <cell r="W245">
            <v>-798.66666666666674</v>
          </cell>
          <cell r="X245">
            <v>-798.66666666666674</v>
          </cell>
        </row>
        <row r="246">
          <cell r="C246">
            <v>950</v>
          </cell>
          <cell r="I246">
            <v>758</v>
          </cell>
          <cell r="J246">
            <v>1197</v>
          </cell>
          <cell r="K246">
            <v>0</v>
          </cell>
          <cell r="L246">
            <v>0</v>
          </cell>
          <cell r="M246">
            <v>874</v>
          </cell>
          <cell r="N246">
            <v>0</v>
          </cell>
          <cell r="O246">
            <v>0</v>
          </cell>
          <cell r="P246">
            <v>450</v>
          </cell>
          <cell r="Q246">
            <v>0</v>
          </cell>
          <cell r="R246">
            <v>0</v>
          </cell>
          <cell r="S246">
            <v>406</v>
          </cell>
          <cell r="T246">
            <v>0</v>
          </cell>
          <cell r="U246">
            <v>4903</v>
          </cell>
          <cell r="V246">
            <v>4635</v>
          </cell>
          <cell r="W246">
            <v>0</v>
          </cell>
          <cell r="X246">
            <v>0</v>
          </cell>
        </row>
        <row r="247">
          <cell r="C247">
            <v>80</v>
          </cell>
          <cell r="I247">
            <v>300</v>
          </cell>
          <cell r="J247">
            <v>1360</v>
          </cell>
          <cell r="K247">
            <v>0</v>
          </cell>
          <cell r="L247">
            <v>0</v>
          </cell>
          <cell r="M247">
            <v>7</v>
          </cell>
          <cell r="N247">
            <v>0</v>
          </cell>
          <cell r="O247">
            <v>0</v>
          </cell>
          <cell r="P247">
            <v>1174</v>
          </cell>
          <cell r="Q247">
            <v>0</v>
          </cell>
          <cell r="R247">
            <v>0</v>
          </cell>
          <cell r="S247">
            <v>0</v>
          </cell>
          <cell r="T247">
            <v>0</v>
          </cell>
          <cell r="U247">
            <v>2921</v>
          </cell>
          <cell r="V247">
            <v>2921</v>
          </cell>
          <cell r="X247">
            <v>0</v>
          </cell>
        </row>
        <row r="248">
          <cell r="C248">
            <v>29</v>
          </cell>
          <cell r="I248">
            <v>0</v>
          </cell>
          <cell r="J248">
            <v>252</v>
          </cell>
          <cell r="M248">
            <v>2</v>
          </cell>
          <cell r="P248">
            <v>4</v>
          </cell>
          <cell r="S248">
            <v>0</v>
          </cell>
          <cell r="V248">
            <v>0</v>
          </cell>
          <cell r="W248">
            <v>298.7</v>
          </cell>
          <cell r="X248">
            <v>298.7</v>
          </cell>
        </row>
        <row r="249">
          <cell r="C249">
            <v>0</v>
          </cell>
          <cell r="I249">
            <v>0</v>
          </cell>
          <cell r="J249">
            <v>-298</v>
          </cell>
          <cell r="K249">
            <v>0</v>
          </cell>
          <cell r="L249">
            <v>0</v>
          </cell>
          <cell r="M249">
            <v>-180</v>
          </cell>
          <cell r="N249">
            <v>0</v>
          </cell>
          <cell r="O249">
            <v>0</v>
          </cell>
          <cell r="P249">
            <v>-100</v>
          </cell>
          <cell r="Q249">
            <v>0</v>
          </cell>
          <cell r="R249">
            <v>0</v>
          </cell>
          <cell r="S249">
            <v>0</v>
          </cell>
          <cell r="T249">
            <v>0</v>
          </cell>
          <cell r="U249">
            <v>-578</v>
          </cell>
          <cell r="V249">
            <v>-578</v>
          </cell>
          <cell r="W249">
            <v>200</v>
          </cell>
          <cell r="X249">
            <v>200</v>
          </cell>
        </row>
        <row r="250">
          <cell r="C250" t="e">
            <v>#REF!</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X250">
            <v>0</v>
          </cell>
        </row>
        <row r="251">
          <cell r="C251">
            <v>0</v>
          </cell>
          <cell r="I251">
            <v>0</v>
          </cell>
          <cell r="J251">
            <v>0</v>
          </cell>
          <cell r="M251">
            <v>42.300000000000004</v>
          </cell>
          <cell r="N251">
            <v>24</v>
          </cell>
          <cell r="O251">
            <v>18.300000000000004</v>
          </cell>
          <cell r="P251">
            <v>91.8</v>
          </cell>
          <cell r="Q251">
            <v>36</v>
          </cell>
          <cell r="R251">
            <v>55.8</v>
          </cell>
          <cell r="S251">
            <v>0</v>
          </cell>
          <cell r="T251">
            <v>0</v>
          </cell>
          <cell r="V251">
            <v>0</v>
          </cell>
          <cell r="W251">
            <v>134.1</v>
          </cell>
          <cell r="X251">
            <v>134.1</v>
          </cell>
        </row>
        <row r="252">
          <cell r="C252">
            <v>29</v>
          </cell>
          <cell r="I252">
            <v>0</v>
          </cell>
          <cell r="J252">
            <v>280</v>
          </cell>
          <cell r="M252">
            <v>3</v>
          </cell>
          <cell r="N252" t="e">
            <v>#REF!</v>
          </cell>
          <cell r="O252" t="e">
            <v>#REF!</v>
          </cell>
          <cell r="P252">
            <v>6</v>
          </cell>
          <cell r="Q252" t="str">
            <v>ТМ</v>
          </cell>
          <cell r="R252" t="e">
            <v>#REF!</v>
          </cell>
          <cell r="S252">
            <v>0</v>
          </cell>
          <cell r="T252" t="str">
            <v>ВИРОБН</v>
          </cell>
          <cell r="U252">
            <v>331</v>
          </cell>
          <cell r="V252">
            <v>331</v>
          </cell>
          <cell r="W252" t="e">
            <v>#REF!</v>
          </cell>
          <cell r="X252" t="str">
            <v>ТЕЦ-5 ВСЬОГО</v>
          </cell>
          <cell r="Y252" t="str">
            <v>Е/Е</v>
          </cell>
          <cell r="Z252" t="str">
            <v xml:space="preserve"> Т/Е</v>
          </cell>
          <cell r="AC252" t="str">
            <v>ТЕЦ-6 ВСЬОГО</v>
          </cell>
          <cell r="AD252" t="str">
            <v>Е/Е</v>
          </cell>
          <cell r="AE252" t="str">
            <v xml:space="preserve"> Т/Е</v>
          </cell>
          <cell r="AF252" t="str">
            <v>ТРМ ВСЬОГО</v>
          </cell>
        </row>
        <row r="253">
          <cell r="C253">
            <v>200</v>
          </cell>
          <cell r="I253">
            <v>0</v>
          </cell>
          <cell r="J253">
            <v>0</v>
          </cell>
          <cell r="M253">
            <v>0</v>
          </cell>
          <cell r="P253">
            <v>0</v>
          </cell>
          <cell r="S253">
            <v>0</v>
          </cell>
          <cell r="U253">
            <v>200</v>
          </cell>
          <cell r="V253">
            <v>200</v>
          </cell>
          <cell r="W253">
            <v>580</v>
          </cell>
          <cell r="X253">
            <v>2672.4863636363625</v>
          </cell>
          <cell r="AC253">
            <v>1389.1963636363635</v>
          </cell>
          <cell r="AF253">
            <v>4185.9539393939394</v>
          </cell>
        </row>
        <row r="254">
          <cell r="I254">
            <v>0</v>
          </cell>
          <cell r="J254">
            <v>152</v>
          </cell>
          <cell r="M254">
            <v>20</v>
          </cell>
          <cell r="P254">
            <v>10</v>
          </cell>
          <cell r="U254">
            <v>202</v>
          </cell>
          <cell r="V254">
            <v>0</v>
          </cell>
          <cell r="W254">
            <v>0</v>
          </cell>
          <cell r="X254">
            <v>0</v>
          </cell>
        </row>
        <row r="255">
          <cell r="C255">
            <v>0</v>
          </cell>
          <cell r="I255">
            <v>0</v>
          </cell>
          <cell r="J255">
            <v>0</v>
          </cell>
          <cell r="M255">
            <v>60</v>
          </cell>
          <cell r="N255">
            <v>43</v>
          </cell>
          <cell r="O255">
            <v>17</v>
          </cell>
          <cell r="P255">
            <v>50</v>
          </cell>
          <cell r="Q255">
            <v>32</v>
          </cell>
          <cell r="R255">
            <v>18</v>
          </cell>
          <cell r="S255">
            <v>0</v>
          </cell>
          <cell r="T255">
            <v>0</v>
          </cell>
          <cell r="U255">
            <v>110</v>
          </cell>
          <cell r="V255">
            <v>110</v>
          </cell>
          <cell r="W255">
            <v>0</v>
          </cell>
          <cell r="X255">
            <v>2672.4863636363625</v>
          </cell>
          <cell r="Y255">
            <v>1687</v>
          </cell>
          <cell r="Z255">
            <v>695.48636363636342</v>
          </cell>
          <cell r="AA255">
            <v>0</v>
          </cell>
          <cell r="AB255">
            <v>0</v>
          </cell>
          <cell r="AC255">
            <v>1389.1963636363635</v>
          </cell>
          <cell r="AD255">
            <v>683</v>
          </cell>
          <cell r="AE255">
            <v>621.19636363636255</v>
          </cell>
          <cell r="AF255">
            <v>4185.9539393939394</v>
          </cell>
        </row>
        <row r="256">
          <cell r="C256">
            <v>2</v>
          </cell>
          <cell r="I256">
            <v>15</v>
          </cell>
          <cell r="J256">
            <v>349</v>
          </cell>
          <cell r="M256">
            <v>0</v>
          </cell>
          <cell r="P256">
            <v>0</v>
          </cell>
          <cell r="S256">
            <v>0</v>
          </cell>
          <cell r="T256">
            <v>1249.7813333333329</v>
          </cell>
          <cell r="U256">
            <v>366</v>
          </cell>
          <cell r="V256">
            <v>366</v>
          </cell>
          <cell r="W256" t="e">
            <v>#REF!</v>
          </cell>
          <cell r="X256">
            <v>1178.9999999999986</v>
          </cell>
          <cell r="Y256">
            <v>995</v>
          </cell>
          <cell r="Z256">
            <v>410.19999999999976</v>
          </cell>
          <cell r="AC256">
            <v>204.39999999999986</v>
          </cell>
          <cell r="AD256">
            <v>149</v>
          </cell>
          <cell r="AE256">
            <v>135.79999999999887</v>
          </cell>
          <cell r="AF256">
            <v>314.4666666666667</v>
          </cell>
        </row>
        <row r="257">
          <cell r="C257" t="e">
            <v>#REF!</v>
          </cell>
          <cell r="I257">
            <v>275</v>
          </cell>
          <cell r="J257">
            <v>160</v>
          </cell>
          <cell r="M257">
            <v>80</v>
          </cell>
          <cell r="N257" t="e">
            <v>#REF!</v>
          </cell>
          <cell r="O257">
            <v>0</v>
          </cell>
          <cell r="P257">
            <v>41</v>
          </cell>
          <cell r="Q257">
            <v>0</v>
          </cell>
          <cell r="R257">
            <v>0</v>
          </cell>
          <cell r="S257">
            <v>0</v>
          </cell>
          <cell r="T257">
            <v>0</v>
          </cell>
          <cell r="U257">
            <v>556</v>
          </cell>
          <cell r="V257">
            <v>556</v>
          </cell>
          <cell r="W257">
            <v>0</v>
          </cell>
          <cell r="X257">
            <v>0</v>
          </cell>
          <cell r="Y257">
            <v>0</v>
          </cell>
          <cell r="Z257">
            <v>0</v>
          </cell>
          <cell r="AA257">
            <v>0</v>
          </cell>
          <cell r="AB257">
            <v>0</v>
          </cell>
          <cell r="AC257">
            <v>0</v>
          </cell>
          <cell r="AD257">
            <v>0</v>
          </cell>
          <cell r="AE257">
            <v>0</v>
          </cell>
          <cell r="AF257">
            <v>0</v>
          </cell>
        </row>
        <row r="258">
          <cell r="C258" t="e">
            <v>#REF!</v>
          </cell>
          <cell r="I258">
            <v>0</v>
          </cell>
          <cell r="J258" t="e">
            <v>#REF!</v>
          </cell>
          <cell r="M258" t="e">
            <v>#REF!</v>
          </cell>
          <cell r="N258" t="e">
            <v>#REF!</v>
          </cell>
          <cell r="O258" t="e">
            <v>#REF!</v>
          </cell>
          <cell r="P258" t="e">
            <v>#REF!</v>
          </cell>
          <cell r="Q258" t="e">
            <v>#REF!</v>
          </cell>
          <cell r="R258" t="e">
            <v>#REF!</v>
          </cell>
          <cell r="S258" t="e">
            <v>#REF!</v>
          </cell>
          <cell r="U258">
            <v>0</v>
          </cell>
          <cell r="V258">
            <v>0</v>
          </cell>
          <cell r="W258" t="e">
            <v>#REF!</v>
          </cell>
          <cell r="X258" t="e">
            <v>#REF!</v>
          </cell>
        </row>
        <row r="259">
          <cell r="C259">
            <v>0</v>
          </cell>
          <cell r="I259">
            <v>0</v>
          </cell>
          <cell r="J259">
            <v>0</v>
          </cell>
          <cell r="M259">
            <v>0</v>
          </cell>
          <cell r="P259">
            <v>0</v>
          </cell>
          <cell r="S259">
            <v>0</v>
          </cell>
          <cell r="U259">
            <v>2217</v>
          </cell>
          <cell r="V259">
            <v>2217</v>
          </cell>
          <cell r="W259" t="e">
            <v>#REF!</v>
          </cell>
          <cell r="X259" t="e">
            <v>#REF!</v>
          </cell>
        </row>
        <row r="260">
          <cell r="C260">
            <v>0</v>
          </cell>
          <cell r="D260" t="e">
            <v>#REF!</v>
          </cell>
          <cell r="E260" t="e">
            <v>#REF!</v>
          </cell>
          <cell r="I260">
            <v>0</v>
          </cell>
          <cell r="J260">
            <v>0</v>
          </cell>
          <cell r="K260" t="e">
            <v>#REF!</v>
          </cell>
          <cell r="L260" t="e">
            <v>#REF!</v>
          </cell>
          <cell r="M260">
            <v>0</v>
          </cell>
          <cell r="N260" t="e">
            <v>#REF!</v>
          </cell>
          <cell r="O260" t="e">
            <v>#REF!</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row>
        <row r="261">
          <cell r="C261">
            <v>0</v>
          </cell>
          <cell r="D261" t="e">
            <v>#REF!</v>
          </cell>
          <cell r="E261" t="e">
            <v>#REF!</v>
          </cell>
          <cell r="I261">
            <v>30</v>
          </cell>
          <cell r="J261">
            <v>30</v>
          </cell>
          <cell r="K261" t="e">
            <v>#REF!</v>
          </cell>
          <cell r="L261" t="e">
            <v>#REF!</v>
          </cell>
          <cell r="M261">
            <v>3</v>
          </cell>
          <cell r="N261">
            <v>0</v>
          </cell>
          <cell r="O261">
            <v>0</v>
          </cell>
          <cell r="P261">
            <v>2</v>
          </cell>
          <cell r="Q261">
            <v>0</v>
          </cell>
          <cell r="R261">
            <v>0</v>
          </cell>
          <cell r="S261">
            <v>0</v>
          </cell>
          <cell r="T261">
            <v>112</v>
          </cell>
          <cell r="U261" t="e">
            <v>#REF!</v>
          </cell>
          <cell r="V261" t="e">
            <v>#REF!</v>
          </cell>
          <cell r="W261" t="e">
            <v>#REF!</v>
          </cell>
        </row>
        <row r="262">
          <cell r="C262">
            <v>3285</v>
          </cell>
          <cell r="I262">
            <v>25</v>
          </cell>
          <cell r="J262">
            <v>59</v>
          </cell>
          <cell r="K262" t="e">
            <v>#REF!</v>
          </cell>
          <cell r="L262" t="e">
            <v>#REF!</v>
          </cell>
          <cell r="M262">
            <v>22</v>
          </cell>
          <cell r="N262" t="e">
            <v>#REF!</v>
          </cell>
          <cell r="O262" t="e">
            <v>#REF!</v>
          </cell>
          <cell r="P262">
            <v>-14</v>
          </cell>
          <cell r="Q262" t="e">
            <v>#REF!</v>
          </cell>
          <cell r="R262" t="e">
            <v>#REF!</v>
          </cell>
          <cell r="S262">
            <v>278</v>
          </cell>
          <cell r="T262">
            <v>48</v>
          </cell>
          <cell r="U262">
            <v>3661</v>
          </cell>
          <cell r="V262">
            <v>3661</v>
          </cell>
          <cell r="W262" t="e">
            <v>#REF!</v>
          </cell>
        </row>
        <row r="263">
          <cell r="C263">
            <v>145</v>
          </cell>
          <cell r="I263">
            <v>1</v>
          </cell>
          <cell r="J263">
            <v>2</v>
          </cell>
          <cell r="K263" t="e">
            <v>#REF!</v>
          </cell>
          <cell r="L263" t="e">
            <v>#REF!</v>
          </cell>
          <cell r="M263">
            <v>0</v>
          </cell>
          <cell r="N263" t="e">
            <v>#REF!</v>
          </cell>
          <cell r="O263" t="e">
            <v>#REF!</v>
          </cell>
          <cell r="P263">
            <v>31</v>
          </cell>
          <cell r="Q263" t="e">
            <v>#REF!</v>
          </cell>
          <cell r="R263" t="e">
            <v>#REF!</v>
          </cell>
          <cell r="S263">
            <v>1</v>
          </cell>
          <cell r="T263">
            <v>51</v>
          </cell>
          <cell r="U263">
            <v>180</v>
          </cell>
          <cell r="V263">
            <v>180</v>
          </cell>
          <cell r="W263" t="e">
            <v>#REF!</v>
          </cell>
          <cell r="X263" t="e">
            <v>#REF!</v>
          </cell>
        </row>
        <row r="264">
          <cell r="C264">
            <v>308.00000000000011</v>
          </cell>
          <cell r="D264">
            <v>934.35599999999977</v>
          </cell>
          <cell r="E264">
            <v>424.06800000000004</v>
          </cell>
          <cell r="I264">
            <v>78</v>
          </cell>
          <cell r="J264">
            <v>488.52631578947285</v>
          </cell>
          <cell r="K264">
            <v>1359.5</v>
          </cell>
          <cell r="L264">
            <v>2119.4999999999995</v>
          </cell>
          <cell r="M264">
            <v>227</v>
          </cell>
          <cell r="N264">
            <v>1585</v>
          </cell>
          <cell r="O264">
            <v>691.00000000000023</v>
          </cell>
          <cell r="P264">
            <v>295.8070175438595</v>
          </cell>
          <cell r="Q264">
            <v>178</v>
          </cell>
          <cell r="R264">
            <v>99</v>
          </cell>
          <cell r="S264">
            <v>0</v>
          </cell>
          <cell r="T264">
            <v>0</v>
          </cell>
          <cell r="U264">
            <v>1603.0000000000005</v>
          </cell>
          <cell r="V264">
            <v>1558.3333333333326</v>
          </cell>
          <cell r="W264">
            <v>0</v>
          </cell>
          <cell r="X264" t="e">
            <v>#REF!</v>
          </cell>
        </row>
        <row r="265">
          <cell r="C265">
            <v>5.3333333333333712</v>
          </cell>
          <cell r="I265">
            <v>18</v>
          </cell>
          <cell r="J265">
            <v>100</v>
          </cell>
          <cell r="K265">
            <v>190</v>
          </cell>
          <cell r="L265">
            <v>190</v>
          </cell>
          <cell r="M265">
            <v>89</v>
          </cell>
          <cell r="N265">
            <v>61</v>
          </cell>
          <cell r="O265">
            <v>28</v>
          </cell>
          <cell r="P265">
            <v>168</v>
          </cell>
          <cell r="Q265">
            <v>108</v>
          </cell>
          <cell r="R265">
            <v>60</v>
          </cell>
          <cell r="S265">
            <v>0</v>
          </cell>
          <cell r="T265">
            <v>16</v>
          </cell>
          <cell r="U265">
            <v>405.33333333333348</v>
          </cell>
          <cell r="V265" t="e">
            <v>#REF!</v>
          </cell>
        </row>
        <row r="266">
          <cell r="C266">
            <v>0</v>
          </cell>
          <cell r="I266">
            <v>20</v>
          </cell>
          <cell r="J266">
            <v>294</v>
          </cell>
          <cell r="K266">
            <v>229.32000000000002</v>
          </cell>
          <cell r="L266">
            <v>64.679999999999978</v>
          </cell>
          <cell r="M266">
            <v>103</v>
          </cell>
          <cell r="N266">
            <v>72</v>
          </cell>
          <cell r="O266">
            <v>31</v>
          </cell>
          <cell r="P266">
            <v>78</v>
          </cell>
          <cell r="Q266">
            <v>50</v>
          </cell>
          <cell r="R266">
            <v>28</v>
          </cell>
          <cell r="S266">
            <v>0</v>
          </cell>
          <cell r="T266">
            <v>51</v>
          </cell>
          <cell r="U266">
            <v>495</v>
          </cell>
          <cell r="X266">
            <v>0</v>
          </cell>
          <cell r="AC266">
            <v>0</v>
          </cell>
          <cell r="AF266">
            <v>0</v>
          </cell>
        </row>
        <row r="267">
          <cell r="C267">
            <v>302.66666666666674</v>
          </cell>
          <cell r="I267">
            <v>40</v>
          </cell>
          <cell r="J267">
            <v>95</v>
          </cell>
          <cell r="K267">
            <v>82.5</v>
          </cell>
          <cell r="L267">
            <v>42.5</v>
          </cell>
          <cell r="M267">
            <v>35</v>
          </cell>
          <cell r="N267">
            <v>26</v>
          </cell>
          <cell r="O267">
            <v>12</v>
          </cell>
          <cell r="P267">
            <v>29</v>
          </cell>
          <cell r="Q267">
            <v>20</v>
          </cell>
          <cell r="R267">
            <v>11</v>
          </cell>
          <cell r="S267">
            <v>0</v>
          </cell>
          <cell r="T267">
            <v>12</v>
          </cell>
          <cell r="U267">
            <v>702.66666666666697</v>
          </cell>
          <cell r="V267">
            <v>637.66666666666674</v>
          </cell>
        </row>
        <row r="268">
          <cell r="C268">
            <v>0</v>
          </cell>
          <cell r="I268">
            <v>0</v>
          </cell>
          <cell r="J268">
            <v>0</v>
          </cell>
          <cell r="M268">
            <v>0</v>
          </cell>
          <cell r="N268">
            <v>0</v>
          </cell>
          <cell r="O268">
            <v>0</v>
          </cell>
          <cell r="P268">
            <v>0</v>
          </cell>
          <cell r="Q268">
            <v>0</v>
          </cell>
          <cell r="R268">
            <v>0</v>
          </cell>
          <cell r="S268">
            <v>0</v>
          </cell>
          <cell r="U268">
            <v>0</v>
          </cell>
          <cell r="V268">
            <v>11</v>
          </cell>
          <cell r="X268">
            <v>0</v>
          </cell>
          <cell r="AC268">
            <v>0</v>
          </cell>
          <cell r="AF268">
            <v>0</v>
          </cell>
        </row>
        <row r="269">
          <cell r="P269">
            <v>3631.1559999999999</v>
          </cell>
          <cell r="Q269">
            <v>0</v>
          </cell>
          <cell r="R269">
            <v>0</v>
          </cell>
          <cell r="S269">
            <v>9526.8578787878778</v>
          </cell>
          <cell r="T269">
            <v>0</v>
          </cell>
          <cell r="U269">
            <v>0</v>
          </cell>
          <cell r="V269">
            <v>0</v>
          </cell>
          <cell r="W269">
            <v>0</v>
          </cell>
          <cell r="X269">
            <v>2672.4863636363625</v>
          </cell>
          <cell r="Y269">
            <v>0</v>
          </cell>
          <cell r="Z269">
            <v>0</v>
          </cell>
          <cell r="AA269">
            <v>0</v>
          </cell>
          <cell r="AB269">
            <v>0</v>
          </cell>
          <cell r="AC269">
            <v>1389.1963636363635</v>
          </cell>
          <cell r="AD269">
            <v>0</v>
          </cell>
          <cell r="AE269">
            <v>0</v>
          </cell>
          <cell r="AF269">
            <v>4185.9539393939394</v>
          </cell>
        </row>
        <row r="270">
          <cell r="P270">
            <v>1864.5200000000002</v>
          </cell>
          <cell r="Q270">
            <v>0</v>
          </cell>
          <cell r="R270">
            <v>0</v>
          </cell>
          <cell r="S270">
            <v>3624.1866666666665</v>
          </cell>
          <cell r="T270">
            <v>611.67619393939378</v>
          </cell>
          <cell r="U270">
            <v>622.76501818181805</v>
          </cell>
          <cell r="V270">
            <v>0</v>
          </cell>
          <cell r="W270">
            <v>0</v>
          </cell>
          <cell r="X270">
            <v>1667.4500000000003</v>
          </cell>
          <cell r="Y270">
            <v>790</v>
          </cell>
          <cell r="Z270">
            <v>326.08636363636373</v>
          </cell>
          <cell r="AA270">
            <v>0</v>
          </cell>
          <cell r="AB270">
            <v>0</v>
          </cell>
          <cell r="AC270">
            <v>821.09333333333336</v>
          </cell>
          <cell r="AD270">
            <v>205</v>
          </cell>
          <cell r="AE270">
            <v>186.72969696969702</v>
          </cell>
          <cell r="AF270">
            <v>2892.76</v>
          </cell>
        </row>
        <row r="271">
          <cell r="P271">
            <v>904.32</v>
          </cell>
          <cell r="S271">
            <v>1900.3199999999997</v>
          </cell>
          <cell r="T271">
            <v>598.00952727272715</v>
          </cell>
          <cell r="U271">
            <v>622.76501818181805</v>
          </cell>
          <cell r="X271">
            <v>643.65000000000009</v>
          </cell>
          <cell r="Y271">
            <v>288</v>
          </cell>
          <cell r="Z271">
            <v>119.28636363636366</v>
          </cell>
          <cell r="AC271">
            <v>537.76</v>
          </cell>
          <cell r="AD271">
            <v>198</v>
          </cell>
          <cell r="AE271">
            <v>180.39636363636367</v>
          </cell>
          <cell r="AF271">
            <v>1730.76</v>
          </cell>
        </row>
        <row r="272">
          <cell r="N272" t="str">
            <v>Собівартість</v>
          </cell>
          <cell r="P272">
            <v>0</v>
          </cell>
          <cell r="Q272">
            <v>0</v>
          </cell>
          <cell r="R272">
            <v>0</v>
          </cell>
          <cell r="S272">
            <v>13.666666666666666</v>
          </cell>
          <cell r="T272">
            <v>13.666666666666666</v>
          </cell>
          <cell r="U272">
            <v>0</v>
          </cell>
          <cell r="V272">
            <v>0</v>
          </cell>
          <cell r="W272">
            <v>0</v>
          </cell>
          <cell r="X272">
            <v>708.80000000000007</v>
          </cell>
          <cell r="Y272">
            <v>502</v>
          </cell>
          <cell r="Z272">
            <v>206.80000000000007</v>
          </cell>
          <cell r="AA272">
            <v>0</v>
          </cell>
          <cell r="AB272">
            <v>0</v>
          </cell>
          <cell r="AC272">
            <v>-0.66666666666666607</v>
          </cell>
          <cell r="AD272">
            <v>7</v>
          </cell>
          <cell r="AE272">
            <v>6.3333333333333339</v>
          </cell>
          <cell r="AF272">
            <v>0</v>
          </cell>
        </row>
        <row r="273">
          <cell r="P273">
            <v>949</v>
          </cell>
          <cell r="Q273">
            <v>0</v>
          </cell>
          <cell r="R273">
            <v>0</v>
          </cell>
          <cell r="S273">
            <v>1193</v>
          </cell>
          <cell r="T273">
            <v>0</v>
          </cell>
          <cell r="U273">
            <v>0</v>
          </cell>
          <cell r="V273">
            <v>0</v>
          </cell>
          <cell r="W273">
            <v>0</v>
          </cell>
          <cell r="X273">
            <v>311</v>
          </cell>
          <cell r="Y273">
            <v>0</v>
          </cell>
          <cell r="Z273">
            <v>0</v>
          </cell>
          <cell r="AA273">
            <v>0</v>
          </cell>
          <cell r="AB273">
            <v>0</v>
          </cell>
          <cell r="AC273">
            <v>284</v>
          </cell>
          <cell r="AD273">
            <v>0</v>
          </cell>
          <cell r="AE273">
            <v>0</v>
          </cell>
          <cell r="AF273">
            <v>626</v>
          </cell>
        </row>
        <row r="274">
          <cell r="P274">
            <v>300</v>
          </cell>
          <cell r="S274">
            <v>603</v>
          </cell>
          <cell r="X274">
            <v>115</v>
          </cell>
          <cell r="AC274">
            <v>96</v>
          </cell>
          <cell r="AF274">
            <v>361</v>
          </cell>
        </row>
        <row r="275">
          <cell r="N275" t="str">
            <v>Собівартість</v>
          </cell>
          <cell r="P275">
            <v>4</v>
          </cell>
          <cell r="S275">
            <v>15</v>
          </cell>
          <cell r="X275">
            <v>30</v>
          </cell>
          <cell r="AC275">
            <v>8</v>
          </cell>
          <cell r="AF275">
            <v>15</v>
          </cell>
        </row>
        <row r="276">
          <cell r="P276">
            <v>500</v>
          </cell>
          <cell r="S276">
            <v>430</v>
          </cell>
          <cell r="X276">
            <v>100</v>
          </cell>
          <cell r="AC276">
            <v>130</v>
          </cell>
          <cell r="AF276">
            <v>150</v>
          </cell>
        </row>
        <row r="277">
          <cell r="P277">
            <v>145</v>
          </cell>
          <cell r="S277">
            <v>145</v>
          </cell>
          <cell r="X277">
            <v>66</v>
          </cell>
          <cell r="AC277">
            <v>50</v>
          </cell>
          <cell r="AF277">
            <v>100</v>
          </cell>
        </row>
        <row r="278">
          <cell r="N278" t="str">
            <v>Собівартість</v>
          </cell>
          <cell r="P278">
            <v>11.200000000000001</v>
          </cell>
          <cell r="Q278">
            <v>0</v>
          </cell>
          <cell r="R278">
            <v>0</v>
          </cell>
          <cell r="S278">
            <v>267.2</v>
          </cell>
          <cell r="T278">
            <v>0</v>
          </cell>
          <cell r="U278">
            <v>0</v>
          </cell>
          <cell r="V278">
            <v>0</v>
          </cell>
          <cell r="W278">
            <v>0</v>
          </cell>
          <cell r="X278">
            <v>4</v>
          </cell>
          <cell r="Y278">
            <v>0</v>
          </cell>
          <cell r="Z278">
            <v>0</v>
          </cell>
          <cell r="AA278">
            <v>0</v>
          </cell>
          <cell r="AB278">
            <v>0</v>
          </cell>
          <cell r="AC278">
            <v>0</v>
          </cell>
          <cell r="AD278">
            <v>0</v>
          </cell>
          <cell r="AE278">
            <v>0</v>
          </cell>
          <cell r="AF278">
            <v>536</v>
          </cell>
        </row>
        <row r="279">
          <cell r="P279">
            <v>0</v>
          </cell>
          <cell r="S279">
            <v>0</v>
          </cell>
          <cell r="X279">
            <v>4</v>
          </cell>
          <cell r="AC279">
            <v>0</v>
          </cell>
          <cell r="AF279">
            <v>0</v>
          </cell>
        </row>
        <row r="280">
          <cell r="P280">
            <v>11.200000000000001</v>
          </cell>
          <cell r="S280">
            <v>267.2</v>
          </cell>
          <cell r="X280">
            <v>0</v>
          </cell>
          <cell r="AC280">
            <v>0</v>
          </cell>
          <cell r="AF280">
            <v>536</v>
          </cell>
        </row>
        <row r="282">
          <cell r="N282" t="str">
            <v>ФМЗ ( з відрахуван)</v>
          </cell>
          <cell r="P282">
            <v>25</v>
          </cell>
          <cell r="S282">
            <v>250</v>
          </cell>
        </row>
        <row r="283">
          <cell r="P283">
            <v>1766.6359999999997</v>
          </cell>
          <cell r="Q283">
            <v>0</v>
          </cell>
          <cell r="R283">
            <v>0</v>
          </cell>
          <cell r="S283">
            <v>5902.6712121212113</v>
          </cell>
          <cell r="T283">
            <v>-611.67619393939378</v>
          </cell>
          <cell r="U283">
            <v>-622.76501818181805</v>
          </cell>
          <cell r="V283">
            <v>0</v>
          </cell>
          <cell r="W283">
            <v>0</v>
          </cell>
          <cell r="X283">
            <v>1005.0363636363622</v>
          </cell>
          <cell r="Y283">
            <v>-790</v>
          </cell>
          <cell r="Z283">
            <v>-326.08636363636373</v>
          </cell>
          <cell r="AA283">
            <v>0</v>
          </cell>
          <cell r="AB283">
            <v>0</v>
          </cell>
          <cell r="AC283">
            <v>568.1030303030301</v>
          </cell>
          <cell r="AD283">
            <v>-205</v>
          </cell>
          <cell r="AE283">
            <v>-186.72969696969702</v>
          </cell>
          <cell r="AF283">
            <v>1293.1939393939392</v>
          </cell>
        </row>
        <row r="285">
          <cell r="N285" t="str">
            <v>ФМЗ ( з відрахуван)</v>
          </cell>
          <cell r="P285">
            <v>1829.636</v>
          </cell>
          <cell r="Q285">
            <v>0</v>
          </cell>
          <cell r="R285">
            <v>0</v>
          </cell>
          <cell r="S285">
            <v>5920.6712121212122</v>
          </cell>
          <cell r="T285">
            <v>0</v>
          </cell>
          <cell r="U285">
            <v>0</v>
          </cell>
          <cell r="V285">
            <v>0</v>
          </cell>
          <cell r="W285">
            <v>0</v>
          </cell>
          <cell r="X285">
            <v>1005.0363636363637</v>
          </cell>
          <cell r="Y285">
            <v>0</v>
          </cell>
          <cell r="Z285">
            <v>0</v>
          </cell>
          <cell r="AA285">
            <v>0</v>
          </cell>
          <cell r="AB285">
            <v>0</v>
          </cell>
          <cell r="AC285">
            <v>567.43636363636358</v>
          </cell>
          <cell r="AD285">
            <v>0</v>
          </cell>
          <cell r="AE285">
            <v>0</v>
          </cell>
          <cell r="AF285">
            <v>1293.1939393939397</v>
          </cell>
        </row>
        <row r="286">
          <cell r="P286">
            <v>1065</v>
          </cell>
          <cell r="S286">
            <v>4233.1499999999996</v>
          </cell>
          <cell r="X286">
            <v>190</v>
          </cell>
          <cell r="AC286">
            <v>-45</v>
          </cell>
          <cell r="AF286">
            <v>-145</v>
          </cell>
        </row>
        <row r="287">
          <cell r="P287">
            <v>635.40000000000009</v>
          </cell>
          <cell r="Q287">
            <v>0</v>
          </cell>
          <cell r="R287">
            <v>0</v>
          </cell>
          <cell r="S287">
            <v>1093.8545454545456</v>
          </cell>
          <cell r="T287">
            <v>0</v>
          </cell>
          <cell r="U287">
            <v>0</v>
          </cell>
          <cell r="V287">
            <v>0</v>
          </cell>
          <cell r="W287">
            <v>0</v>
          </cell>
          <cell r="X287">
            <v>600.83636363636367</v>
          </cell>
          <cell r="Y287">
            <v>0</v>
          </cell>
          <cell r="Z287">
            <v>0</v>
          </cell>
          <cell r="AA287">
            <v>0</v>
          </cell>
          <cell r="AB287">
            <v>0</v>
          </cell>
          <cell r="AC287">
            <v>413.0363636363636</v>
          </cell>
          <cell r="AD287">
            <v>0</v>
          </cell>
          <cell r="AE287">
            <v>0</v>
          </cell>
          <cell r="AF287">
            <v>1078.7272727272727</v>
          </cell>
        </row>
        <row r="288">
          <cell r="N288" t="str">
            <v>ФМЗ ( з відрахуван)</v>
          </cell>
          <cell r="P288">
            <v>0</v>
          </cell>
          <cell r="S288">
            <v>0</v>
          </cell>
          <cell r="X288">
            <v>0</v>
          </cell>
          <cell r="AC288">
            <v>0</v>
          </cell>
          <cell r="AF288">
            <v>0</v>
          </cell>
        </row>
        <row r="289">
          <cell r="P289">
            <v>0</v>
          </cell>
          <cell r="S289">
            <v>0</v>
          </cell>
          <cell r="X289">
            <v>0</v>
          </cell>
          <cell r="AC289">
            <v>0</v>
          </cell>
          <cell r="AF289">
            <v>0</v>
          </cell>
        </row>
        <row r="290">
          <cell r="P290">
            <v>129.23599999999999</v>
          </cell>
          <cell r="Q290">
            <v>0</v>
          </cell>
          <cell r="R290">
            <v>0</v>
          </cell>
          <cell r="S290">
            <v>593.66666666666674</v>
          </cell>
          <cell r="T290">
            <v>0</v>
          </cell>
          <cell r="U290">
            <v>0</v>
          </cell>
          <cell r="V290">
            <v>0</v>
          </cell>
          <cell r="W290">
            <v>0</v>
          </cell>
          <cell r="X290">
            <v>214.20000000000005</v>
          </cell>
          <cell r="Y290">
            <v>0</v>
          </cell>
          <cell r="Z290">
            <v>0</v>
          </cell>
          <cell r="AA290">
            <v>0</v>
          </cell>
          <cell r="AB290">
            <v>0</v>
          </cell>
          <cell r="AC290">
            <v>199.4</v>
          </cell>
          <cell r="AD290">
            <v>0</v>
          </cell>
          <cell r="AE290">
            <v>0</v>
          </cell>
          <cell r="AF290">
            <v>347.46666666666681</v>
          </cell>
        </row>
        <row r="291">
          <cell r="P291">
            <v>0.23599999999999</v>
          </cell>
          <cell r="S291">
            <v>142.26666666666688</v>
          </cell>
          <cell r="X291">
            <v>47.800000000000011</v>
          </cell>
          <cell r="AC291">
            <v>0</v>
          </cell>
          <cell r="AF291">
            <v>22.133333333333439</v>
          </cell>
        </row>
        <row r="292">
          <cell r="P292">
            <v>40.800000000000004</v>
          </cell>
          <cell r="S292">
            <v>249.53333333333333</v>
          </cell>
          <cell r="X292">
            <v>81.600000000000023</v>
          </cell>
          <cell r="AC292">
            <v>64</v>
          </cell>
          <cell r="AF292">
            <v>157.33333333333334</v>
          </cell>
        </row>
        <row r="293">
          <cell r="P293">
            <v>88.2</v>
          </cell>
          <cell r="S293">
            <v>201.86666666666662</v>
          </cell>
          <cell r="X293">
            <v>84.800000000000011</v>
          </cell>
          <cell r="AC293">
            <v>135.4</v>
          </cell>
          <cell r="AF293">
            <v>168</v>
          </cell>
        </row>
        <row r="294">
          <cell r="P294">
            <v>0</v>
          </cell>
          <cell r="AF294">
            <v>0</v>
          </cell>
        </row>
        <row r="295">
          <cell r="P295">
            <v>0</v>
          </cell>
          <cell r="S295">
            <v>0</v>
          </cell>
          <cell r="X295">
            <v>0</v>
          </cell>
          <cell r="AC295">
            <v>0</v>
          </cell>
          <cell r="AF295">
            <v>12</v>
          </cell>
        </row>
        <row r="296">
          <cell r="P296">
            <v>1766.6359999999997</v>
          </cell>
          <cell r="Q296">
            <v>0</v>
          </cell>
          <cell r="R296">
            <v>0</v>
          </cell>
          <cell r="S296">
            <v>5902.6712121212113</v>
          </cell>
          <cell r="T296">
            <v>-611.67619393939378</v>
          </cell>
          <cell r="U296">
            <v>-622.76501818181805</v>
          </cell>
          <cell r="V296">
            <v>0</v>
          </cell>
          <cell r="W296">
            <v>0</v>
          </cell>
          <cell r="X296">
            <v>1005.0363636363622</v>
          </cell>
          <cell r="Y296">
            <v>-790</v>
          </cell>
          <cell r="Z296">
            <v>-326.08636363636373</v>
          </cell>
          <cell r="AA296">
            <v>0</v>
          </cell>
          <cell r="AB296">
            <v>0</v>
          </cell>
          <cell r="AC296">
            <v>568.1030303030301</v>
          </cell>
          <cell r="AD296">
            <v>-205</v>
          </cell>
          <cell r="AE296">
            <v>-186.72969696969702</v>
          </cell>
          <cell r="AF296">
            <v>1293.1939393939392</v>
          </cell>
        </row>
        <row r="299">
          <cell r="P299">
            <v>1766.6359999999997</v>
          </cell>
          <cell r="Q299">
            <v>0</v>
          </cell>
          <cell r="R299">
            <v>0</v>
          </cell>
          <cell r="S299">
            <v>5902.6712121212113</v>
          </cell>
          <cell r="T299">
            <v>-611.67619393939378</v>
          </cell>
          <cell r="U299">
            <v>-622.76501818181805</v>
          </cell>
          <cell r="V299">
            <v>0</v>
          </cell>
          <cell r="W299">
            <v>0</v>
          </cell>
          <cell r="X299">
            <v>1005.0363636363622</v>
          </cell>
          <cell r="Y299">
            <v>-790</v>
          </cell>
          <cell r="Z299">
            <v>-326.08636363636373</v>
          </cell>
          <cell r="AA299">
            <v>0</v>
          </cell>
          <cell r="AB299">
            <v>0</v>
          </cell>
          <cell r="AC299">
            <v>568.1030303030301</v>
          </cell>
          <cell r="AF299">
            <v>1293.1939393939392</v>
          </cell>
        </row>
        <row r="301">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row>
        <row r="302">
          <cell r="P302">
            <v>0</v>
          </cell>
          <cell r="S302">
            <v>0</v>
          </cell>
          <cell r="X302">
            <v>0</v>
          </cell>
          <cell r="AC302">
            <v>0</v>
          </cell>
          <cell r="AF302">
            <v>0</v>
          </cell>
        </row>
        <row r="304">
          <cell r="P304">
            <v>1766.6359999999997</v>
          </cell>
          <cell r="Q304">
            <v>0</v>
          </cell>
          <cell r="R304">
            <v>0</v>
          </cell>
          <cell r="S304">
            <v>5902.6712121212113</v>
          </cell>
          <cell r="T304">
            <v>-611.67619393939378</v>
          </cell>
          <cell r="U304">
            <v>-622.76501818181805</v>
          </cell>
          <cell r="V304">
            <v>0</v>
          </cell>
          <cell r="W304">
            <v>0</v>
          </cell>
          <cell r="X304">
            <v>1005.0363636363622</v>
          </cell>
          <cell r="Y304">
            <v>-790</v>
          </cell>
          <cell r="Z304">
            <v>-326.08636363636373</v>
          </cell>
          <cell r="AA304">
            <v>0</v>
          </cell>
          <cell r="AB304">
            <v>0</v>
          </cell>
          <cell r="AC304">
            <v>568.1030303030301</v>
          </cell>
          <cell r="AD304">
            <v>-205</v>
          </cell>
          <cell r="AE304">
            <v>-186.72969696969702</v>
          </cell>
          <cell r="AF304">
            <v>1293.1939393939392</v>
          </cell>
        </row>
        <row r="306">
          <cell r="P306">
            <v>0</v>
          </cell>
        </row>
        <row r="307">
          <cell r="S307">
            <v>0</v>
          </cell>
        </row>
        <row r="309">
          <cell r="S309">
            <v>0</v>
          </cell>
        </row>
        <row r="314">
          <cell r="S314">
            <v>0</v>
          </cell>
        </row>
        <row r="315">
          <cell r="P315">
            <v>1766.6359999999997</v>
          </cell>
          <cell r="Q315">
            <v>0</v>
          </cell>
          <cell r="R315">
            <v>0</v>
          </cell>
          <cell r="S315">
            <v>5902.6712121212113</v>
          </cell>
          <cell r="T315">
            <v>-611.67619393939378</v>
          </cell>
          <cell r="U315">
            <v>-622.76501818181805</v>
          </cell>
          <cell r="V315">
            <v>0</v>
          </cell>
          <cell r="W315">
            <v>0</v>
          </cell>
          <cell r="X315">
            <v>1005.0363636363622</v>
          </cell>
          <cell r="Y315">
            <v>-790</v>
          </cell>
          <cell r="Z315">
            <v>-326.08636363636373</v>
          </cell>
          <cell r="AA315">
            <v>0</v>
          </cell>
          <cell r="AB315">
            <v>0</v>
          </cell>
          <cell r="AC315">
            <v>568.1030303030301</v>
          </cell>
          <cell r="AD315">
            <v>-205</v>
          </cell>
          <cell r="AE315">
            <v>-186.72969696969702</v>
          </cell>
          <cell r="AF315">
            <v>1293.1939393939392</v>
          </cell>
        </row>
        <row r="325">
          <cell r="P325">
            <v>293</v>
          </cell>
          <cell r="S325">
            <v>518</v>
          </cell>
          <cell r="X325">
            <v>175</v>
          </cell>
          <cell r="AC325">
            <v>146</v>
          </cell>
          <cell r="AF325">
            <v>472</v>
          </cell>
        </row>
        <row r="348">
          <cell r="P348">
            <v>225</v>
          </cell>
          <cell r="S348">
            <v>296</v>
          </cell>
          <cell r="X348">
            <v>56</v>
          </cell>
          <cell r="AC348">
            <v>-4.9636363636363825</v>
          </cell>
          <cell r="AF348">
            <v>800.72727272727275</v>
          </cell>
        </row>
        <row r="350">
          <cell r="P350">
            <v>0</v>
          </cell>
          <cell r="S350">
            <v>0</v>
          </cell>
          <cell r="X350">
            <v>0</v>
          </cell>
          <cell r="AC350">
            <v>0</v>
          </cell>
          <cell r="AF350">
            <v>0</v>
          </cell>
        </row>
        <row r="358">
          <cell r="P358">
            <v>-771</v>
          </cell>
          <cell r="S358">
            <v>-3877</v>
          </cell>
          <cell r="T358">
            <v>162.88</v>
          </cell>
          <cell r="U358">
            <v>855.12</v>
          </cell>
          <cell r="X358">
            <v>280</v>
          </cell>
          <cell r="Y358">
            <v>404</v>
          </cell>
          <cell r="Z358">
            <v>166</v>
          </cell>
          <cell r="AC358">
            <v>556</v>
          </cell>
          <cell r="AD358">
            <v>336</v>
          </cell>
          <cell r="AE358">
            <v>305</v>
          </cell>
          <cell r="AF358">
            <v>521</v>
          </cell>
        </row>
        <row r="381">
          <cell r="P381" t="str">
            <v>лютий</v>
          </cell>
          <cell r="X381" t="str">
            <v>лютий</v>
          </cell>
          <cell r="AC381" t="str">
            <v>лютий</v>
          </cell>
        </row>
        <row r="382">
          <cell r="P382" t="str">
            <v>ККМ</v>
          </cell>
          <cell r="X382" t="str">
            <v>ТЕЦ5</v>
          </cell>
          <cell r="AC382" t="str">
            <v>ТЕЦ6</v>
          </cell>
        </row>
        <row r="383">
          <cell r="P383" t="str">
            <v>ПЛАН</v>
          </cell>
          <cell r="X383" t="str">
            <v>ПЛАН</v>
          </cell>
          <cell r="AC383" t="str">
            <v>ПЛАН</v>
          </cell>
        </row>
        <row r="384">
          <cell r="P384">
            <v>14.333333333333332</v>
          </cell>
          <cell r="S384">
            <v>14.333333333333332</v>
          </cell>
          <cell r="X384">
            <v>182</v>
          </cell>
          <cell r="Y384">
            <v>129</v>
          </cell>
          <cell r="Z384">
            <v>129</v>
          </cell>
          <cell r="AC384">
            <v>323.66666666666674</v>
          </cell>
          <cell r="AD384">
            <v>170</v>
          </cell>
          <cell r="AE384">
            <v>169</v>
          </cell>
        </row>
        <row r="385">
          <cell r="P385">
            <v>0</v>
          </cell>
          <cell r="X385">
            <v>0</v>
          </cell>
          <cell r="Y385">
            <v>0</v>
          </cell>
          <cell r="AC385">
            <v>3.6666666666666665</v>
          </cell>
          <cell r="AD385">
            <v>2</v>
          </cell>
        </row>
        <row r="386">
          <cell r="P386">
            <v>0.66666666666666663</v>
          </cell>
          <cell r="X386">
            <v>146.66666666666666</v>
          </cell>
          <cell r="Y386">
            <v>104</v>
          </cell>
          <cell r="AC386">
            <v>280.66666666666669</v>
          </cell>
          <cell r="AD386">
            <v>147</v>
          </cell>
        </row>
        <row r="387">
          <cell r="P387">
            <v>2</v>
          </cell>
          <cell r="X387">
            <v>0</v>
          </cell>
          <cell r="Y387">
            <v>0</v>
          </cell>
          <cell r="AC387">
            <v>25</v>
          </cell>
          <cell r="AD387">
            <v>13</v>
          </cell>
        </row>
        <row r="388">
          <cell r="P388">
            <v>0</v>
          </cell>
          <cell r="X388">
            <v>25.333333333333332</v>
          </cell>
          <cell r="Y388">
            <v>18</v>
          </cell>
          <cell r="AC388">
            <v>0.66666666666666663</v>
          </cell>
          <cell r="AD388">
            <v>0</v>
          </cell>
        </row>
        <row r="389">
          <cell r="P389">
            <v>0</v>
          </cell>
          <cell r="X389">
            <v>0</v>
          </cell>
          <cell r="Y389">
            <v>0</v>
          </cell>
          <cell r="AC389">
            <v>0</v>
          </cell>
          <cell r="AD389">
            <v>0</v>
          </cell>
        </row>
        <row r="390">
          <cell r="P390">
            <v>0</v>
          </cell>
          <cell r="X390">
            <v>0</v>
          </cell>
          <cell r="Y390">
            <v>0</v>
          </cell>
          <cell r="AC390">
            <v>0</v>
          </cell>
          <cell r="AD390">
            <v>0</v>
          </cell>
        </row>
        <row r="391">
          <cell r="P391">
            <v>5.333333333333333</v>
          </cell>
          <cell r="X391">
            <v>0</v>
          </cell>
          <cell r="Y391">
            <v>0</v>
          </cell>
          <cell r="AC391">
            <v>0</v>
          </cell>
          <cell r="AD391">
            <v>0</v>
          </cell>
        </row>
        <row r="392">
          <cell r="P392">
            <v>0</v>
          </cell>
          <cell r="X392">
            <v>0</v>
          </cell>
          <cell r="Y392">
            <v>0</v>
          </cell>
          <cell r="AC392">
            <v>0</v>
          </cell>
          <cell r="AD392">
            <v>0</v>
          </cell>
        </row>
        <row r="393">
          <cell r="P393">
            <v>4.333333333333333</v>
          </cell>
          <cell r="X393">
            <v>0</v>
          </cell>
          <cell r="Y393">
            <v>0</v>
          </cell>
          <cell r="AC393">
            <v>0</v>
          </cell>
          <cell r="AD393">
            <v>0</v>
          </cell>
        </row>
        <row r="394">
          <cell r="P394">
            <v>2</v>
          </cell>
          <cell r="X394">
            <v>10</v>
          </cell>
          <cell r="Y394">
            <v>7</v>
          </cell>
          <cell r="AC394">
            <v>13.666666666666666</v>
          </cell>
          <cell r="AD394">
            <v>7</v>
          </cell>
        </row>
        <row r="395">
          <cell r="P395">
            <v>0</v>
          </cell>
          <cell r="X395">
            <v>0</v>
          </cell>
          <cell r="Y395">
            <v>0</v>
          </cell>
          <cell r="AC395">
            <v>0</v>
          </cell>
          <cell r="AD395">
            <v>0</v>
          </cell>
        </row>
        <row r="396">
          <cell r="P396">
            <v>20.5</v>
          </cell>
          <cell r="X396">
            <v>522.33333333333337</v>
          </cell>
          <cell r="Y396">
            <v>370</v>
          </cell>
          <cell r="AC396">
            <v>43</v>
          </cell>
          <cell r="AD396">
            <v>23</v>
          </cell>
        </row>
        <row r="397">
          <cell r="P397">
            <v>0</v>
          </cell>
          <cell r="X397">
            <v>0</v>
          </cell>
          <cell r="Y397">
            <v>0</v>
          </cell>
          <cell r="AC397">
            <v>0</v>
          </cell>
          <cell r="AD397">
            <v>0</v>
          </cell>
        </row>
        <row r="398">
          <cell r="P398">
            <v>0</v>
          </cell>
          <cell r="X398">
            <v>480.66666666666669</v>
          </cell>
          <cell r="Y398">
            <v>341</v>
          </cell>
          <cell r="AC398">
            <v>11</v>
          </cell>
          <cell r="AD398">
            <v>6</v>
          </cell>
        </row>
        <row r="399">
          <cell r="P399">
            <v>0</v>
          </cell>
          <cell r="X399">
            <v>0</v>
          </cell>
          <cell r="Y399">
            <v>0</v>
          </cell>
          <cell r="AC399">
            <v>0</v>
          </cell>
          <cell r="AD399">
            <v>0</v>
          </cell>
        </row>
        <row r="400">
          <cell r="P400">
            <v>15.833333333333334</v>
          </cell>
          <cell r="X400">
            <v>41.666666666666664</v>
          </cell>
          <cell r="Y400">
            <v>30</v>
          </cell>
          <cell r="AC400">
            <v>32</v>
          </cell>
          <cell r="AD400">
            <v>17</v>
          </cell>
        </row>
        <row r="401">
          <cell r="P401">
            <v>4.666666666666667</v>
          </cell>
          <cell r="X401">
            <v>0</v>
          </cell>
          <cell r="Y401">
            <v>0</v>
          </cell>
          <cell r="AC401">
            <v>0</v>
          </cell>
          <cell r="AD401">
            <v>0</v>
          </cell>
        </row>
        <row r="402">
          <cell r="P402">
            <v>0</v>
          </cell>
          <cell r="X402">
            <v>0</v>
          </cell>
          <cell r="Y402">
            <v>0</v>
          </cell>
          <cell r="AC402">
            <v>0</v>
          </cell>
          <cell r="AD402">
            <v>0</v>
          </cell>
        </row>
        <row r="403">
          <cell r="P403">
            <v>39</v>
          </cell>
          <cell r="X403">
            <v>0</v>
          </cell>
          <cell r="Y403">
            <v>0</v>
          </cell>
          <cell r="AC403">
            <v>0</v>
          </cell>
          <cell r="AD403">
            <v>0</v>
          </cell>
        </row>
        <row r="404">
          <cell r="P404">
            <v>3.3333333333333335</v>
          </cell>
          <cell r="X404">
            <v>0</v>
          </cell>
          <cell r="Y404">
            <v>0</v>
          </cell>
          <cell r="AC404">
            <v>0</v>
          </cell>
          <cell r="AD404">
            <v>0</v>
          </cell>
        </row>
        <row r="405">
          <cell r="P405">
            <v>35.666666666666664</v>
          </cell>
          <cell r="X405">
            <v>0</v>
          </cell>
          <cell r="Y405">
            <v>0</v>
          </cell>
          <cell r="AC405">
            <v>0</v>
          </cell>
          <cell r="AD405">
            <v>0</v>
          </cell>
        </row>
        <row r="406">
          <cell r="P406">
            <v>0</v>
          </cell>
          <cell r="X406">
            <v>0</v>
          </cell>
          <cell r="Y406">
            <v>0</v>
          </cell>
          <cell r="AC406">
            <v>0</v>
          </cell>
          <cell r="AD406">
            <v>0</v>
          </cell>
        </row>
        <row r="407">
          <cell r="P407">
            <v>50.166666666666671</v>
          </cell>
          <cell r="S407">
            <v>50.166666666666671</v>
          </cell>
          <cell r="X407">
            <v>37.833333333333343</v>
          </cell>
          <cell r="Y407">
            <v>27</v>
          </cell>
          <cell r="AC407">
            <v>26.000000000000004</v>
          </cell>
          <cell r="AD407">
            <v>14</v>
          </cell>
        </row>
        <row r="408">
          <cell r="P408">
            <v>0</v>
          </cell>
          <cell r="X408">
            <v>0</v>
          </cell>
          <cell r="Y408">
            <v>0</v>
          </cell>
          <cell r="AC408">
            <v>0</v>
          </cell>
          <cell r="AD408">
            <v>0</v>
          </cell>
        </row>
        <row r="409">
          <cell r="P409">
            <v>0</v>
          </cell>
          <cell r="X409">
            <v>0</v>
          </cell>
          <cell r="Y409">
            <v>0</v>
          </cell>
          <cell r="AC409">
            <v>0</v>
          </cell>
          <cell r="AD409">
            <v>0</v>
          </cell>
        </row>
        <row r="410">
          <cell r="P410">
            <v>0</v>
          </cell>
          <cell r="X410">
            <v>0</v>
          </cell>
          <cell r="Y410">
            <v>0</v>
          </cell>
          <cell r="AC410">
            <v>0</v>
          </cell>
          <cell r="AD410">
            <v>0</v>
          </cell>
        </row>
        <row r="411">
          <cell r="P411">
            <v>12.333333333333334</v>
          </cell>
          <cell r="X411">
            <v>0</v>
          </cell>
          <cell r="Y411">
            <v>0</v>
          </cell>
          <cell r="AC411">
            <v>0</v>
          </cell>
          <cell r="AD411">
            <v>0</v>
          </cell>
        </row>
        <row r="412">
          <cell r="P412">
            <v>0</v>
          </cell>
          <cell r="X412">
            <v>0</v>
          </cell>
          <cell r="Y412">
            <v>0</v>
          </cell>
          <cell r="AC412">
            <v>0</v>
          </cell>
          <cell r="AD412">
            <v>0</v>
          </cell>
        </row>
        <row r="413">
          <cell r="P413">
            <v>5</v>
          </cell>
          <cell r="X413">
            <v>3</v>
          </cell>
          <cell r="Y413">
            <v>2</v>
          </cell>
          <cell r="AC413">
            <v>3</v>
          </cell>
          <cell r="AD413">
            <v>2</v>
          </cell>
        </row>
        <row r="414">
          <cell r="P414">
            <v>0</v>
          </cell>
          <cell r="X414">
            <v>0</v>
          </cell>
          <cell r="Y414">
            <v>0</v>
          </cell>
          <cell r="AC414">
            <v>0</v>
          </cell>
          <cell r="AD414">
            <v>0</v>
          </cell>
        </row>
        <row r="415">
          <cell r="P415">
            <v>0</v>
          </cell>
          <cell r="X415">
            <v>0</v>
          </cell>
          <cell r="Y415">
            <v>0</v>
          </cell>
          <cell r="AC415">
            <v>0</v>
          </cell>
          <cell r="AD415">
            <v>0</v>
          </cell>
        </row>
        <row r="416">
          <cell r="P416">
            <v>18.5</v>
          </cell>
          <cell r="X416">
            <v>4.5</v>
          </cell>
          <cell r="Y416">
            <v>3</v>
          </cell>
          <cell r="AC416">
            <v>1.3333333333333333</v>
          </cell>
          <cell r="AD416">
            <v>1</v>
          </cell>
        </row>
        <row r="417">
          <cell r="P417">
            <v>1.3333333333333333</v>
          </cell>
          <cell r="X417">
            <v>0</v>
          </cell>
          <cell r="Y417">
            <v>0</v>
          </cell>
          <cell r="AC417">
            <v>1.6666666666666667</v>
          </cell>
          <cell r="AD417">
            <v>1</v>
          </cell>
        </row>
        <row r="418">
          <cell r="P418">
            <v>0</v>
          </cell>
          <cell r="X418">
            <v>0</v>
          </cell>
          <cell r="Y418">
            <v>0</v>
          </cell>
          <cell r="AC418">
            <v>0</v>
          </cell>
          <cell r="AD418">
            <v>0</v>
          </cell>
        </row>
        <row r="419">
          <cell r="P419">
            <v>0</v>
          </cell>
          <cell r="X419">
            <v>10</v>
          </cell>
          <cell r="Y419">
            <v>7</v>
          </cell>
          <cell r="AC419">
            <v>7.666666666666667</v>
          </cell>
          <cell r="AD419">
            <v>4</v>
          </cell>
        </row>
        <row r="420">
          <cell r="P420">
            <v>2</v>
          </cell>
          <cell r="X420">
            <v>1.3333333333333333</v>
          </cell>
          <cell r="Y420">
            <v>1</v>
          </cell>
          <cell r="AC420">
            <v>1</v>
          </cell>
          <cell r="AD420">
            <v>1</v>
          </cell>
        </row>
        <row r="421">
          <cell r="P421">
            <v>0.33333333333333331</v>
          </cell>
          <cell r="X421">
            <v>1</v>
          </cell>
          <cell r="Y421">
            <v>1</v>
          </cell>
          <cell r="AC421">
            <v>0.66666666666666663</v>
          </cell>
          <cell r="AD421">
            <v>0</v>
          </cell>
        </row>
        <row r="422">
          <cell r="P422">
            <v>2.3333333333333335</v>
          </cell>
          <cell r="X422">
            <v>6</v>
          </cell>
          <cell r="Y422">
            <v>4</v>
          </cell>
          <cell r="AC422">
            <v>5</v>
          </cell>
          <cell r="AD422">
            <v>3</v>
          </cell>
        </row>
        <row r="423">
          <cell r="P423">
            <v>0</v>
          </cell>
          <cell r="X423">
            <v>0</v>
          </cell>
          <cell r="Y423">
            <v>0</v>
          </cell>
          <cell r="AC423">
            <v>0</v>
          </cell>
          <cell r="AD423">
            <v>0</v>
          </cell>
        </row>
        <row r="424">
          <cell r="P424">
            <v>0</v>
          </cell>
          <cell r="X424">
            <v>0</v>
          </cell>
          <cell r="Y424">
            <v>0</v>
          </cell>
          <cell r="AC424">
            <v>0</v>
          </cell>
          <cell r="AD424">
            <v>0</v>
          </cell>
        </row>
        <row r="425">
          <cell r="P425">
            <v>1</v>
          </cell>
          <cell r="X425">
            <v>0</v>
          </cell>
          <cell r="Y425">
            <v>0</v>
          </cell>
          <cell r="AC425">
            <v>0</v>
          </cell>
          <cell r="AD425">
            <v>0</v>
          </cell>
        </row>
        <row r="426">
          <cell r="P426">
            <v>0</v>
          </cell>
          <cell r="X426">
            <v>0</v>
          </cell>
          <cell r="Y426">
            <v>0</v>
          </cell>
          <cell r="AC426">
            <v>0</v>
          </cell>
          <cell r="AD426">
            <v>0</v>
          </cell>
        </row>
        <row r="427">
          <cell r="P427">
            <v>0.66666666666666663</v>
          </cell>
          <cell r="X427">
            <v>0.66666666666666663</v>
          </cell>
          <cell r="Y427">
            <v>0</v>
          </cell>
          <cell r="AC427">
            <v>0.66666666666666663</v>
          </cell>
          <cell r="AD427">
            <v>0</v>
          </cell>
        </row>
        <row r="428">
          <cell r="P428">
            <v>0.66666666666666663</v>
          </cell>
          <cell r="X428">
            <v>0.66666666666666663</v>
          </cell>
          <cell r="Y428">
            <v>0</v>
          </cell>
          <cell r="AC428">
            <v>0.66666666666666663</v>
          </cell>
          <cell r="AD428">
            <v>0</v>
          </cell>
        </row>
        <row r="429">
          <cell r="P429">
            <v>4.666666666666667</v>
          </cell>
          <cell r="X429">
            <v>3</v>
          </cell>
          <cell r="Y429">
            <v>2</v>
          </cell>
          <cell r="AC429">
            <v>2</v>
          </cell>
          <cell r="AD429">
            <v>1</v>
          </cell>
        </row>
        <row r="430">
          <cell r="P430">
            <v>0</v>
          </cell>
          <cell r="X430">
            <v>0</v>
          </cell>
          <cell r="Y430">
            <v>0</v>
          </cell>
          <cell r="AC430">
            <v>0</v>
          </cell>
          <cell r="AD430">
            <v>0</v>
          </cell>
        </row>
        <row r="431">
          <cell r="P431">
            <v>0</v>
          </cell>
          <cell r="X431">
            <v>0</v>
          </cell>
          <cell r="Y431">
            <v>0</v>
          </cell>
          <cell r="AC431">
            <v>0</v>
          </cell>
          <cell r="AD431">
            <v>0</v>
          </cell>
        </row>
        <row r="432">
          <cell r="P432">
            <v>0</v>
          </cell>
          <cell r="X432">
            <v>0</v>
          </cell>
          <cell r="Y432">
            <v>0</v>
          </cell>
          <cell r="AC432">
            <v>0</v>
          </cell>
          <cell r="AD432">
            <v>0</v>
          </cell>
        </row>
        <row r="433">
          <cell r="P433">
            <v>0</v>
          </cell>
          <cell r="X433">
            <v>0</v>
          </cell>
          <cell r="Y433">
            <v>0</v>
          </cell>
          <cell r="AC433">
            <v>0</v>
          </cell>
          <cell r="AD433">
            <v>0</v>
          </cell>
        </row>
        <row r="434">
          <cell r="P434">
            <v>0</v>
          </cell>
          <cell r="X434">
            <v>0</v>
          </cell>
          <cell r="Y434">
            <v>0</v>
          </cell>
          <cell r="AC434">
            <v>0</v>
          </cell>
          <cell r="AD434">
            <v>0</v>
          </cell>
        </row>
        <row r="435">
          <cell r="P435">
            <v>1</v>
          </cell>
          <cell r="X435">
            <v>4</v>
          </cell>
          <cell r="Y435">
            <v>3</v>
          </cell>
          <cell r="AC435">
            <v>2</v>
          </cell>
          <cell r="AD435">
            <v>1</v>
          </cell>
        </row>
        <row r="436">
          <cell r="P436">
            <v>0</v>
          </cell>
          <cell r="X436">
            <v>0</v>
          </cell>
          <cell r="Y436">
            <v>0</v>
          </cell>
          <cell r="AC436">
            <v>0</v>
          </cell>
          <cell r="AD436">
            <v>0</v>
          </cell>
        </row>
        <row r="437">
          <cell r="P437">
            <v>0</v>
          </cell>
          <cell r="X437">
            <v>3.3333333333333335</v>
          </cell>
          <cell r="Y437">
            <v>2</v>
          </cell>
          <cell r="AC437">
            <v>0</v>
          </cell>
          <cell r="AD437">
            <v>0</v>
          </cell>
        </row>
        <row r="438">
          <cell r="P438">
            <v>0.33333333333333331</v>
          </cell>
          <cell r="X438">
            <v>0.33333333333333331</v>
          </cell>
          <cell r="Y438">
            <v>0</v>
          </cell>
          <cell r="AC438">
            <v>0.33333333333333331</v>
          </cell>
          <cell r="AD438">
            <v>0</v>
          </cell>
        </row>
        <row r="439">
          <cell r="P439">
            <v>0</v>
          </cell>
          <cell r="X439">
            <v>0</v>
          </cell>
          <cell r="Y439">
            <v>0</v>
          </cell>
          <cell r="AC439">
            <v>0</v>
          </cell>
          <cell r="AD439">
            <v>0</v>
          </cell>
        </row>
        <row r="440">
          <cell r="P440">
            <v>0</v>
          </cell>
          <cell r="X440">
            <v>0</v>
          </cell>
          <cell r="Y440">
            <v>0</v>
          </cell>
          <cell r="AC440">
            <v>0</v>
          </cell>
          <cell r="AD440">
            <v>0</v>
          </cell>
        </row>
        <row r="441">
          <cell r="P441">
            <v>0</v>
          </cell>
          <cell r="X441">
            <v>0</v>
          </cell>
          <cell r="Y441">
            <v>0</v>
          </cell>
          <cell r="AC441">
            <v>0</v>
          </cell>
          <cell r="AD441">
            <v>0</v>
          </cell>
        </row>
        <row r="442">
          <cell r="P442">
            <v>0</v>
          </cell>
          <cell r="X442">
            <v>0</v>
          </cell>
          <cell r="Y442">
            <v>0</v>
          </cell>
          <cell r="AC442">
            <v>0</v>
          </cell>
          <cell r="AD442">
            <v>0</v>
          </cell>
        </row>
        <row r="443">
          <cell r="P443">
            <v>0</v>
          </cell>
          <cell r="X443">
            <v>0</v>
          </cell>
          <cell r="Y443">
            <v>0</v>
          </cell>
          <cell r="AC443">
            <v>0</v>
          </cell>
          <cell r="AD443">
            <v>0</v>
          </cell>
        </row>
        <row r="444">
          <cell r="P444">
            <v>0</v>
          </cell>
          <cell r="X444">
            <v>0</v>
          </cell>
          <cell r="Y444">
            <v>0</v>
          </cell>
          <cell r="AC444">
            <v>0</v>
          </cell>
          <cell r="AD444">
            <v>0</v>
          </cell>
        </row>
        <row r="445">
          <cell r="P445">
            <v>0</v>
          </cell>
          <cell r="X445">
            <v>0</v>
          </cell>
          <cell r="Y445">
            <v>0</v>
          </cell>
          <cell r="AC445">
            <v>0</v>
          </cell>
          <cell r="AD445">
            <v>0</v>
          </cell>
        </row>
        <row r="446">
          <cell r="P446">
            <v>0</v>
          </cell>
          <cell r="X446">
            <v>0</v>
          </cell>
          <cell r="Y446">
            <v>0</v>
          </cell>
          <cell r="AC446">
            <v>0</v>
          </cell>
          <cell r="AD446">
            <v>0</v>
          </cell>
        </row>
      </sheetData>
      <sheetData sheetId="18" refreshError="1">
        <row r="1">
          <cell r="AE1" t="str">
            <v>'9 міс.'!</v>
          </cell>
        </row>
        <row r="8">
          <cell r="S8" t="str">
            <v>ЗАТВЕРДЖУЮ</v>
          </cell>
        </row>
        <row r="20">
          <cell r="W20" t="str">
            <v>ЗАТВЕРДЖУЮ</v>
          </cell>
        </row>
        <row r="21">
          <cell r="W21" t="str">
            <v>ГЕНЕРАЛЬНИЙ ДИРЕКТОР -</v>
          </cell>
        </row>
        <row r="22">
          <cell r="U22" t="str">
            <v>ЗАТВЕРДЖУЮ</v>
          </cell>
          <cell r="W22" t="str">
            <v>ГОЛОВА ПРАВЛІННЯ КЕ</v>
          </cell>
        </row>
        <row r="25">
          <cell r="F25">
            <v>3472</v>
          </cell>
          <cell r="G25">
            <v>949</v>
          </cell>
          <cell r="H25">
            <v>2523</v>
          </cell>
          <cell r="P25">
            <v>478.66666666666669</v>
          </cell>
          <cell r="Q25">
            <v>0</v>
          </cell>
          <cell r="R25">
            <v>0</v>
          </cell>
          <cell r="S25">
            <v>4090.333333333333</v>
          </cell>
          <cell r="T25">
            <v>3373.48</v>
          </cell>
          <cell r="U25">
            <v>716.85333333333324</v>
          </cell>
          <cell r="V25">
            <v>0</v>
          </cell>
          <cell r="W25">
            <v>0</v>
          </cell>
          <cell r="X25">
            <v>1181.3333333333333</v>
          </cell>
          <cell r="Y25">
            <v>631</v>
          </cell>
          <cell r="Z25">
            <v>550.33333333333326</v>
          </cell>
          <cell r="AA25">
            <v>0</v>
          </cell>
          <cell r="AB25">
            <v>0</v>
          </cell>
          <cell r="AC25">
            <v>567.66666666666663</v>
          </cell>
          <cell r="AD25">
            <v>230</v>
          </cell>
          <cell r="AE25">
            <v>337.66666666666663</v>
          </cell>
          <cell r="AF25">
            <v>1866.3333333333333</v>
          </cell>
          <cell r="AG25">
            <v>1056.4000000000001</v>
          </cell>
          <cell r="AH25">
            <v>809.93333333333328</v>
          </cell>
          <cell r="AJ25">
            <v>0</v>
          </cell>
          <cell r="AK25">
            <v>11678.4</v>
          </cell>
          <cell r="AL25">
            <v>2889.666666666667</v>
          </cell>
          <cell r="AM25">
            <v>8788.7333333333336</v>
          </cell>
          <cell r="AN25">
            <v>8788.7333333333336</v>
          </cell>
          <cell r="AO25">
            <v>861</v>
          </cell>
          <cell r="AP25">
            <v>2279</v>
          </cell>
        </row>
        <row r="26">
          <cell r="W26" t="str">
            <v>ЗАТВЕРДЖУЮ</v>
          </cell>
        </row>
        <row r="27">
          <cell r="U27" t="str">
            <v>ГЕНЕРАЛЬНИЙ ДИРЕКТОР -</v>
          </cell>
        </row>
        <row r="28">
          <cell r="S28" t="str">
            <v>ЗАТВЕРДЖУЮ</v>
          </cell>
          <cell r="U28" t="str">
            <v>ГОЛОВА ПРАВЛІННЯ КЕ</v>
          </cell>
          <cell r="X28" t="str">
            <v>ВЕРЕСЕНЬ очІк.</v>
          </cell>
          <cell r="Y28" t="str">
            <v>8 мес звіт</v>
          </cell>
          <cell r="Z28" t="str">
            <v>9 мес.очІк.</v>
          </cell>
          <cell r="AA28" t="str">
            <v>4 кв. план</v>
          </cell>
          <cell r="AB28" t="str">
            <v>1998 рік очІк.</v>
          </cell>
        </row>
        <row r="29">
          <cell r="S29" t="str">
            <v>ГОЛОВА ПРАЛІННЯ  КЕ</v>
          </cell>
        </row>
        <row r="30">
          <cell r="U30" t="str">
            <v>ЗАТВЕРДЖУЮ</v>
          </cell>
        </row>
        <row r="31">
          <cell r="S31" t="str">
            <v>ЗАТВЕРДЖУЮ</v>
          </cell>
        </row>
        <row r="32">
          <cell r="Q32" t="str">
            <v>КТМ</v>
          </cell>
          <cell r="S32" t="str">
            <v>ГОЛОВА ПРАЛІННЯ  КЕ</v>
          </cell>
          <cell r="T32" t="str">
            <v>І.В.ПЛАЧКОВ</v>
          </cell>
          <cell r="V32" t="str">
            <v xml:space="preserve">ТЕЦ-5 </v>
          </cell>
          <cell r="AA32" t="str">
            <v xml:space="preserve">ТЕЦ-6 </v>
          </cell>
        </row>
        <row r="33">
          <cell r="P33">
            <v>25148</v>
          </cell>
          <cell r="W33" t="str">
            <v xml:space="preserve">                      ПЛАЧКОВ І.В.</v>
          </cell>
          <cell r="AC33">
            <v>14429</v>
          </cell>
          <cell r="AF33">
            <v>31349</v>
          </cell>
        </row>
        <row r="34">
          <cell r="F34" t="str">
            <v>ВИКОН.ДИР.</v>
          </cell>
          <cell r="G34" t="str">
            <v>Е/Е</v>
          </cell>
          <cell r="H34" t="str">
            <v xml:space="preserve"> Т/Е</v>
          </cell>
          <cell r="P34" t="str">
            <v xml:space="preserve">КМ </v>
          </cell>
          <cell r="Q34" t="str">
            <v>КТМ</v>
          </cell>
          <cell r="S34" t="str">
            <v xml:space="preserve">ТМ </v>
          </cell>
          <cell r="T34" t="str">
            <v>ВИРОБН</v>
          </cell>
          <cell r="U34" t="str">
            <v>ПЕРЕД</v>
          </cell>
          <cell r="V34" t="str">
            <v xml:space="preserve">ТЕЦ-5 </v>
          </cell>
          <cell r="X34" t="str">
            <v>ТЕЦ-5 ВСЬОГО</v>
          </cell>
          <cell r="Y34" t="str">
            <v>Е/Е</v>
          </cell>
          <cell r="Z34" t="str">
            <v xml:space="preserve"> Т/Е</v>
          </cell>
          <cell r="AA34" t="str">
            <v xml:space="preserve">ТЕЦ-6 </v>
          </cell>
          <cell r="AC34" t="str">
            <v>ТЕЦ-6 ВСЬОГО</v>
          </cell>
          <cell r="AD34" t="str">
            <v>Е/Е</v>
          </cell>
          <cell r="AE34" t="str">
            <v xml:space="preserve"> Т/Е</v>
          </cell>
          <cell r="AF34" t="str">
            <v>ТРМ ВСЬОГО</v>
          </cell>
          <cell r="AG34" t="str">
            <v>ТРМ  АК КЕ</v>
          </cell>
          <cell r="AH34" t="str">
            <v>ТРМ СТОР</v>
          </cell>
          <cell r="AJ34" t="str">
            <v>ДОП.ВИР. СТ.ОРГ.</v>
          </cell>
          <cell r="AK34" t="str">
            <v>АК КЕ ВСЬОГО</v>
          </cell>
          <cell r="AL34" t="str">
            <v xml:space="preserve"> Е/Е</v>
          </cell>
          <cell r="AM34" t="str">
            <v xml:space="preserve"> Т/Е</v>
          </cell>
          <cell r="AO34" t="str">
            <v>СТАНЦІї ЕЛЕКТРО</v>
          </cell>
          <cell r="AP34" t="str">
            <v>СТАНЦІІ ТЕПЛОВІ</v>
          </cell>
        </row>
        <row r="35">
          <cell r="S35" t="str">
            <v xml:space="preserve">                   ПЛАЧКОВ І.В.</v>
          </cell>
          <cell r="T35" t="str">
            <v>І.В.ПЛАЧКОВ</v>
          </cell>
          <cell r="AL35">
            <v>395</v>
          </cell>
        </row>
        <row r="36">
          <cell r="F36" t="str">
            <v>ВИКОН.ДИР.</v>
          </cell>
          <cell r="G36" t="str">
            <v>Е/Е</v>
          </cell>
          <cell r="H36" t="str">
            <v xml:space="preserve"> Т/Е</v>
          </cell>
          <cell r="P36" t="str">
            <v xml:space="preserve">КМ </v>
          </cell>
          <cell r="Q36" t="str">
            <v>Е/Е</v>
          </cell>
          <cell r="R36" t="str">
            <v xml:space="preserve"> Т/Е</v>
          </cell>
          <cell r="S36" t="str">
            <v xml:space="preserve">ТМ </v>
          </cell>
          <cell r="T36" t="str">
            <v>ВИРОБН</v>
          </cell>
          <cell r="U36" t="str">
            <v>ПЕРЕД</v>
          </cell>
          <cell r="V36" t="str">
            <v xml:space="preserve"> Т/Е</v>
          </cell>
          <cell r="W36" t="str">
            <v>АК КЕ ВСЬОГО</v>
          </cell>
          <cell r="X36" t="str">
            <v>ТЕЦ-5 ВСЬОГО</v>
          </cell>
          <cell r="Y36" t="str">
            <v>Е/Е</v>
          </cell>
          <cell r="Z36" t="str">
            <v xml:space="preserve"> Т/Е</v>
          </cell>
          <cell r="AA36" t="str">
            <v>СТАНЦІІ ТЕПЛОВІ</v>
          </cell>
          <cell r="AB36" t="str">
            <v>МЕРЕЖІ ЕЛЕКТРО</v>
          </cell>
          <cell r="AC36" t="str">
            <v>ТЕЦ-6 ВСЬОГО</v>
          </cell>
          <cell r="AD36" t="str">
            <v>Е/Е</v>
          </cell>
          <cell r="AE36" t="str">
            <v xml:space="preserve"> Т/Е</v>
          </cell>
          <cell r="AF36" t="str">
            <v>ТРМ ВСЬОГО</v>
          </cell>
          <cell r="AG36" t="str">
            <v>ТРМ  АК КЕ</v>
          </cell>
          <cell r="AH36" t="str">
            <v>ТРМ СТОР</v>
          </cell>
          <cell r="AI36" t="str">
            <v>АК КЕ ВСЬОГО</v>
          </cell>
          <cell r="AJ36" t="str">
            <v xml:space="preserve"> Е/Е</v>
          </cell>
          <cell r="AK36" t="str">
            <v xml:space="preserve"> Т/Е</v>
          </cell>
          <cell r="AL36">
            <v>336</v>
          </cell>
          <cell r="AM36" t="str">
            <v>СТАНЦІї ЕЛЕКТРО</v>
          </cell>
          <cell r="AN36" t="str">
            <v>СТАНЦІІ ТЕПЛОВІ</v>
          </cell>
          <cell r="AO36" t="str">
            <v>МЕРЕЖІ ЕЛЕКТРО</v>
          </cell>
          <cell r="AP36" t="str">
            <v>МЕРЕЖІ ТЕПЛОВІ</v>
          </cell>
        </row>
        <row r="37">
          <cell r="Q37">
            <v>158</v>
          </cell>
          <cell r="U37" t="str">
            <v xml:space="preserve">                      ПЛАЧКОВ І.В.</v>
          </cell>
          <cell r="X37">
            <v>383</v>
          </cell>
          <cell r="AJ37">
            <v>395</v>
          </cell>
          <cell r="AL37">
            <v>0</v>
          </cell>
        </row>
        <row r="38">
          <cell r="P38" t="str">
            <v>ТЕЦ-6 ВСЬОГО</v>
          </cell>
          <cell r="Q38" t="str">
            <v>Е/Е</v>
          </cell>
          <cell r="R38" t="str">
            <v xml:space="preserve"> Т/Е</v>
          </cell>
          <cell r="S38" t="str">
            <v xml:space="preserve">ДОП.ВИР. </v>
          </cell>
          <cell r="T38" t="str">
            <v>ДОП.ВИР. СТ.ОРГ.</v>
          </cell>
          <cell r="U38" t="str">
            <v>АК КЕ ВСЬОГО</v>
          </cell>
          <cell r="V38" t="str">
            <v>Е/Е</v>
          </cell>
          <cell r="W38" t="str">
            <v xml:space="preserve"> Т/Е</v>
          </cell>
          <cell r="X38" t="str">
            <v xml:space="preserve"> Т/Е</v>
          </cell>
          <cell r="Y38" t="str">
            <v xml:space="preserve"> Т/Е</v>
          </cell>
          <cell r="Z38" t="str">
            <v xml:space="preserve"> Т/Е</v>
          </cell>
          <cell r="AB38" t="str">
            <v xml:space="preserve"> Т/Е</v>
          </cell>
          <cell r="AC38" t="str">
            <v>СТАНЦІї ЕЛЕКТРО</v>
          </cell>
          <cell r="AD38" t="str">
            <v>СТАНЦІІ ТЕПЛОВІ</v>
          </cell>
          <cell r="AE38" t="str">
            <v>МЕРЕЖІ ЕЛЕКТРО</v>
          </cell>
          <cell r="AF38" t="str">
            <v>МЕРЕЖІ ТЕПЛОВІ</v>
          </cell>
          <cell r="AJ38">
            <v>336</v>
          </cell>
        </row>
        <row r="39">
          <cell r="Q39">
            <v>160</v>
          </cell>
          <cell r="V39">
            <v>380</v>
          </cell>
          <cell r="X39">
            <v>0</v>
          </cell>
          <cell r="AJ39">
            <v>0</v>
          </cell>
          <cell r="AL39">
            <v>0</v>
          </cell>
        </row>
        <row r="40">
          <cell r="Q40">
            <v>145</v>
          </cell>
          <cell r="V40">
            <v>347.3</v>
          </cell>
          <cell r="X40">
            <v>199.5</v>
          </cell>
          <cell r="AL40">
            <v>0</v>
          </cell>
        </row>
        <row r="41">
          <cell r="V41">
            <v>0</v>
          </cell>
          <cell r="X41">
            <v>0</v>
          </cell>
          <cell r="AJ41">
            <v>0</v>
          </cell>
          <cell r="AL41">
            <v>395.6</v>
          </cell>
        </row>
        <row r="42">
          <cell r="P42">
            <v>0</v>
          </cell>
          <cell r="V42">
            <v>33</v>
          </cell>
          <cell r="X42">
            <v>0</v>
          </cell>
          <cell r="AJ42">
            <v>0</v>
          </cell>
          <cell r="AL42">
            <v>395.6</v>
          </cell>
        </row>
        <row r="43">
          <cell r="V43">
            <v>0</v>
          </cell>
          <cell r="X43">
            <v>480.7</v>
          </cell>
          <cell r="AJ43">
            <v>395.6</v>
          </cell>
          <cell r="AM43">
            <v>1580</v>
          </cell>
        </row>
        <row r="44">
          <cell r="P44">
            <v>0</v>
          </cell>
          <cell r="V44">
            <v>0</v>
          </cell>
          <cell r="X44">
            <v>480.7</v>
          </cell>
          <cell r="AJ44">
            <v>395.6</v>
          </cell>
          <cell r="AM44">
            <v>0</v>
          </cell>
        </row>
        <row r="45">
          <cell r="R45">
            <v>320</v>
          </cell>
          <cell r="V45">
            <v>350</v>
          </cell>
          <cell r="Y45">
            <v>930</v>
          </cell>
          <cell r="AK45">
            <v>1580</v>
          </cell>
          <cell r="AM45">
            <v>1580</v>
          </cell>
        </row>
        <row r="46">
          <cell r="F46">
            <v>8678</v>
          </cell>
          <cell r="P46">
            <v>5528.9166666666661</v>
          </cell>
          <cell r="S46">
            <v>11148.516969696972</v>
          </cell>
          <cell r="T46">
            <v>4612.7199818181807</v>
          </cell>
          <cell r="U46">
            <v>3068.7969878787876</v>
          </cell>
          <cell r="V46">
            <v>350</v>
          </cell>
          <cell r="X46">
            <v>3572.9196969697005</v>
          </cell>
          <cell r="Y46">
            <v>0</v>
          </cell>
          <cell r="AC46">
            <v>1815.6175757575729</v>
          </cell>
          <cell r="AF46">
            <v>5288.3842424242421</v>
          </cell>
          <cell r="AG46">
            <v>4487.3999999999996</v>
          </cell>
          <cell r="AH46">
            <v>801.98424242424232</v>
          </cell>
          <cell r="AK46">
            <v>0</v>
          </cell>
        </row>
        <row r="47">
          <cell r="F47">
            <v>0.8</v>
          </cell>
          <cell r="R47">
            <v>145</v>
          </cell>
          <cell r="W47">
            <v>385</v>
          </cell>
          <cell r="Y47">
            <v>812</v>
          </cell>
          <cell r="AK47">
            <v>1580</v>
          </cell>
        </row>
        <row r="48">
          <cell r="F48">
            <v>15953.197</v>
          </cell>
          <cell r="P48">
            <v>3631.1559999999999</v>
          </cell>
          <cell r="S48">
            <v>9526.8578787878778</v>
          </cell>
          <cell r="T48">
            <v>2010.6708606060602</v>
          </cell>
          <cell r="U48">
            <v>2621.0370181818184</v>
          </cell>
          <cell r="W48">
            <v>0</v>
          </cell>
          <cell r="X48">
            <v>2672.4863636363625</v>
          </cell>
          <cell r="AC48">
            <v>1389.1963636363635</v>
          </cell>
          <cell r="AF48">
            <v>4185.9539393939394</v>
          </cell>
          <cell r="AG48">
            <v>3391.2</v>
          </cell>
          <cell r="AH48">
            <v>794.7539393939395</v>
          </cell>
        </row>
        <row r="49">
          <cell r="F49">
            <v>0.8</v>
          </cell>
          <cell r="G49">
            <v>201</v>
          </cell>
          <cell r="H49">
            <v>525</v>
          </cell>
          <cell r="P49">
            <v>0.8</v>
          </cell>
          <cell r="Q49" t="e">
            <v>#REF!</v>
          </cell>
          <cell r="R49">
            <v>145</v>
          </cell>
          <cell r="S49">
            <v>0.8</v>
          </cell>
          <cell r="T49">
            <v>445</v>
          </cell>
          <cell r="U49">
            <v>445</v>
          </cell>
          <cell r="V49">
            <v>84</v>
          </cell>
          <cell r="W49">
            <v>285</v>
          </cell>
          <cell r="X49">
            <v>0.8</v>
          </cell>
          <cell r="Y49">
            <v>147</v>
          </cell>
          <cell r="Z49">
            <v>127.66666666666663</v>
          </cell>
          <cell r="AA49" t="e">
            <v>#REF!</v>
          </cell>
          <cell r="AB49" t="e">
            <v>#REF!</v>
          </cell>
          <cell r="AC49">
            <v>0.8</v>
          </cell>
          <cell r="AD49">
            <v>107</v>
          </cell>
          <cell r="AE49">
            <v>157</v>
          </cell>
          <cell r="AF49">
            <v>0.8</v>
          </cell>
          <cell r="AG49">
            <v>493</v>
          </cell>
          <cell r="AH49">
            <v>43</v>
          </cell>
          <cell r="AK49">
            <v>3111.6666666666665</v>
          </cell>
          <cell r="AL49">
            <v>899</v>
          </cell>
          <cell r="AM49">
            <v>2212.6666666666665</v>
          </cell>
          <cell r="AN49">
            <v>2212.6666666666665</v>
          </cell>
          <cell r="AO49">
            <v>254</v>
          </cell>
          <cell r="AP49">
            <v>587</v>
          </cell>
        </row>
        <row r="50">
          <cell r="F50">
            <v>159</v>
          </cell>
          <cell r="G50">
            <v>44</v>
          </cell>
          <cell r="H50">
            <v>115</v>
          </cell>
          <cell r="P50">
            <v>260</v>
          </cell>
          <cell r="Q50">
            <v>2</v>
          </cell>
          <cell r="R50">
            <v>2</v>
          </cell>
          <cell r="S50">
            <v>650</v>
          </cell>
          <cell r="V50">
            <v>0</v>
          </cell>
          <cell r="W50">
            <v>298.7</v>
          </cell>
          <cell r="X50">
            <v>132</v>
          </cell>
          <cell r="Y50">
            <v>70</v>
          </cell>
          <cell r="Z50">
            <v>62</v>
          </cell>
          <cell r="AC50">
            <v>105</v>
          </cell>
          <cell r="AD50">
            <v>42</v>
          </cell>
          <cell r="AE50">
            <v>63</v>
          </cell>
          <cell r="AF50">
            <v>520</v>
          </cell>
          <cell r="AG50">
            <v>482</v>
          </cell>
          <cell r="AH50">
            <v>38</v>
          </cell>
          <cell r="AK50">
            <v>1822</v>
          </cell>
          <cell r="AL50">
            <v>447</v>
          </cell>
          <cell r="AM50">
            <v>1375</v>
          </cell>
          <cell r="AN50">
            <v>1392</v>
          </cell>
        </row>
        <row r="51">
          <cell r="F51">
            <v>712</v>
          </cell>
          <cell r="G51">
            <v>279</v>
          </cell>
          <cell r="H51">
            <v>433</v>
          </cell>
          <cell r="P51">
            <v>304.23599999999999</v>
          </cell>
          <cell r="Q51">
            <v>144</v>
          </cell>
          <cell r="R51">
            <v>80</v>
          </cell>
          <cell r="S51">
            <v>760.26666666666688</v>
          </cell>
          <cell r="T51">
            <v>380.13333333333344</v>
          </cell>
          <cell r="U51">
            <v>380.13333333333344</v>
          </cell>
          <cell r="V51">
            <v>433</v>
          </cell>
          <cell r="W51">
            <v>613.33333333333348</v>
          </cell>
          <cell r="X51">
            <v>196.8</v>
          </cell>
          <cell r="Y51">
            <v>139</v>
          </cell>
          <cell r="Z51">
            <v>57.800000000000011</v>
          </cell>
          <cell r="AA51">
            <v>2319</v>
          </cell>
          <cell r="AB51">
            <v>7435.3333333333339</v>
          </cell>
          <cell r="AC51">
            <v>104</v>
          </cell>
          <cell r="AD51">
            <v>54</v>
          </cell>
          <cell r="AE51">
            <v>50</v>
          </cell>
          <cell r="AF51">
            <v>398.13333333333344</v>
          </cell>
          <cell r="AG51">
            <v>300</v>
          </cell>
          <cell r="AH51">
            <v>98.133333333333439</v>
          </cell>
          <cell r="AI51">
            <v>2554.3026666666669</v>
          </cell>
          <cell r="AJ51">
            <v>931.23599999999999</v>
          </cell>
          <cell r="AK51">
            <v>1623.0666666666671</v>
          </cell>
          <cell r="AL51">
            <v>1623.0666666666668</v>
          </cell>
          <cell r="AM51">
            <v>193</v>
          </cell>
          <cell r="AN51">
            <v>366</v>
          </cell>
          <cell r="AO51">
            <v>738.23599999999999</v>
          </cell>
          <cell r="AP51">
            <v>1257.0666666666671</v>
          </cell>
        </row>
        <row r="52">
          <cell r="F52">
            <v>133</v>
          </cell>
          <cell r="G52">
            <v>52</v>
          </cell>
          <cell r="H52">
            <v>81</v>
          </cell>
          <cell r="P52">
            <v>300</v>
          </cell>
          <cell r="Q52">
            <v>4</v>
          </cell>
          <cell r="R52">
            <v>2</v>
          </cell>
          <cell r="S52">
            <v>603</v>
          </cell>
          <cell r="U52">
            <v>331</v>
          </cell>
          <cell r="V52">
            <v>0</v>
          </cell>
          <cell r="W52">
            <v>200</v>
          </cell>
          <cell r="X52">
            <v>115</v>
          </cell>
          <cell r="Y52">
            <v>81</v>
          </cell>
          <cell r="Z52">
            <v>34</v>
          </cell>
          <cell r="AC52">
            <v>96</v>
          </cell>
          <cell r="AD52">
            <v>50</v>
          </cell>
          <cell r="AE52">
            <v>46</v>
          </cell>
          <cell r="AF52">
            <v>361</v>
          </cell>
          <cell r="AG52">
            <v>11</v>
          </cell>
          <cell r="AH52">
            <v>0</v>
          </cell>
          <cell r="AI52">
            <v>1279</v>
          </cell>
          <cell r="AJ52">
            <v>511</v>
          </cell>
          <cell r="AK52">
            <v>768</v>
          </cell>
          <cell r="AL52">
            <v>786</v>
          </cell>
          <cell r="AM52">
            <v>494</v>
          </cell>
          <cell r="AN52">
            <v>494</v>
          </cell>
        </row>
        <row r="53">
          <cell r="F53">
            <v>2</v>
          </cell>
          <cell r="G53">
            <v>0</v>
          </cell>
          <cell r="H53">
            <v>1</v>
          </cell>
          <cell r="P53">
            <v>0</v>
          </cell>
          <cell r="Q53">
            <v>32</v>
          </cell>
          <cell r="R53">
            <v>18</v>
          </cell>
          <cell r="S53">
            <v>587.66666666666663</v>
          </cell>
          <cell r="T53">
            <v>458.38</v>
          </cell>
          <cell r="U53">
            <v>129.28666666666663</v>
          </cell>
          <cell r="V53">
            <v>60</v>
          </cell>
          <cell r="W53" t="e">
            <v>#REF!</v>
          </cell>
          <cell r="X53">
            <v>4</v>
          </cell>
          <cell r="Y53">
            <v>3</v>
          </cell>
          <cell r="Z53">
            <v>1</v>
          </cell>
          <cell r="AA53" t="e">
            <v>#REF!</v>
          </cell>
          <cell r="AB53" t="e">
            <v>#REF!</v>
          </cell>
          <cell r="AC53">
            <v>0</v>
          </cell>
          <cell r="AD53">
            <v>0</v>
          </cell>
          <cell r="AE53">
            <v>0</v>
          </cell>
          <cell r="AF53">
            <v>179.33333333333334</v>
          </cell>
          <cell r="AG53">
            <v>110</v>
          </cell>
          <cell r="AH53">
            <v>0</v>
          </cell>
          <cell r="AI53">
            <v>4</v>
          </cell>
          <cell r="AJ53">
            <v>3</v>
          </cell>
          <cell r="AK53">
            <v>1</v>
          </cell>
          <cell r="AL53">
            <v>1</v>
          </cell>
          <cell r="AM53">
            <v>1219</v>
          </cell>
          <cell r="AN53">
            <v>1219</v>
          </cell>
          <cell r="AO53">
            <v>532</v>
          </cell>
          <cell r="AP53">
            <v>720</v>
          </cell>
        </row>
        <row r="54">
          <cell r="F54">
            <v>570</v>
          </cell>
          <cell r="G54">
            <v>223</v>
          </cell>
          <cell r="H54">
            <v>347</v>
          </cell>
          <cell r="P54">
            <v>4</v>
          </cell>
          <cell r="Q54" t="e">
            <v>#REF!</v>
          </cell>
          <cell r="R54" t="e">
            <v>#REF!</v>
          </cell>
          <cell r="S54">
            <v>15</v>
          </cell>
          <cell r="T54">
            <v>13.666666666666666</v>
          </cell>
          <cell r="U54">
            <v>0</v>
          </cell>
          <cell r="V54">
            <v>20</v>
          </cell>
          <cell r="W54" t="e">
            <v>#REF!</v>
          </cell>
          <cell r="X54">
            <v>30</v>
          </cell>
          <cell r="Y54">
            <v>21</v>
          </cell>
          <cell r="Z54">
            <v>9</v>
          </cell>
          <cell r="AA54" t="e">
            <v>#REF!</v>
          </cell>
          <cell r="AB54" t="e">
            <v>#REF!</v>
          </cell>
          <cell r="AC54">
            <v>8</v>
          </cell>
          <cell r="AD54">
            <v>4</v>
          </cell>
          <cell r="AE54">
            <v>4</v>
          </cell>
          <cell r="AF54">
            <v>15</v>
          </cell>
          <cell r="AG54">
            <v>15</v>
          </cell>
          <cell r="AH54">
            <v>0</v>
          </cell>
          <cell r="AI54">
            <v>752</v>
          </cell>
          <cell r="AJ54">
            <v>362</v>
          </cell>
          <cell r="AK54">
            <v>390</v>
          </cell>
          <cell r="AL54">
            <v>390</v>
          </cell>
          <cell r="AM54">
            <v>324</v>
          </cell>
          <cell r="AN54">
            <v>324</v>
          </cell>
          <cell r="AO54">
            <v>350</v>
          </cell>
          <cell r="AP54">
            <v>315</v>
          </cell>
        </row>
        <row r="55">
          <cell r="F55">
            <v>2</v>
          </cell>
          <cell r="G55">
            <v>1</v>
          </cell>
          <cell r="H55">
            <v>1</v>
          </cell>
          <cell r="P55">
            <v>40.800000000000004</v>
          </cell>
          <cell r="Q55">
            <v>58</v>
          </cell>
          <cell r="R55">
            <v>32</v>
          </cell>
          <cell r="S55">
            <v>263.2</v>
          </cell>
          <cell r="T55">
            <v>205.29599999999999</v>
          </cell>
          <cell r="U55">
            <v>57.903999999999996</v>
          </cell>
          <cell r="V55">
            <v>552</v>
          </cell>
          <cell r="W55">
            <v>532</v>
          </cell>
          <cell r="X55">
            <v>790.40000000000009</v>
          </cell>
          <cell r="Y55">
            <v>560</v>
          </cell>
          <cell r="Z55">
            <v>230.40000000000009</v>
          </cell>
          <cell r="AA55">
            <v>2526</v>
          </cell>
          <cell r="AB55">
            <v>7785</v>
          </cell>
          <cell r="AC55">
            <v>64</v>
          </cell>
          <cell r="AD55">
            <v>34</v>
          </cell>
          <cell r="AE55">
            <v>30</v>
          </cell>
          <cell r="AF55">
            <v>157.33333333333334</v>
          </cell>
          <cell r="AG55">
            <v>108</v>
          </cell>
          <cell r="AH55">
            <v>49.333333333333343</v>
          </cell>
          <cell r="AI55">
            <v>1268.4000000000001</v>
          </cell>
          <cell r="AJ55">
            <v>635.79999999999995</v>
          </cell>
          <cell r="AK55">
            <v>632.60000000000014</v>
          </cell>
          <cell r="AL55">
            <v>632.60000000000014</v>
          </cell>
          <cell r="AM55">
            <v>594</v>
          </cell>
          <cell r="AN55">
            <v>350</v>
          </cell>
          <cell r="AO55">
            <v>41.799999999999955</v>
          </cell>
          <cell r="AP55">
            <v>282.60000000000014</v>
          </cell>
        </row>
        <row r="56">
          <cell r="F56">
            <v>0</v>
          </cell>
          <cell r="G56">
            <v>0</v>
          </cell>
          <cell r="H56">
            <v>0</v>
          </cell>
          <cell r="P56">
            <v>0</v>
          </cell>
          <cell r="Q56">
            <v>8</v>
          </cell>
          <cell r="R56">
            <v>4</v>
          </cell>
          <cell r="S56">
            <v>13.666666666666666</v>
          </cell>
          <cell r="T56">
            <v>13.666666666666666</v>
          </cell>
          <cell r="U56">
            <v>0</v>
          </cell>
          <cell r="V56">
            <v>410</v>
          </cell>
          <cell r="W56">
            <v>179</v>
          </cell>
          <cell r="X56">
            <v>708.80000000000007</v>
          </cell>
          <cell r="Y56">
            <v>502</v>
          </cell>
          <cell r="Z56">
            <v>206.80000000000007</v>
          </cell>
          <cell r="AA56">
            <v>902</v>
          </cell>
          <cell r="AB56">
            <v>2722</v>
          </cell>
          <cell r="AC56">
            <v>13.333333333333334</v>
          </cell>
          <cell r="AD56">
            <v>7</v>
          </cell>
          <cell r="AE56">
            <v>6.3333333333333339</v>
          </cell>
          <cell r="AF56">
            <v>0</v>
          </cell>
          <cell r="AG56">
            <v>0</v>
          </cell>
          <cell r="AH56">
            <v>0</v>
          </cell>
          <cell r="AI56">
            <v>735.80000000000007</v>
          </cell>
          <cell r="AJ56">
            <v>509</v>
          </cell>
          <cell r="AK56">
            <v>226.80000000000007</v>
          </cell>
          <cell r="AL56">
            <v>226.80000000000007</v>
          </cell>
          <cell r="AM56">
            <v>509</v>
          </cell>
          <cell r="AN56">
            <v>218</v>
          </cell>
          <cell r="AO56">
            <v>0</v>
          </cell>
          <cell r="AP56">
            <v>8.8000000000000682</v>
          </cell>
        </row>
        <row r="57">
          <cell r="F57">
            <v>0</v>
          </cell>
          <cell r="G57">
            <v>0</v>
          </cell>
          <cell r="H57">
            <v>0</v>
          </cell>
          <cell r="P57">
            <v>8271</v>
          </cell>
          <cell r="Q57">
            <v>5299</v>
          </cell>
          <cell r="R57">
            <v>2972</v>
          </cell>
          <cell r="S57">
            <v>1598</v>
          </cell>
          <cell r="T57">
            <v>1598</v>
          </cell>
          <cell r="U57">
            <v>0</v>
          </cell>
          <cell r="V57">
            <v>12874</v>
          </cell>
          <cell r="W57">
            <v>7771</v>
          </cell>
          <cell r="X57">
            <v>13610</v>
          </cell>
          <cell r="Y57">
            <v>9645</v>
          </cell>
          <cell r="Z57">
            <v>3965</v>
          </cell>
          <cell r="AA57">
            <v>146826</v>
          </cell>
          <cell r="AB57">
            <v>294840</v>
          </cell>
          <cell r="AC57">
            <v>11589</v>
          </cell>
          <cell r="AD57">
            <v>6072</v>
          </cell>
          <cell r="AE57">
            <v>5517</v>
          </cell>
          <cell r="AF57">
            <v>0</v>
          </cell>
          <cell r="AH57">
            <v>0</v>
          </cell>
          <cell r="AI57">
            <v>26797</v>
          </cell>
          <cell r="AJ57">
            <v>15717</v>
          </cell>
          <cell r="AK57">
            <v>11080</v>
          </cell>
          <cell r="AL57">
            <v>11080</v>
          </cell>
          <cell r="AM57">
            <v>15717</v>
          </cell>
          <cell r="AN57">
            <v>11080</v>
          </cell>
          <cell r="AO57">
            <v>0</v>
          </cell>
          <cell r="AP57">
            <v>0</v>
          </cell>
        </row>
        <row r="58">
          <cell r="F58">
            <v>0</v>
          </cell>
          <cell r="G58">
            <v>0</v>
          </cell>
          <cell r="H58">
            <v>0</v>
          </cell>
          <cell r="P58">
            <v>0</v>
          </cell>
          <cell r="Q58">
            <v>5299</v>
          </cell>
          <cell r="R58">
            <v>2972</v>
          </cell>
          <cell r="S58">
            <v>1598</v>
          </cell>
          <cell r="T58">
            <v>1598</v>
          </cell>
          <cell r="U58">
            <v>0</v>
          </cell>
          <cell r="V58">
            <v>12849</v>
          </cell>
          <cell r="W58">
            <v>7771</v>
          </cell>
          <cell r="X58">
            <v>13610</v>
          </cell>
          <cell r="Y58">
            <v>9645</v>
          </cell>
          <cell r="Z58">
            <v>3965</v>
          </cell>
          <cell r="AA58">
            <v>146826</v>
          </cell>
          <cell r="AB58">
            <v>294840</v>
          </cell>
          <cell r="AC58">
            <v>11589</v>
          </cell>
          <cell r="AD58">
            <v>6072</v>
          </cell>
          <cell r="AE58">
            <v>5517</v>
          </cell>
          <cell r="AF58">
            <v>0</v>
          </cell>
          <cell r="AG58">
            <v>0</v>
          </cell>
          <cell r="AH58">
            <v>0</v>
          </cell>
          <cell r="AI58">
            <v>26797</v>
          </cell>
          <cell r="AJ58">
            <v>15717</v>
          </cell>
          <cell r="AK58">
            <v>11080</v>
          </cell>
          <cell r="AL58">
            <v>11080</v>
          </cell>
          <cell r="AM58">
            <v>15717</v>
          </cell>
          <cell r="AN58">
            <v>11080</v>
          </cell>
          <cell r="AO58">
            <v>0</v>
          </cell>
          <cell r="AP58">
            <v>0</v>
          </cell>
        </row>
        <row r="59">
          <cell r="F59">
            <v>0</v>
          </cell>
          <cell r="G59">
            <v>0</v>
          </cell>
          <cell r="H59">
            <v>0</v>
          </cell>
          <cell r="P59">
            <v>562.25</v>
          </cell>
          <cell r="Q59">
            <v>0</v>
          </cell>
          <cell r="R59">
            <v>0</v>
          </cell>
          <cell r="S59">
            <v>1035.1836363636362</v>
          </cell>
          <cell r="T59">
            <v>0</v>
          </cell>
          <cell r="U59">
            <v>0</v>
          </cell>
          <cell r="V59">
            <v>0</v>
          </cell>
          <cell r="W59">
            <v>0</v>
          </cell>
          <cell r="X59">
            <v>277.58636363636367</v>
          </cell>
          <cell r="Y59">
            <v>148</v>
          </cell>
          <cell r="Z59">
            <v>129.58636363636367</v>
          </cell>
          <cell r="AA59">
            <v>0</v>
          </cell>
          <cell r="AB59">
            <v>-20749</v>
          </cell>
          <cell r="AC59">
            <v>257.95090909090914</v>
          </cell>
          <cell r="AD59">
            <v>104</v>
          </cell>
          <cell r="AE59">
            <v>153.95090909090914</v>
          </cell>
          <cell r="AF59">
            <v>0</v>
          </cell>
          <cell r="AG59">
            <v>1165</v>
          </cell>
          <cell r="AH59">
            <v>0</v>
          </cell>
          <cell r="AI59">
            <v>0</v>
          </cell>
          <cell r="AJ59">
            <v>0</v>
          </cell>
          <cell r="AK59">
            <v>0</v>
          </cell>
          <cell r="AL59">
            <v>0</v>
          </cell>
          <cell r="AM59">
            <v>2875.7209090909091</v>
          </cell>
          <cell r="AN59">
            <v>0</v>
          </cell>
          <cell r="AO59">
            <v>252</v>
          </cell>
          <cell r="AP59">
            <v>635</v>
          </cell>
        </row>
        <row r="60">
          <cell r="F60">
            <v>0</v>
          </cell>
          <cell r="G60">
            <v>0</v>
          </cell>
          <cell r="H60">
            <v>0</v>
          </cell>
          <cell r="P60">
            <v>11.200000000000001</v>
          </cell>
          <cell r="Q60">
            <v>0</v>
          </cell>
          <cell r="R60">
            <v>0</v>
          </cell>
          <cell r="S60">
            <v>267.2</v>
          </cell>
          <cell r="T60">
            <v>267.2</v>
          </cell>
          <cell r="U60">
            <v>0</v>
          </cell>
          <cell r="V60">
            <v>16</v>
          </cell>
          <cell r="W60">
            <v>350</v>
          </cell>
          <cell r="X60">
            <v>0</v>
          </cell>
          <cell r="Y60">
            <v>0</v>
          </cell>
          <cell r="Z60">
            <v>0</v>
          </cell>
          <cell r="AA60">
            <v>4344</v>
          </cell>
          <cell r="AB60">
            <v>11898</v>
          </cell>
          <cell r="AC60">
            <v>0</v>
          </cell>
          <cell r="AD60">
            <v>0</v>
          </cell>
          <cell r="AE60">
            <v>0</v>
          </cell>
          <cell r="AF60">
            <v>536</v>
          </cell>
          <cell r="AG60">
            <v>220</v>
          </cell>
          <cell r="AH60">
            <v>316</v>
          </cell>
          <cell r="AI60">
            <v>498.4</v>
          </cell>
          <cell r="AJ60">
            <v>11.200000000000001</v>
          </cell>
          <cell r="AK60">
            <v>487.2</v>
          </cell>
          <cell r="AL60">
            <v>487.2</v>
          </cell>
          <cell r="AM60">
            <v>0</v>
          </cell>
          <cell r="AN60">
            <v>91</v>
          </cell>
          <cell r="AO60">
            <v>11.200000000000001</v>
          </cell>
          <cell r="AP60">
            <v>396.2</v>
          </cell>
        </row>
        <row r="61">
          <cell r="F61">
            <v>393.697</v>
          </cell>
          <cell r="G61">
            <v>154</v>
          </cell>
          <cell r="H61">
            <v>239.697</v>
          </cell>
          <cell r="P61">
            <v>546.32000000000005</v>
          </cell>
          <cell r="Q61">
            <v>40</v>
          </cell>
          <cell r="R61">
            <v>22.423728813559308</v>
          </cell>
          <cell r="S61">
            <v>887.77454545454532</v>
          </cell>
          <cell r="T61">
            <v>435.00952727272721</v>
          </cell>
          <cell r="U61">
            <v>452.76501818181811</v>
          </cell>
          <cell r="V61">
            <v>748.3098245614035</v>
          </cell>
          <cell r="W61">
            <v>618.1254831995243</v>
          </cell>
          <cell r="X61">
            <v>296.28636363636366</v>
          </cell>
          <cell r="Y61">
            <v>210</v>
          </cell>
          <cell r="Z61">
            <v>86.28636363636366</v>
          </cell>
          <cell r="AA61">
            <v>2580</v>
          </cell>
          <cell r="AB61">
            <v>8244.1254831995248</v>
          </cell>
          <cell r="AC61">
            <v>275.39636363636367</v>
          </cell>
          <cell r="AD61">
            <v>144</v>
          </cell>
          <cell r="AE61">
            <v>131.39636363636367</v>
          </cell>
          <cell r="AF61">
            <v>1043.4872727272727</v>
          </cell>
          <cell r="AG61">
            <v>824.2</v>
          </cell>
          <cell r="AH61">
            <v>219.28727272727269</v>
          </cell>
          <cell r="AI61">
            <v>3532.6742727272731</v>
          </cell>
          <cell r="AJ61">
            <v>1273.3200000000002</v>
          </cell>
          <cell r="AK61">
            <v>2259.3542727272729</v>
          </cell>
          <cell r="AL61">
            <v>2259.3542727272725</v>
          </cell>
          <cell r="AM61">
            <v>354</v>
          </cell>
          <cell r="AN61">
            <v>520</v>
          </cell>
          <cell r="AO61">
            <v>919.32000000000016</v>
          </cell>
          <cell r="AP61">
            <v>1739.3542727272729</v>
          </cell>
        </row>
        <row r="62">
          <cell r="F62">
            <v>22</v>
          </cell>
          <cell r="G62">
            <v>9</v>
          </cell>
          <cell r="H62">
            <v>13</v>
          </cell>
          <cell r="P62">
            <v>30</v>
          </cell>
          <cell r="Q62">
            <v>2</v>
          </cell>
          <cell r="R62">
            <v>1</v>
          </cell>
          <cell r="S62">
            <v>49</v>
          </cell>
          <cell r="T62">
            <v>24</v>
          </cell>
          <cell r="U62">
            <v>25</v>
          </cell>
          <cell r="V62">
            <v>41</v>
          </cell>
          <cell r="W62">
            <v>34</v>
          </cell>
          <cell r="X62">
            <v>16</v>
          </cell>
          <cell r="Y62">
            <v>11</v>
          </cell>
          <cell r="Z62">
            <v>5</v>
          </cell>
          <cell r="AA62">
            <v>143</v>
          </cell>
          <cell r="AB62">
            <v>460</v>
          </cell>
          <cell r="AC62">
            <v>15</v>
          </cell>
          <cell r="AD62">
            <v>8</v>
          </cell>
          <cell r="AE62">
            <v>7</v>
          </cell>
          <cell r="AF62">
            <v>57</v>
          </cell>
          <cell r="AG62">
            <v>45</v>
          </cell>
          <cell r="AH62">
            <v>12</v>
          </cell>
          <cell r="AI62">
            <v>194</v>
          </cell>
          <cell r="AJ62">
            <v>70</v>
          </cell>
          <cell r="AK62">
            <v>124</v>
          </cell>
          <cell r="AL62">
            <v>124</v>
          </cell>
          <cell r="AM62">
            <v>19</v>
          </cell>
          <cell r="AN62">
            <v>22</v>
          </cell>
          <cell r="AO62">
            <v>51</v>
          </cell>
          <cell r="AP62">
            <v>102</v>
          </cell>
        </row>
        <row r="63">
          <cell r="F63">
            <v>126</v>
          </cell>
          <cell r="G63">
            <v>49</v>
          </cell>
          <cell r="H63">
            <v>77</v>
          </cell>
          <cell r="P63">
            <v>175</v>
          </cell>
          <cell r="Q63">
            <v>13</v>
          </cell>
          <cell r="R63">
            <v>8</v>
          </cell>
          <cell r="S63">
            <v>284</v>
          </cell>
          <cell r="T63">
            <v>139</v>
          </cell>
          <cell r="U63">
            <v>145</v>
          </cell>
          <cell r="V63">
            <v>240</v>
          </cell>
          <cell r="W63">
            <v>198</v>
          </cell>
          <cell r="X63">
            <v>95</v>
          </cell>
          <cell r="Y63">
            <v>67</v>
          </cell>
          <cell r="Z63">
            <v>28</v>
          </cell>
          <cell r="AA63">
            <v>825</v>
          </cell>
          <cell r="AB63">
            <v>2637</v>
          </cell>
          <cell r="AC63">
            <v>88</v>
          </cell>
          <cell r="AD63">
            <v>46</v>
          </cell>
          <cell r="AE63">
            <v>42</v>
          </cell>
          <cell r="AF63">
            <v>334</v>
          </cell>
          <cell r="AG63">
            <v>264</v>
          </cell>
          <cell r="AH63">
            <v>70</v>
          </cell>
          <cell r="AI63">
            <v>1131</v>
          </cell>
          <cell r="AJ63">
            <v>407</v>
          </cell>
          <cell r="AK63">
            <v>724</v>
          </cell>
          <cell r="AL63">
            <v>724</v>
          </cell>
          <cell r="AM63">
            <v>0</v>
          </cell>
          <cell r="AN63">
            <v>0</v>
          </cell>
          <cell r="AO63">
            <v>0</v>
          </cell>
          <cell r="AP63">
            <v>0</v>
          </cell>
        </row>
        <row r="64">
          <cell r="F64">
            <v>0</v>
          </cell>
          <cell r="G64">
            <v>0</v>
          </cell>
          <cell r="P64">
            <v>0</v>
          </cell>
          <cell r="Q64">
            <v>8</v>
          </cell>
          <cell r="R64">
            <v>4</v>
          </cell>
          <cell r="T64">
            <v>16</v>
          </cell>
          <cell r="U64">
            <v>86</v>
          </cell>
          <cell r="V64">
            <v>58</v>
          </cell>
          <cell r="W64">
            <v>48</v>
          </cell>
          <cell r="X64">
            <v>0</v>
          </cell>
          <cell r="Y64">
            <v>757</v>
          </cell>
          <cell r="Z64">
            <v>805</v>
          </cell>
          <cell r="AA64">
            <v>184</v>
          </cell>
          <cell r="AB64">
            <v>989</v>
          </cell>
          <cell r="AC64">
            <v>16</v>
          </cell>
          <cell r="AD64">
            <v>19</v>
          </cell>
          <cell r="AE64">
            <v>42</v>
          </cell>
          <cell r="AF64">
            <v>29</v>
          </cell>
          <cell r="AH64">
            <v>0</v>
          </cell>
          <cell r="AI64">
            <v>0</v>
          </cell>
          <cell r="AJ64">
            <v>0</v>
          </cell>
          <cell r="AK64">
            <v>0</v>
          </cell>
          <cell r="AL64">
            <v>0</v>
          </cell>
          <cell r="AN64">
            <v>0</v>
          </cell>
          <cell r="AO64">
            <v>52</v>
          </cell>
          <cell r="AP64">
            <v>93</v>
          </cell>
        </row>
        <row r="65">
          <cell r="F65">
            <v>79</v>
          </cell>
          <cell r="G65">
            <v>31</v>
          </cell>
          <cell r="H65">
            <v>48</v>
          </cell>
          <cell r="P65">
            <v>520</v>
          </cell>
          <cell r="Q65">
            <v>285</v>
          </cell>
          <cell r="R65">
            <v>160</v>
          </cell>
          <cell r="S65">
            <v>1018</v>
          </cell>
          <cell r="T65">
            <v>162.88</v>
          </cell>
          <cell r="U65">
            <v>855.12</v>
          </cell>
          <cell r="V65">
            <v>973</v>
          </cell>
          <cell r="W65">
            <v>1131</v>
          </cell>
          <cell r="X65">
            <v>570</v>
          </cell>
          <cell r="Y65">
            <v>404</v>
          </cell>
          <cell r="Z65">
            <v>166</v>
          </cell>
          <cell r="AA65">
            <v>3962</v>
          </cell>
          <cell r="AB65">
            <v>14646</v>
          </cell>
          <cell r="AC65">
            <v>641</v>
          </cell>
          <cell r="AD65">
            <v>336</v>
          </cell>
          <cell r="AE65">
            <v>305</v>
          </cell>
          <cell r="AF65">
            <v>526</v>
          </cell>
          <cell r="AG65">
            <v>475</v>
          </cell>
          <cell r="AH65">
            <v>51</v>
          </cell>
          <cell r="AI65">
            <v>3313</v>
          </cell>
          <cell r="AJ65">
            <v>1298</v>
          </cell>
          <cell r="AK65">
            <v>2015</v>
          </cell>
          <cell r="AL65">
            <v>2015</v>
          </cell>
          <cell r="AM65">
            <v>740</v>
          </cell>
          <cell r="AN65">
            <v>817</v>
          </cell>
          <cell r="AO65">
            <v>558</v>
          </cell>
          <cell r="AP65">
            <v>1198</v>
          </cell>
        </row>
        <row r="66">
          <cell r="F66">
            <v>0</v>
          </cell>
          <cell r="G66">
            <v>0</v>
          </cell>
          <cell r="P66">
            <v>0</v>
          </cell>
          <cell r="Q66">
            <v>285</v>
          </cell>
          <cell r="R66">
            <v>160</v>
          </cell>
          <cell r="S66">
            <v>0</v>
          </cell>
          <cell r="T66">
            <v>16</v>
          </cell>
          <cell r="U66">
            <v>86</v>
          </cell>
          <cell r="V66">
            <v>914</v>
          </cell>
          <cell r="W66">
            <v>832</v>
          </cell>
          <cell r="X66">
            <v>0</v>
          </cell>
          <cell r="Y66" t="e">
            <v>#REF!</v>
          </cell>
          <cell r="Z66">
            <v>832</v>
          </cell>
          <cell r="AA66" t="e">
            <v>#REF!</v>
          </cell>
          <cell r="AB66">
            <v>832</v>
          </cell>
          <cell r="AC66">
            <v>0</v>
          </cell>
          <cell r="AD66">
            <v>0</v>
          </cell>
          <cell r="AH66">
            <v>0</v>
          </cell>
          <cell r="AI66">
            <v>0</v>
          </cell>
          <cell r="AK66">
            <v>0</v>
          </cell>
          <cell r="AL66">
            <v>0</v>
          </cell>
          <cell r="AM66">
            <v>74</v>
          </cell>
          <cell r="AN66">
            <v>82</v>
          </cell>
          <cell r="AO66">
            <v>56</v>
          </cell>
          <cell r="AP66">
            <v>120</v>
          </cell>
        </row>
        <row r="67">
          <cell r="F67">
            <v>84</v>
          </cell>
          <cell r="G67">
            <v>33</v>
          </cell>
          <cell r="H67">
            <v>51</v>
          </cell>
          <cell r="P67">
            <v>1291</v>
          </cell>
          <cell r="Q67">
            <v>0</v>
          </cell>
          <cell r="R67">
            <v>0</v>
          </cell>
          <cell r="S67">
            <v>4895</v>
          </cell>
          <cell r="T67">
            <v>146.88</v>
          </cell>
          <cell r="U67">
            <v>769.12</v>
          </cell>
          <cell r="V67">
            <v>54</v>
          </cell>
          <cell r="W67">
            <v>293</v>
          </cell>
          <cell r="X67">
            <v>290</v>
          </cell>
          <cell r="Y67">
            <v>304</v>
          </cell>
          <cell r="Z67">
            <v>265</v>
          </cell>
          <cell r="AB67">
            <v>293</v>
          </cell>
          <cell r="AC67">
            <v>85</v>
          </cell>
          <cell r="AD67">
            <v>213</v>
          </cell>
          <cell r="AE67">
            <v>314</v>
          </cell>
          <cell r="AF67">
            <v>5</v>
          </cell>
          <cell r="AG67">
            <v>5</v>
          </cell>
          <cell r="AH67">
            <v>0</v>
          </cell>
          <cell r="AI67">
            <v>6650</v>
          </cell>
          <cell r="AJ67">
            <v>1324</v>
          </cell>
          <cell r="AK67">
            <v>5326</v>
          </cell>
          <cell r="AL67">
            <v>4951</v>
          </cell>
          <cell r="AN67">
            <v>1346</v>
          </cell>
          <cell r="AO67">
            <v>465</v>
          </cell>
          <cell r="AP67">
            <v>552</v>
          </cell>
        </row>
        <row r="68">
          <cell r="F68">
            <v>0</v>
          </cell>
          <cell r="G68">
            <v>0</v>
          </cell>
          <cell r="H68">
            <v>94</v>
          </cell>
          <cell r="P68">
            <v>0</v>
          </cell>
          <cell r="Q68">
            <v>852</v>
          </cell>
          <cell r="R68">
            <v>478</v>
          </cell>
          <cell r="S68">
            <v>0</v>
          </cell>
          <cell r="T68">
            <v>542</v>
          </cell>
          <cell r="U68">
            <v>1626</v>
          </cell>
          <cell r="V68">
            <v>2249</v>
          </cell>
          <cell r="W68">
            <v>2344</v>
          </cell>
          <cell r="X68">
            <v>0</v>
          </cell>
          <cell r="Y68">
            <v>953</v>
          </cell>
          <cell r="Z68">
            <v>832</v>
          </cell>
          <cell r="AA68">
            <v>3910</v>
          </cell>
          <cell r="AB68">
            <v>15937</v>
          </cell>
          <cell r="AC68">
            <v>0</v>
          </cell>
          <cell r="AD68">
            <v>0</v>
          </cell>
          <cell r="AE68">
            <v>431</v>
          </cell>
          <cell r="AF68">
            <v>963</v>
          </cell>
          <cell r="AG68">
            <v>963</v>
          </cell>
          <cell r="AH68">
            <v>0</v>
          </cell>
          <cell r="AI68">
            <v>0</v>
          </cell>
          <cell r="AJ68">
            <v>0</v>
          </cell>
          <cell r="AK68">
            <v>0</v>
          </cell>
          <cell r="AL68">
            <v>0</v>
          </cell>
          <cell r="AM68">
            <v>4488</v>
          </cell>
          <cell r="AN68">
            <v>0</v>
          </cell>
          <cell r="AO68">
            <v>1245</v>
          </cell>
          <cell r="AP68">
            <v>2000</v>
          </cell>
        </row>
        <row r="69">
          <cell r="F69">
            <v>0</v>
          </cell>
          <cell r="G69">
            <v>0</v>
          </cell>
          <cell r="H69">
            <v>0</v>
          </cell>
          <cell r="P69">
            <v>-771</v>
          </cell>
          <cell r="Q69">
            <v>40</v>
          </cell>
          <cell r="R69">
            <v>23.192982456140342</v>
          </cell>
          <cell r="S69">
            <v>-3877</v>
          </cell>
          <cell r="T69">
            <v>146.88</v>
          </cell>
          <cell r="U69">
            <v>769.12</v>
          </cell>
          <cell r="V69">
            <v>158.07017543859649</v>
          </cell>
          <cell r="W69">
            <v>252.4912280701754</v>
          </cell>
          <cell r="X69">
            <v>280</v>
          </cell>
          <cell r="Y69">
            <v>404</v>
          </cell>
          <cell r="Z69">
            <v>166</v>
          </cell>
          <cell r="AA69">
            <v>948</v>
          </cell>
          <cell r="AB69">
            <v>3117.4912280701756</v>
          </cell>
          <cell r="AC69">
            <v>556</v>
          </cell>
          <cell r="AD69">
            <v>336</v>
          </cell>
          <cell r="AE69">
            <v>305</v>
          </cell>
          <cell r="AF69">
            <v>521</v>
          </cell>
          <cell r="AG69">
            <v>470</v>
          </cell>
          <cell r="AH69">
            <v>51</v>
          </cell>
          <cell r="AI69">
            <v>-3332</v>
          </cell>
          <cell r="AK69">
            <v>862.81818181818176</v>
          </cell>
          <cell r="AL69">
            <v>-2933</v>
          </cell>
          <cell r="AM69">
            <v>666</v>
          </cell>
          <cell r="AN69">
            <v>-611</v>
          </cell>
          <cell r="AO69">
            <v>502</v>
          </cell>
          <cell r="AP69">
            <v>1078</v>
          </cell>
        </row>
        <row r="70">
          <cell r="F70">
            <v>328</v>
          </cell>
          <cell r="G70">
            <v>128</v>
          </cell>
          <cell r="H70">
            <v>200</v>
          </cell>
          <cell r="P70">
            <v>870.40000000000009</v>
          </cell>
          <cell r="Q70">
            <v>2</v>
          </cell>
          <cell r="R70">
            <v>1</v>
          </cell>
          <cell r="S70">
            <v>1918.4</v>
          </cell>
          <cell r="T70">
            <v>479.6</v>
          </cell>
          <cell r="U70">
            <v>1438.8000000000002</v>
          </cell>
          <cell r="V70">
            <v>9</v>
          </cell>
          <cell r="W70">
            <v>13</v>
          </cell>
          <cell r="X70">
            <v>903.2</v>
          </cell>
          <cell r="Y70">
            <v>640</v>
          </cell>
          <cell r="Z70">
            <v>263.20000000000005</v>
          </cell>
          <cell r="AA70">
            <v>51</v>
          </cell>
          <cell r="AB70">
            <v>188</v>
          </cell>
          <cell r="AC70">
            <v>622.4</v>
          </cell>
          <cell r="AD70">
            <v>326</v>
          </cell>
          <cell r="AE70">
            <v>296.39999999999998</v>
          </cell>
          <cell r="AF70">
            <v>1475</v>
          </cell>
          <cell r="AG70">
            <v>1475</v>
          </cell>
          <cell r="AH70">
            <v>0</v>
          </cell>
          <cell r="AI70">
            <v>6117.4</v>
          </cell>
          <cell r="AJ70">
            <v>1964.4</v>
          </cell>
          <cell r="AK70">
            <v>4153</v>
          </cell>
          <cell r="AL70">
            <v>4153</v>
          </cell>
          <cell r="AM70">
            <v>966</v>
          </cell>
          <cell r="AN70">
            <v>1212</v>
          </cell>
          <cell r="AO70">
            <v>998.40000000000009</v>
          </cell>
          <cell r="AP70">
            <v>2941</v>
          </cell>
        </row>
        <row r="71">
          <cell r="F71">
            <v>0</v>
          </cell>
          <cell r="G71">
            <v>0</v>
          </cell>
          <cell r="H71">
            <v>0</v>
          </cell>
          <cell r="P71">
            <v>65</v>
          </cell>
          <cell r="Q71">
            <v>13</v>
          </cell>
          <cell r="R71">
            <v>7</v>
          </cell>
          <cell r="S71">
            <v>494.54545454545456</v>
          </cell>
          <cell r="U71">
            <v>133</v>
          </cell>
          <cell r="V71">
            <v>51</v>
          </cell>
          <cell r="W71">
            <v>82</v>
          </cell>
          <cell r="X71">
            <v>172.36363636363637</v>
          </cell>
          <cell r="Y71">
            <v>122</v>
          </cell>
          <cell r="Z71">
            <v>50.363636363636374</v>
          </cell>
          <cell r="AA71">
            <v>303</v>
          </cell>
          <cell r="AB71">
            <v>978</v>
          </cell>
          <cell r="AC71">
            <v>116.36363636363636</v>
          </cell>
          <cell r="AD71">
            <v>61</v>
          </cell>
          <cell r="AE71">
            <v>55.36363636363636</v>
          </cell>
          <cell r="AF71">
            <v>215.27272727272728</v>
          </cell>
          <cell r="AG71">
            <v>215</v>
          </cell>
          <cell r="AH71">
            <v>0.27272727272728048</v>
          </cell>
          <cell r="AI71">
            <v>1063.2727272727273</v>
          </cell>
          <cell r="AJ71">
            <v>248</v>
          </cell>
          <cell r="AK71">
            <v>815.27272727272725</v>
          </cell>
          <cell r="AL71">
            <v>815.27272727272737</v>
          </cell>
          <cell r="AM71">
            <v>206</v>
          </cell>
          <cell r="AN71">
            <v>206</v>
          </cell>
        </row>
        <row r="72">
          <cell r="F72">
            <v>0</v>
          </cell>
          <cell r="G72">
            <v>0</v>
          </cell>
          <cell r="H72">
            <v>0</v>
          </cell>
          <cell r="P72">
            <v>4</v>
          </cell>
          <cell r="Q72">
            <v>2</v>
          </cell>
          <cell r="R72">
            <v>1</v>
          </cell>
          <cell r="S72">
            <v>27</v>
          </cell>
          <cell r="U72">
            <v>19</v>
          </cell>
          <cell r="V72">
            <v>7</v>
          </cell>
          <cell r="W72">
            <v>12</v>
          </cell>
          <cell r="X72">
            <v>9</v>
          </cell>
          <cell r="Y72">
            <v>6</v>
          </cell>
          <cell r="Z72">
            <v>3</v>
          </cell>
          <cell r="AA72">
            <v>48</v>
          </cell>
          <cell r="AB72">
            <v>232</v>
          </cell>
          <cell r="AC72">
            <v>6</v>
          </cell>
          <cell r="AD72">
            <v>3</v>
          </cell>
          <cell r="AE72">
            <v>3</v>
          </cell>
          <cell r="AF72">
            <v>12</v>
          </cell>
          <cell r="AG72">
            <v>12</v>
          </cell>
          <cell r="AH72">
            <v>0</v>
          </cell>
          <cell r="AI72">
            <v>58</v>
          </cell>
          <cell r="AJ72">
            <v>13</v>
          </cell>
          <cell r="AK72">
            <v>45</v>
          </cell>
          <cell r="AL72">
            <v>45</v>
          </cell>
          <cell r="AM72">
            <v>0</v>
          </cell>
          <cell r="AN72">
            <v>0</v>
          </cell>
        </row>
        <row r="73">
          <cell r="F73">
            <v>0</v>
          </cell>
          <cell r="G73">
            <v>0</v>
          </cell>
          <cell r="H73">
            <v>0</v>
          </cell>
          <cell r="P73">
            <v>21</v>
          </cell>
          <cell r="Q73">
            <v>849</v>
          </cell>
          <cell r="R73">
            <v>476</v>
          </cell>
          <cell r="S73">
            <v>158</v>
          </cell>
          <cell r="T73">
            <v>51</v>
          </cell>
          <cell r="U73">
            <v>4085</v>
          </cell>
          <cell r="V73">
            <v>1841</v>
          </cell>
          <cell r="W73">
            <v>2244</v>
          </cell>
          <cell r="X73">
            <v>55</v>
          </cell>
          <cell r="Y73">
            <v>39</v>
          </cell>
          <cell r="Z73">
            <v>16</v>
          </cell>
          <cell r="AA73" t="e">
            <v>#REF!</v>
          </cell>
          <cell r="AB73">
            <v>2244</v>
          </cell>
          <cell r="AC73">
            <v>37</v>
          </cell>
          <cell r="AD73">
            <v>19</v>
          </cell>
          <cell r="AE73">
            <v>18</v>
          </cell>
          <cell r="AF73">
            <v>69</v>
          </cell>
          <cell r="AG73">
            <v>69</v>
          </cell>
          <cell r="AH73">
            <v>0</v>
          </cell>
          <cell r="AI73">
            <v>340</v>
          </cell>
          <cell r="AJ73">
            <v>79</v>
          </cell>
          <cell r="AK73">
            <v>261</v>
          </cell>
          <cell r="AL73">
            <v>261</v>
          </cell>
          <cell r="AM73">
            <v>3297</v>
          </cell>
          <cell r="AN73">
            <v>3297</v>
          </cell>
        </row>
        <row r="74">
          <cell r="F74">
            <v>0</v>
          </cell>
          <cell r="G74">
            <v>0</v>
          </cell>
          <cell r="P74">
            <v>63</v>
          </cell>
          <cell r="Q74">
            <v>3</v>
          </cell>
          <cell r="R74">
            <v>2</v>
          </cell>
          <cell r="S74">
            <v>0</v>
          </cell>
          <cell r="U74">
            <v>494</v>
          </cell>
          <cell r="V74">
            <v>3</v>
          </cell>
          <cell r="W74">
            <v>491</v>
          </cell>
          <cell r="X74">
            <v>0</v>
          </cell>
          <cell r="Y74" t="e">
            <v>#REF!</v>
          </cell>
          <cell r="Z74">
            <v>0</v>
          </cell>
          <cell r="AA74" t="e">
            <v>#REF!</v>
          </cell>
          <cell r="AB74">
            <v>491</v>
          </cell>
          <cell r="AC74">
            <v>0</v>
          </cell>
          <cell r="AD74">
            <v>0</v>
          </cell>
          <cell r="AE74">
            <v>0</v>
          </cell>
          <cell r="AF74">
            <v>0</v>
          </cell>
          <cell r="AG74">
            <v>0</v>
          </cell>
          <cell r="AH74">
            <v>0</v>
          </cell>
          <cell r="AI74">
            <v>63</v>
          </cell>
          <cell r="AJ74">
            <v>63</v>
          </cell>
          <cell r="AK74">
            <v>0</v>
          </cell>
          <cell r="AL74">
            <v>0</v>
          </cell>
          <cell r="AM74">
            <v>0</v>
          </cell>
          <cell r="AN74">
            <v>0</v>
          </cell>
        </row>
        <row r="75">
          <cell r="F75">
            <v>2739</v>
          </cell>
          <cell r="G75">
            <v>0</v>
          </cell>
          <cell r="H75">
            <v>1993</v>
          </cell>
          <cell r="P75">
            <v>870.40000000000009</v>
          </cell>
          <cell r="Q75">
            <v>20</v>
          </cell>
          <cell r="R75">
            <v>11</v>
          </cell>
          <cell r="S75">
            <v>0</v>
          </cell>
          <cell r="T75">
            <v>100.1</v>
          </cell>
          <cell r="U75">
            <v>142.56666666666666</v>
          </cell>
          <cell r="V75">
            <v>635</v>
          </cell>
          <cell r="W75">
            <v>2284.666666666667</v>
          </cell>
          <cell r="X75">
            <v>0</v>
          </cell>
          <cell r="Y75">
            <v>0</v>
          </cell>
          <cell r="Z75">
            <v>0</v>
          </cell>
          <cell r="AA75">
            <v>5795</v>
          </cell>
          <cell r="AB75">
            <v>23945.666666666668</v>
          </cell>
          <cell r="AC75">
            <v>0</v>
          </cell>
          <cell r="AD75">
            <v>0</v>
          </cell>
          <cell r="AE75">
            <v>0</v>
          </cell>
          <cell r="AF75">
            <v>0</v>
          </cell>
          <cell r="AG75">
            <v>0</v>
          </cell>
          <cell r="AH75">
            <v>0</v>
          </cell>
          <cell r="AI75">
            <v>870.40000000000009</v>
          </cell>
          <cell r="AJ75">
            <v>870.40000000000009</v>
          </cell>
          <cell r="AK75">
            <v>0</v>
          </cell>
          <cell r="AL75">
            <v>0</v>
          </cell>
          <cell r="AM75">
            <v>2713.0666666666666</v>
          </cell>
          <cell r="AN75">
            <v>2713.0666666666666</v>
          </cell>
          <cell r="AO75">
            <v>75</v>
          </cell>
          <cell r="AP75">
            <v>166</v>
          </cell>
        </row>
        <row r="76">
          <cell r="F76">
            <v>193</v>
          </cell>
          <cell r="G76">
            <v>0</v>
          </cell>
          <cell r="H76">
            <v>140</v>
          </cell>
          <cell r="P76">
            <v>935</v>
          </cell>
          <cell r="Q76" t="e">
            <v>#REF!</v>
          </cell>
          <cell r="R76" t="e">
            <v>#REF!</v>
          </cell>
          <cell r="S76">
            <v>4732.8</v>
          </cell>
          <cell r="T76">
            <v>0</v>
          </cell>
          <cell r="U76">
            <v>0</v>
          </cell>
          <cell r="V76">
            <v>0</v>
          </cell>
          <cell r="W76">
            <v>0</v>
          </cell>
          <cell r="X76">
            <v>80</v>
          </cell>
          <cell r="Y76">
            <v>0</v>
          </cell>
          <cell r="Z76">
            <v>0</v>
          </cell>
          <cell r="AA76">
            <v>0</v>
          </cell>
          <cell r="AB76">
            <v>401</v>
          </cell>
          <cell r="AC76">
            <v>85</v>
          </cell>
          <cell r="AD76">
            <v>45</v>
          </cell>
          <cell r="AE76">
            <v>40</v>
          </cell>
          <cell r="AF76">
            <v>0</v>
          </cell>
          <cell r="AH76">
            <v>0</v>
          </cell>
          <cell r="AI76">
            <v>5832.8</v>
          </cell>
          <cell r="AJ76">
            <v>980</v>
          </cell>
          <cell r="AK76">
            <v>4852.8</v>
          </cell>
          <cell r="AL76">
            <v>4772.8</v>
          </cell>
          <cell r="AM76">
            <v>140</v>
          </cell>
          <cell r="AN76">
            <v>140</v>
          </cell>
          <cell r="AO76">
            <v>0</v>
          </cell>
          <cell r="AP76">
            <v>0</v>
          </cell>
        </row>
        <row r="77">
          <cell r="F77">
            <v>3985.5</v>
          </cell>
          <cell r="G77">
            <v>1559</v>
          </cell>
          <cell r="H77">
            <v>2426.5</v>
          </cell>
          <cell r="P77">
            <v>88.2</v>
          </cell>
          <cell r="Q77">
            <v>20</v>
          </cell>
          <cell r="R77">
            <v>11</v>
          </cell>
          <cell r="S77">
            <v>201.86666666666662</v>
          </cell>
          <cell r="T77">
            <v>80.431999999999974</v>
          </cell>
          <cell r="U77">
            <v>121.43466666666664</v>
          </cell>
          <cell r="V77">
            <v>635</v>
          </cell>
          <cell r="W77">
            <v>2284.666666666667</v>
          </cell>
          <cell r="X77">
            <v>84.800000000000011</v>
          </cell>
          <cell r="Y77">
            <v>60</v>
          </cell>
          <cell r="Z77">
            <v>24.800000000000011</v>
          </cell>
          <cell r="AA77">
            <v>5796</v>
          </cell>
          <cell r="AB77">
            <v>23529.666666666668</v>
          </cell>
          <cell r="AC77">
            <v>135.4</v>
          </cell>
          <cell r="AD77">
            <v>71</v>
          </cell>
          <cell r="AE77">
            <v>64.400000000000006</v>
          </cell>
          <cell r="AF77">
            <v>168</v>
          </cell>
          <cell r="AG77">
            <v>140</v>
          </cell>
          <cell r="AH77">
            <v>28</v>
          </cell>
          <cell r="AI77">
            <v>5147.7666666666664</v>
          </cell>
          <cell r="AJ77">
            <v>2074.1999999999998</v>
          </cell>
          <cell r="AK77">
            <v>3073.5666666666666</v>
          </cell>
          <cell r="AL77">
            <v>3072.5666666666671</v>
          </cell>
          <cell r="AM77">
            <v>131</v>
          </cell>
          <cell r="AN77">
            <v>158</v>
          </cell>
          <cell r="AO77">
            <v>1943.2</v>
          </cell>
          <cell r="AP77">
            <v>2915.5666666666666</v>
          </cell>
        </row>
        <row r="78">
          <cell r="F78">
            <v>295</v>
          </cell>
          <cell r="G78">
            <v>115</v>
          </cell>
          <cell r="H78">
            <v>180</v>
          </cell>
          <cell r="P78">
            <v>72.666666666666671</v>
          </cell>
          <cell r="Q78">
            <v>20</v>
          </cell>
          <cell r="R78">
            <v>11</v>
          </cell>
          <cell r="S78">
            <v>151.66666666666666</v>
          </cell>
          <cell r="T78">
            <v>0</v>
          </cell>
          <cell r="U78">
            <v>0</v>
          </cell>
          <cell r="V78">
            <v>373</v>
          </cell>
          <cell r="W78">
            <v>330</v>
          </cell>
          <cell r="X78">
            <v>57</v>
          </cell>
          <cell r="Y78">
            <v>0</v>
          </cell>
          <cell r="Z78">
            <v>0</v>
          </cell>
          <cell r="AB78">
            <v>330</v>
          </cell>
          <cell r="AC78">
            <v>37</v>
          </cell>
          <cell r="AD78">
            <v>28</v>
          </cell>
          <cell r="AE78">
            <v>0</v>
          </cell>
          <cell r="AF78">
            <v>136.66666666666666</v>
          </cell>
          <cell r="AG78">
            <v>119</v>
          </cell>
          <cell r="AH78">
            <v>0</v>
          </cell>
          <cell r="AI78" t="e">
            <v>#REF!</v>
          </cell>
          <cell r="AJ78">
            <v>115</v>
          </cell>
          <cell r="AK78" t="e">
            <v>#REF!</v>
          </cell>
          <cell r="AL78">
            <v>180</v>
          </cell>
          <cell r="AM78">
            <v>0</v>
          </cell>
          <cell r="AN78">
            <v>0</v>
          </cell>
          <cell r="AO78">
            <v>115</v>
          </cell>
          <cell r="AP78" t="e">
            <v>#REF!</v>
          </cell>
        </row>
        <row r="79">
          <cell r="F79">
            <v>3690.5</v>
          </cell>
          <cell r="G79">
            <v>1444</v>
          </cell>
          <cell r="H79">
            <v>2246.5</v>
          </cell>
          <cell r="P79">
            <v>88.2</v>
          </cell>
          <cell r="Q79" t="e">
            <v>#REF!</v>
          </cell>
          <cell r="S79">
            <v>201.86666666666662</v>
          </cell>
          <cell r="T79">
            <v>80.431999999999974</v>
          </cell>
          <cell r="U79">
            <v>121.43466666666664</v>
          </cell>
          <cell r="V79">
            <v>262</v>
          </cell>
          <cell r="W79">
            <v>1955</v>
          </cell>
          <cell r="X79">
            <v>84.800000000000011</v>
          </cell>
          <cell r="Y79">
            <v>60</v>
          </cell>
          <cell r="Z79">
            <v>24.800000000000011</v>
          </cell>
          <cell r="AB79">
            <v>1955</v>
          </cell>
          <cell r="AC79">
            <v>135.4</v>
          </cell>
          <cell r="AD79">
            <v>71</v>
          </cell>
          <cell r="AE79">
            <v>64.400000000000006</v>
          </cell>
          <cell r="AF79">
            <v>168</v>
          </cell>
          <cell r="AG79">
            <v>140</v>
          </cell>
          <cell r="AH79">
            <v>28</v>
          </cell>
          <cell r="AI79">
            <v>4852.7666666666664</v>
          </cell>
          <cell r="AJ79">
            <v>1959.2</v>
          </cell>
          <cell r="AK79">
            <v>2893.5666666666666</v>
          </cell>
          <cell r="AL79">
            <v>2892.5666666666671</v>
          </cell>
          <cell r="AM79">
            <v>131</v>
          </cell>
          <cell r="AN79">
            <v>158</v>
          </cell>
          <cell r="AO79">
            <v>1828.2</v>
          </cell>
          <cell r="AP79">
            <v>2735.5666666666666</v>
          </cell>
        </row>
        <row r="80">
          <cell r="F80">
            <v>684</v>
          </cell>
          <cell r="G80">
            <v>268</v>
          </cell>
          <cell r="H80">
            <v>416</v>
          </cell>
          <cell r="P80">
            <v>63.2</v>
          </cell>
          <cell r="Q80" t="e">
            <v>#REF!</v>
          </cell>
          <cell r="R80" t="e">
            <v>#REF!</v>
          </cell>
          <cell r="S80">
            <v>121.86666666666663</v>
          </cell>
          <cell r="T80">
            <v>80.431999999999974</v>
          </cell>
          <cell r="U80">
            <v>41.434666666666658</v>
          </cell>
          <cell r="V80">
            <v>0</v>
          </cell>
          <cell r="W80">
            <v>0</v>
          </cell>
          <cell r="X80">
            <v>65.600000000000009</v>
          </cell>
          <cell r="Y80">
            <v>46</v>
          </cell>
          <cell r="Z80">
            <v>19.600000000000009</v>
          </cell>
          <cell r="AA80" t="e">
            <v>#REF!</v>
          </cell>
          <cell r="AB80" t="e">
            <v>#REF!</v>
          </cell>
          <cell r="AC80">
            <v>27.200000000000003</v>
          </cell>
          <cell r="AD80">
            <v>14</v>
          </cell>
          <cell r="AE80">
            <v>13.200000000000003</v>
          </cell>
          <cell r="AF80">
            <v>110.4</v>
          </cell>
          <cell r="AG80">
            <v>95</v>
          </cell>
          <cell r="AH80">
            <v>15.400000000000006</v>
          </cell>
          <cell r="AI80">
            <v>1201.8666666666668</v>
          </cell>
          <cell r="AJ80">
            <v>525.20000000000005</v>
          </cell>
          <cell r="AK80">
            <v>676.66666666666674</v>
          </cell>
          <cell r="AL80">
            <v>676.66666666666674</v>
          </cell>
          <cell r="AM80">
            <v>308.39999999999992</v>
          </cell>
          <cell r="AN80">
            <v>308.39999999999992</v>
          </cell>
          <cell r="AP80">
            <v>676.66666666666674</v>
          </cell>
        </row>
        <row r="81">
          <cell r="F81">
            <v>33</v>
          </cell>
          <cell r="G81">
            <v>137</v>
          </cell>
          <cell r="H81">
            <v>33</v>
          </cell>
          <cell r="P81">
            <v>0</v>
          </cell>
          <cell r="S81">
            <v>0</v>
          </cell>
          <cell r="U81">
            <v>65</v>
          </cell>
          <cell r="V81">
            <v>30</v>
          </cell>
          <cell r="W81">
            <v>35</v>
          </cell>
          <cell r="X81">
            <v>25.333333333333332</v>
          </cell>
          <cell r="Y81">
            <v>14</v>
          </cell>
          <cell r="Z81">
            <v>11.333333333333332</v>
          </cell>
          <cell r="AA81" t="e">
            <v>#REF!</v>
          </cell>
          <cell r="AB81" t="e">
            <v>#REF!</v>
          </cell>
          <cell r="AC81">
            <v>25</v>
          </cell>
          <cell r="AD81">
            <v>10</v>
          </cell>
          <cell r="AE81">
            <v>15</v>
          </cell>
          <cell r="AF81">
            <v>53</v>
          </cell>
          <cell r="AG81">
            <v>26</v>
          </cell>
          <cell r="AH81">
            <v>27</v>
          </cell>
          <cell r="AI81">
            <v>389</v>
          </cell>
          <cell r="AJ81">
            <v>156</v>
          </cell>
          <cell r="AK81">
            <v>233</v>
          </cell>
          <cell r="AL81">
            <v>233</v>
          </cell>
          <cell r="AM81">
            <v>468</v>
          </cell>
          <cell r="AN81">
            <v>468</v>
          </cell>
          <cell r="AP81">
            <v>233</v>
          </cell>
        </row>
        <row r="82">
          <cell r="F82">
            <v>239</v>
          </cell>
          <cell r="G82">
            <v>94</v>
          </cell>
          <cell r="H82">
            <v>145</v>
          </cell>
          <cell r="P82">
            <v>5</v>
          </cell>
          <cell r="Q82">
            <v>6721</v>
          </cell>
          <cell r="R82">
            <v>3768.4237288135591</v>
          </cell>
          <cell r="S82">
            <v>40</v>
          </cell>
          <cell r="T82">
            <v>1129</v>
          </cell>
          <cell r="U82">
            <v>34743.435307760927</v>
          </cell>
          <cell r="V82">
            <v>18819.309824561402</v>
          </cell>
          <cell r="W82">
            <v>15924.125483199525</v>
          </cell>
          <cell r="X82">
            <v>0</v>
          </cell>
          <cell r="Y82">
            <v>0</v>
          </cell>
          <cell r="Z82">
            <v>0</v>
          </cell>
          <cell r="AA82">
            <v>173414</v>
          </cell>
          <cell r="AB82">
            <v>368068.12548319955</v>
          </cell>
          <cell r="AC82">
            <v>27.200000000000003</v>
          </cell>
          <cell r="AD82">
            <v>14</v>
          </cell>
          <cell r="AE82">
            <v>13.200000000000003</v>
          </cell>
          <cell r="AF82">
            <v>25.6</v>
          </cell>
          <cell r="AG82">
            <v>20</v>
          </cell>
          <cell r="AH82">
            <v>5.6000000000000014</v>
          </cell>
          <cell r="AI82">
            <v>334.2</v>
          </cell>
          <cell r="AJ82">
            <v>114</v>
          </cell>
          <cell r="AK82">
            <v>220.2</v>
          </cell>
          <cell r="AL82">
            <v>219.2</v>
          </cell>
          <cell r="AM82">
            <v>0</v>
          </cell>
          <cell r="AN82">
            <v>0</v>
          </cell>
        </row>
        <row r="83">
          <cell r="F83">
            <v>2158.5</v>
          </cell>
          <cell r="G83">
            <v>845</v>
          </cell>
          <cell r="H83">
            <v>1313.5</v>
          </cell>
          <cell r="P83">
            <v>20</v>
          </cell>
          <cell r="S83">
            <v>40</v>
          </cell>
          <cell r="U83">
            <v>14098.435307760927</v>
          </cell>
          <cell r="V83">
            <v>5945.3098245614019</v>
          </cell>
          <cell r="W83">
            <v>8153.1254831995248</v>
          </cell>
          <cell r="X83">
            <v>19.200000000000003</v>
          </cell>
          <cell r="Y83">
            <v>14</v>
          </cell>
          <cell r="Z83">
            <v>5.2000000000000028</v>
          </cell>
          <cell r="AA83">
            <v>0</v>
          </cell>
          <cell r="AB83">
            <v>0</v>
          </cell>
          <cell r="AC83">
            <v>81</v>
          </cell>
          <cell r="AD83">
            <v>42</v>
          </cell>
          <cell r="AE83">
            <v>39</v>
          </cell>
          <cell r="AF83">
            <v>32</v>
          </cell>
          <cell r="AG83">
            <v>25</v>
          </cell>
          <cell r="AH83">
            <v>7</v>
          </cell>
          <cell r="AI83" t="e">
            <v>#REF!</v>
          </cell>
          <cell r="AJ83" t="e">
            <v>#REF!</v>
          </cell>
          <cell r="AK83" t="e">
            <v>#REF!</v>
          </cell>
          <cell r="AL83">
            <v>1425.7</v>
          </cell>
          <cell r="AM83">
            <v>42</v>
          </cell>
          <cell r="AN83">
            <v>38</v>
          </cell>
        </row>
        <row r="84">
          <cell r="F84">
            <v>576</v>
          </cell>
          <cell r="G84">
            <v>1171</v>
          </cell>
          <cell r="H84">
            <v>576</v>
          </cell>
          <cell r="P84">
            <v>2451.9166666666665</v>
          </cell>
          <cell r="Q84">
            <v>0</v>
          </cell>
          <cell r="R84">
            <v>0</v>
          </cell>
          <cell r="S84">
            <v>19113.516969696972</v>
          </cell>
          <cell r="T84">
            <v>15189.599981818181</v>
          </cell>
          <cell r="U84">
            <v>3923.9169878787875</v>
          </cell>
          <cell r="V84">
            <v>563</v>
          </cell>
          <cell r="W84" t="e">
            <v>#REF!</v>
          </cell>
          <cell r="X84">
            <v>19898.9196969697</v>
          </cell>
          <cell r="Y84">
            <v>11477</v>
          </cell>
          <cell r="Z84">
            <v>8421.9196969696968</v>
          </cell>
          <cell r="AA84">
            <v>0</v>
          </cell>
          <cell r="AB84">
            <v>0</v>
          </cell>
          <cell r="AC84">
            <v>17653.617575757573</v>
          </cell>
          <cell r="AD84">
            <v>8223</v>
          </cell>
          <cell r="AE84">
            <v>9430.6175757575766</v>
          </cell>
          <cell r="AF84">
            <v>4956.3842424242421</v>
          </cell>
          <cell r="AG84">
            <v>4147.3999999999996</v>
          </cell>
          <cell r="AH84">
            <v>809.98424242424232</v>
          </cell>
          <cell r="AI84" t="e">
            <v>#REF!</v>
          </cell>
          <cell r="AJ84">
            <v>0</v>
          </cell>
          <cell r="AK84" t="e">
            <v>#REF!</v>
          </cell>
          <cell r="AL84">
            <v>576</v>
          </cell>
          <cell r="AM84">
            <v>44571.454242424239</v>
          </cell>
          <cell r="AN84">
            <v>44569.454242424246</v>
          </cell>
          <cell r="AO84">
            <v>19618</v>
          </cell>
          <cell r="AP84">
            <v>31013</v>
          </cell>
        </row>
        <row r="85">
          <cell r="F85">
            <v>587</v>
          </cell>
          <cell r="G85">
            <v>0</v>
          </cell>
          <cell r="H85">
            <v>0</v>
          </cell>
          <cell r="P85">
            <v>9.6000000000000014</v>
          </cell>
          <cell r="Q85">
            <v>0</v>
          </cell>
          <cell r="R85">
            <v>0</v>
          </cell>
          <cell r="S85">
            <v>0</v>
          </cell>
          <cell r="T85">
            <v>507.23998181818172</v>
          </cell>
          <cell r="U85">
            <v>527.94365454545448</v>
          </cell>
          <cell r="V85">
            <v>0</v>
          </cell>
          <cell r="W85">
            <v>0</v>
          </cell>
          <cell r="X85">
            <v>0</v>
          </cell>
          <cell r="Y85">
            <v>249</v>
          </cell>
          <cell r="Z85">
            <v>216.95000000000005</v>
          </cell>
          <cell r="AA85">
            <v>0</v>
          </cell>
          <cell r="AB85">
            <v>0</v>
          </cell>
          <cell r="AC85">
            <v>2.4000000000000004</v>
          </cell>
          <cell r="AD85">
            <v>157</v>
          </cell>
          <cell r="AE85">
            <v>231.86000000000004</v>
          </cell>
          <cell r="AF85">
            <v>44</v>
          </cell>
          <cell r="AG85">
            <v>44</v>
          </cell>
          <cell r="AH85">
            <v>0</v>
          </cell>
          <cell r="AI85" t="e">
            <v>#REF!</v>
          </cell>
          <cell r="AJ85">
            <v>10.600000000000001</v>
          </cell>
          <cell r="AK85" t="e">
            <v>#REF!</v>
          </cell>
          <cell r="AL85">
            <v>44</v>
          </cell>
          <cell r="AM85">
            <v>3519.5390909090911</v>
          </cell>
          <cell r="AN85">
            <v>840.81000000000006</v>
          </cell>
        </row>
        <row r="86">
          <cell r="F86">
            <v>5648.1970000000001</v>
          </cell>
          <cell r="G86">
            <v>2210</v>
          </cell>
          <cell r="H86">
            <v>3438.1970000000001</v>
          </cell>
          <cell r="P86">
            <v>2586.1559999999999</v>
          </cell>
          <cell r="Q86">
            <v>0</v>
          </cell>
          <cell r="R86">
            <v>0</v>
          </cell>
          <cell r="S86">
            <v>7247.7078787878781</v>
          </cell>
          <cell r="T86">
            <v>3771.5508606060603</v>
          </cell>
          <cell r="U86">
            <v>3476.1570181818183</v>
          </cell>
          <cell r="V86">
            <v>22489.309824561402</v>
          </cell>
          <cell r="W86">
            <v>15924.125483199525</v>
          </cell>
          <cell r="X86">
            <v>16562.486363636363</v>
          </cell>
          <cell r="Y86">
            <v>11736</v>
          </cell>
          <cell r="Z86">
            <v>4826.4863636363634</v>
          </cell>
          <cell r="AA86">
            <v>0</v>
          </cell>
          <cell r="AB86">
            <v>0</v>
          </cell>
          <cell r="AC86">
            <v>13534.196363636363</v>
          </cell>
          <cell r="AD86">
            <v>7091</v>
          </cell>
          <cell r="AE86">
            <v>6443.1963636363625</v>
          </cell>
          <cell r="AF86">
            <v>4694.9539393939394</v>
          </cell>
          <cell r="AG86">
            <v>3851.2</v>
          </cell>
          <cell r="AH86">
            <v>843.7539393939395</v>
          </cell>
          <cell r="AI86">
            <v>50553.943606060609</v>
          </cell>
          <cell r="AJ86">
            <v>24382.156000000003</v>
          </cell>
          <cell r="AK86">
            <v>26171.787606060607</v>
          </cell>
          <cell r="AL86">
            <v>26170.787606060603</v>
          </cell>
          <cell r="AM86">
            <v>18714</v>
          </cell>
          <cell r="AN86">
            <v>14616</v>
          </cell>
          <cell r="AO86">
            <v>5261.1559999999999</v>
          </cell>
          <cell r="AP86">
            <v>10831.787606060607</v>
          </cell>
        </row>
        <row r="87">
          <cell r="F87">
            <v>393.697</v>
          </cell>
          <cell r="G87">
            <v>154</v>
          </cell>
          <cell r="H87">
            <v>239.697</v>
          </cell>
          <cell r="P87">
            <v>611.32000000000005</v>
          </cell>
          <cell r="Q87">
            <v>0</v>
          </cell>
          <cell r="R87">
            <v>0</v>
          </cell>
          <cell r="T87">
            <v>435.00952727272721</v>
          </cell>
          <cell r="U87">
            <v>452.76501818181811</v>
          </cell>
          <cell r="V87">
            <v>0</v>
          </cell>
          <cell r="W87">
            <v>0</v>
          </cell>
          <cell r="X87">
            <v>52.068000000000012</v>
          </cell>
          <cell r="Y87">
            <v>332</v>
          </cell>
          <cell r="Z87">
            <v>136.65000000000003</v>
          </cell>
          <cell r="AA87">
            <v>0</v>
          </cell>
          <cell r="AB87">
            <v>0</v>
          </cell>
          <cell r="AC87">
            <v>0</v>
          </cell>
          <cell r="AD87">
            <v>205</v>
          </cell>
          <cell r="AE87">
            <v>186.76000000000005</v>
          </cell>
          <cell r="AF87">
            <v>52.068000000000012</v>
          </cell>
          <cell r="AH87">
            <v>219.55999999999997</v>
          </cell>
          <cell r="AI87">
            <v>4595.9470000000001</v>
          </cell>
          <cell r="AJ87">
            <v>1521.3200000000002</v>
          </cell>
          <cell r="AK87">
            <v>3074.6270000000004</v>
          </cell>
          <cell r="AL87">
            <v>653.10700000000008</v>
          </cell>
          <cell r="AM87">
            <v>0</v>
          </cell>
          <cell r="AN87">
            <v>0</v>
          </cell>
          <cell r="AO87">
            <v>0</v>
          </cell>
          <cell r="AP87">
            <v>0</v>
          </cell>
        </row>
        <row r="88">
          <cell r="F88">
            <v>26047</v>
          </cell>
          <cell r="G88">
            <v>22941</v>
          </cell>
          <cell r="H88">
            <v>3106</v>
          </cell>
          <cell r="P88">
            <v>2451.9166666666665</v>
          </cell>
          <cell r="Q88">
            <v>0</v>
          </cell>
          <cell r="R88">
            <v>0</v>
          </cell>
          <cell r="S88">
            <v>19113.516969696972</v>
          </cell>
          <cell r="T88">
            <v>15189.599981818181</v>
          </cell>
          <cell r="U88">
            <v>3923.9169878787875</v>
          </cell>
          <cell r="V88">
            <v>0</v>
          </cell>
          <cell r="W88">
            <v>0</v>
          </cell>
          <cell r="X88">
            <v>19898.9196969697</v>
          </cell>
          <cell r="Y88">
            <v>11477</v>
          </cell>
          <cell r="Z88">
            <v>8421.9196969696968</v>
          </cell>
          <cell r="AA88">
            <v>0</v>
          </cell>
          <cell r="AB88">
            <v>0</v>
          </cell>
          <cell r="AC88">
            <v>17653.617575757573</v>
          </cell>
          <cell r="AD88">
            <v>8223</v>
          </cell>
          <cell r="AE88">
            <v>9430.6175757575766</v>
          </cell>
          <cell r="AF88">
            <v>4956.3842424242421</v>
          </cell>
          <cell r="AG88">
            <v>4147.3999999999996</v>
          </cell>
          <cell r="AH88">
            <v>809.98424242424232</v>
          </cell>
          <cell r="AJ88">
            <v>24382.156000000006</v>
          </cell>
          <cell r="AK88">
            <v>84271.370909090911</v>
          </cell>
          <cell r="AL88">
            <v>0</v>
          </cell>
          <cell r="AM88">
            <v>44571.454242424239</v>
          </cell>
          <cell r="AN88">
            <v>44569.454242424246</v>
          </cell>
          <cell r="AO88">
            <v>19618</v>
          </cell>
          <cell r="AP88">
            <v>31013</v>
          </cell>
        </row>
        <row r="89">
          <cell r="F89">
            <v>5607</v>
          </cell>
          <cell r="G89">
            <v>5607</v>
          </cell>
          <cell r="H89">
            <v>0</v>
          </cell>
          <cell r="P89">
            <v>0</v>
          </cell>
          <cell r="Q89">
            <v>0</v>
          </cell>
          <cell r="R89">
            <v>0</v>
          </cell>
          <cell r="S89">
            <v>0</v>
          </cell>
          <cell r="T89">
            <v>824</v>
          </cell>
          <cell r="U89">
            <v>57.666666666666664</v>
          </cell>
          <cell r="V89">
            <v>36</v>
          </cell>
          <cell r="W89">
            <v>21.666666666666664</v>
          </cell>
          <cell r="X89">
            <v>21.666666666666664</v>
          </cell>
          <cell r="Y89">
            <v>1002</v>
          </cell>
          <cell r="Z89">
            <v>1023.6666666666666</v>
          </cell>
          <cell r="AA89">
            <v>1525</v>
          </cell>
          <cell r="AB89">
            <v>2548.6666666666665</v>
          </cell>
          <cell r="AC89">
            <v>0</v>
          </cell>
          <cell r="AD89">
            <v>0</v>
          </cell>
          <cell r="AE89">
            <v>36</v>
          </cell>
          <cell r="AF89">
            <v>21.666666666666664</v>
          </cell>
          <cell r="AH89">
            <v>0</v>
          </cell>
          <cell r="AI89">
            <v>5607</v>
          </cell>
          <cell r="AJ89">
            <v>5607</v>
          </cell>
          <cell r="AK89">
            <v>0</v>
          </cell>
          <cell r="AL89">
            <v>0</v>
          </cell>
          <cell r="AM89">
            <v>0</v>
          </cell>
          <cell r="AN89">
            <v>0</v>
          </cell>
          <cell r="AO89">
            <v>0</v>
          </cell>
          <cell r="AP89">
            <v>0</v>
          </cell>
        </row>
        <row r="90">
          <cell r="F90">
            <v>11255.197</v>
          </cell>
          <cell r="G90">
            <v>7817</v>
          </cell>
          <cell r="H90">
            <v>3438.1970000000001</v>
          </cell>
          <cell r="P90">
            <v>2586.1559999999999</v>
          </cell>
          <cell r="Q90">
            <v>0</v>
          </cell>
          <cell r="R90">
            <v>0</v>
          </cell>
          <cell r="S90">
            <v>7247.7078787878781</v>
          </cell>
          <cell r="T90">
            <v>3771.5508606060603</v>
          </cell>
          <cell r="U90">
            <v>3476.1570181818183</v>
          </cell>
          <cell r="V90">
            <v>0</v>
          </cell>
          <cell r="W90">
            <v>0</v>
          </cell>
          <cell r="X90">
            <v>16562.486363636363</v>
          </cell>
          <cell r="Y90">
            <v>11736</v>
          </cell>
          <cell r="Z90">
            <v>4826.4863636363634</v>
          </cell>
          <cell r="AA90">
            <v>0</v>
          </cell>
          <cell r="AB90">
            <v>0</v>
          </cell>
          <cell r="AC90">
            <v>13534.196363636363</v>
          </cell>
          <cell r="AD90">
            <v>7091</v>
          </cell>
          <cell r="AE90">
            <v>6443.1963636363625</v>
          </cell>
          <cell r="AF90">
            <v>4694.9539393939394</v>
          </cell>
          <cell r="AG90">
            <v>3851.2</v>
          </cell>
          <cell r="AH90">
            <v>843.7539393939395</v>
          </cell>
          <cell r="AI90">
            <v>56160.943606060609</v>
          </cell>
          <cell r="AJ90">
            <v>29989.156000000003</v>
          </cell>
          <cell r="AK90">
            <v>26171.787606060607</v>
          </cell>
          <cell r="AL90">
            <v>26170.787606060603</v>
          </cell>
          <cell r="AM90">
            <v>18714</v>
          </cell>
          <cell r="AN90">
            <v>14616</v>
          </cell>
          <cell r="AO90">
            <v>5261.1559999999999</v>
          </cell>
          <cell r="AP90">
            <v>10831.787606060607</v>
          </cell>
        </row>
        <row r="91">
          <cell r="F91">
            <v>0</v>
          </cell>
          <cell r="G91">
            <v>0</v>
          </cell>
          <cell r="H91">
            <v>0</v>
          </cell>
          <cell r="P91">
            <v>10489.423728813559</v>
          </cell>
          <cell r="Q91">
            <v>6721</v>
          </cell>
          <cell r="R91">
            <v>3768.4237288135591</v>
          </cell>
          <cell r="S91">
            <v>0</v>
          </cell>
          <cell r="T91">
            <v>0</v>
          </cell>
          <cell r="U91">
            <v>0</v>
          </cell>
          <cell r="V91">
            <v>23000.665824561402</v>
          </cell>
          <cell r="W91">
            <v>16084.86014986619</v>
          </cell>
          <cell r="X91">
            <v>0</v>
          </cell>
          <cell r="Y91">
            <v>0</v>
          </cell>
          <cell r="Z91">
            <v>0</v>
          </cell>
          <cell r="AA91">
            <v>0</v>
          </cell>
          <cell r="AB91">
            <v>0</v>
          </cell>
          <cell r="AC91">
            <v>0</v>
          </cell>
          <cell r="AD91">
            <v>0</v>
          </cell>
          <cell r="AE91">
            <v>0</v>
          </cell>
          <cell r="AF91">
            <v>5197.8601498661919</v>
          </cell>
          <cell r="AH91">
            <v>0</v>
          </cell>
          <cell r="AK91">
            <v>0</v>
          </cell>
          <cell r="AL91">
            <v>0</v>
          </cell>
          <cell r="AM91">
            <v>0</v>
          </cell>
          <cell r="AN91">
            <v>0</v>
          </cell>
          <cell r="AO91" t="e">
            <v>#REF!</v>
          </cell>
          <cell r="AP91" t="e">
            <v>#REF!</v>
          </cell>
        </row>
        <row r="92">
          <cell r="F92">
            <v>497</v>
          </cell>
          <cell r="G92">
            <v>380</v>
          </cell>
          <cell r="H92">
            <v>117</v>
          </cell>
          <cell r="P92">
            <v>0</v>
          </cell>
          <cell r="Q92">
            <v>1422</v>
          </cell>
          <cell r="R92">
            <v>796.42372881355914</v>
          </cell>
          <cell r="S92">
            <v>0</v>
          </cell>
          <cell r="T92">
            <v>1129</v>
          </cell>
          <cell r="U92">
            <v>14770.52597442759</v>
          </cell>
          <cell r="V92">
            <v>6456.6658245614017</v>
          </cell>
          <cell r="W92">
            <v>8313.8601498661901</v>
          </cell>
          <cell r="X92">
            <v>0</v>
          </cell>
          <cell r="Y92">
            <v>0</v>
          </cell>
          <cell r="Z92">
            <v>0</v>
          </cell>
          <cell r="AA92">
            <v>30183</v>
          </cell>
          <cell r="AB92">
            <v>103189.86014986626</v>
          </cell>
          <cell r="AC92">
            <v>0</v>
          </cell>
          <cell r="AD92">
            <v>0</v>
          </cell>
          <cell r="AE92">
            <v>0</v>
          </cell>
          <cell r="AF92">
            <v>-3</v>
          </cell>
          <cell r="AG92">
            <v>5</v>
          </cell>
          <cell r="AH92">
            <v>0</v>
          </cell>
          <cell r="AI92">
            <v>497</v>
          </cell>
          <cell r="AJ92">
            <v>389</v>
          </cell>
          <cell r="AK92">
            <v>108</v>
          </cell>
          <cell r="AL92">
            <v>117</v>
          </cell>
          <cell r="AM92">
            <v>0</v>
          </cell>
          <cell r="AN92">
            <v>0</v>
          </cell>
          <cell r="AO92" t="e">
            <v>#REF!</v>
          </cell>
          <cell r="AP92" t="e">
            <v>#REF!</v>
          </cell>
        </row>
        <row r="93">
          <cell r="F93">
            <v>41</v>
          </cell>
          <cell r="G93">
            <v>24</v>
          </cell>
          <cell r="H93">
            <v>17</v>
          </cell>
          <cell r="P93">
            <v>125.61671126969965</v>
          </cell>
          <cell r="Q93">
            <v>80</v>
          </cell>
          <cell r="R93">
            <v>45.61671126969965</v>
          </cell>
          <cell r="S93">
            <v>0</v>
          </cell>
          <cell r="T93">
            <v>0</v>
          </cell>
          <cell r="U93">
            <v>0</v>
          </cell>
          <cell r="V93">
            <v>906.38</v>
          </cell>
          <cell r="W93">
            <v>870.61671126969964</v>
          </cell>
          <cell r="X93">
            <v>0</v>
          </cell>
          <cell r="Y93">
            <v>0</v>
          </cell>
          <cell r="Z93">
            <v>0</v>
          </cell>
          <cell r="AA93">
            <v>0</v>
          </cell>
          <cell r="AB93">
            <v>0</v>
          </cell>
          <cell r="AC93">
            <v>0</v>
          </cell>
          <cell r="AD93">
            <v>0</v>
          </cell>
          <cell r="AE93">
            <v>0</v>
          </cell>
          <cell r="AF93">
            <v>385.1254831995243</v>
          </cell>
          <cell r="AH93">
            <v>0</v>
          </cell>
          <cell r="AI93">
            <v>41</v>
          </cell>
          <cell r="AJ93">
            <v>24</v>
          </cell>
          <cell r="AK93">
            <v>17</v>
          </cell>
          <cell r="AL93">
            <v>17</v>
          </cell>
          <cell r="AM93">
            <v>0</v>
          </cell>
          <cell r="AN93">
            <v>0</v>
          </cell>
          <cell r="AO93">
            <v>0</v>
          </cell>
          <cell r="AP93">
            <v>0</v>
          </cell>
        </row>
        <row r="94">
          <cell r="F94">
            <v>0</v>
          </cell>
          <cell r="G94">
            <v>0</v>
          </cell>
          <cell r="H94">
            <v>0</v>
          </cell>
          <cell r="P94">
            <v>0</v>
          </cell>
          <cell r="S94">
            <v>0</v>
          </cell>
          <cell r="T94">
            <v>0</v>
          </cell>
          <cell r="U94">
            <v>3306</v>
          </cell>
          <cell r="W94" t="e">
            <v>#REF!</v>
          </cell>
          <cell r="X94">
            <v>0</v>
          </cell>
          <cell r="Y94">
            <v>0</v>
          </cell>
          <cell r="Z94">
            <v>0</v>
          </cell>
          <cell r="AC94">
            <v>0</v>
          </cell>
          <cell r="AD94">
            <v>0</v>
          </cell>
          <cell r="AE94">
            <v>0</v>
          </cell>
          <cell r="AF94">
            <v>12</v>
          </cell>
          <cell r="AG94">
            <v>10</v>
          </cell>
          <cell r="AH94">
            <v>2</v>
          </cell>
          <cell r="AI94">
            <v>10</v>
          </cell>
          <cell r="AJ94">
            <v>0</v>
          </cell>
          <cell r="AK94">
            <v>10</v>
          </cell>
          <cell r="AL94">
            <v>10</v>
          </cell>
          <cell r="AM94">
            <v>0</v>
          </cell>
          <cell r="AN94">
            <v>0</v>
          </cell>
          <cell r="AO94">
            <v>0</v>
          </cell>
          <cell r="AP94">
            <v>10</v>
          </cell>
        </row>
        <row r="95">
          <cell r="F95">
            <v>26868</v>
          </cell>
          <cell r="G95">
            <v>23450.040915090191</v>
          </cell>
          <cell r="H95">
            <v>3417.9590849098108</v>
          </cell>
          <cell r="P95">
            <v>2451.9166666666665</v>
          </cell>
          <cell r="Q95">
            <v>0</v>
          </cell>
          <cell r="R95">
            <v>0</v>
          </cell>
          <cell r="S95">
            <v>19113.516969696972</v>
          </cell>
          <cell r="T95">
            <v>15189.599981818181</v>
          </cell>
          <cell r="U95">
            <v>3923.9169878787875</v>
          </cell>
          <cell r="V95">
            <v>0</v>
          </cell>
          <cell r="W95">
            <v>0</v>
          </cell>
          <cell r="X95">
            <v>19898.9196969697</v>
          </cell>
          <cell r="Y95">
            <v>11477</v>
          </cell>
          <cell r="Z95">
            <v>8421.9196969696968</v>
          </cell>
          <cell r="AA95">
            <v>0</v>
          </cell>
          <cell r="AB95">
            <v>0</v>
          </cell>
          <cell r="AC95">
            <v>17653.617575757573</v>
          </cell>
          <cell r="AD95">
            <v>8223</v>
          </cell>
          <cell r="AE95">
            <v>9430.6175757575766</v>
          </cell>
          <cell r="AF95">
            <v>4953.3842424242421</v>
          </cell>
          <cell r="AG95">
            <v>4152.3999999999996</v>
          </cell>
          <cell r="AH95">
            <v>801.98424242424232</v>
          </cell>
          <cell r="AJ95">
            <v>0</v>
          </cell>
          <cell r="AK95">
            <v>85097.370909090911</v>
          </cell>
          <cell r="AL95">
            <v>0</v>
          </cell>
          <cell r="AM95">
            <v>44888.413327334049</v>
          </cell>
          <cell r="AN95">
            <v>44886.413327334056</v>
          </cell>
          <cell r="AO95">
            <v>19618</v>
          </cell>
          <cell r="AP95">
            <v>31013</v>
          </cell>
        </row>
        <row r="96">
          <cell r="F96">
            <v>5098</v>
          </cell>
          <cell r="G96">
            <v>1680.0409150901905</v>
          </cell>
          <cell r="H96">
            <v>3417.9590849098108</v>
          </cell>
          <cell r="P96">
            <v>2451.9166666666665</v>
          </cell>
          <cell r="Q96">
            <v>0</v>
          </cell>
          <cell r="R96">
            <v>0</v>
          </cell>
          <cell r="S96">
            <v>8699.5169696969715</v>
          </cell>
          <cell r="T96">
            <v>4775.5999818181808</v>
          </cell>
          <cell r="U96">
            <v>3923.9169878787875</v>
          </cell>
          <cell r="V96">
            <v>0</v>
          </cell>
          <cell r="W96">
            <v>0</v>
          </cell>
          <cell r="X96">
            <v>3916.9196969697005</v>
          </cell>
          <cell r="Y96">
            <v>2092</v>
          </cell>
          <cell r="Z96">
            <v>1824.9196969696968</v>
          </cell>
          <cell r="AA96">
            <v>0</v>
          </cell>
          <cell r="AB96">
            <v>0</v>
          </cell>
          <cell r="AC96">
            <v>2172.6175757575729</v>
          </cell>
          <cell r="AD96">
            <v>879</v>
          </cell>
          <cell r="AE96">
            <v>1293.6175757575766</v>
          </cell>
          <cell r="AF96">
            <v>4953.3842424242421</v>
          </cell>
          <cell r="AG96">
            <v>4152.3999999999996</v>
          </cell>
          <cell r="AH96">
            <v>801.98424242424232</v>
          </cell>
          <cell r="AJ96">
            <v>0</v>
          </cell>
          <cell r="AK96">
            <v>27710.370909090911</v>
          </cell>
          <cell r="AL96">
            <v>0</v>
          </cell>
          <cell r="AM96">
            <v>19740.413327334049</v>
          </cell>
          <cell r="AN96">
            <v>19738.413327334056</v>
          </cell>
          <cell r="AO96">
            <v>2889</v>
          </cell>
          <cell r="AP96">
            <v>5865</v>
          </cell>
        </row>
        <row r="97">
          <cell r="F97">
            <v>11793.197</v>
          </cell>
          <cell r="G97">
            <v>8221</v>
          </cell>
          <cell r="H97">
            <v>3572.1970000000001</v>
          </cell>
          <cell r="P97">
            <v>2586.1559999999999</v>
          </cell>
          <cell r="Q97">
            <v>0</v>
          </cell>
          <cell r="R97">
            <v>0</v>
          </cell>
          <cell r="S97">
            <v>7247.7078787878781</v>
          </cell>
          <cell r="T97">
            <v>3771.5508606060603</v>
          </cell>
          <cell r="U97">
            <v>3476.1570181818183</v>
          </cell>
          <cell r="V97">
            <v>0</v>
          </cell>
          <cell r="W97">
            <v>0</v>
          </cell>
          <cell r="X97">
            <v>16562.486363636363</v>
          </cell>
          <cell r="Y97">
            <v>11736</v>
          </cell>
          <cell r="Z97">
            <v>4826.4863636363634</v>
          </cell>
          <cell r="AA97">
            <v>0</v>
          </cell>
          <cell r="AB97">
            <v>0</v>
          </cell>
          <cell r="AC97">
            <v>13534.196363636363</v>
          </cell>
          <cell r="AD97">
            <v>7091</v>
          </cell>
          <cell r="AE97">
            <v>6443.1963636363625</v>
          </cell>
          <cell r="AF97">
            <v>4706.9539393939394</v>
          </cell>
          <cell r="AG97">
            <v>3861.2</v>
          </cell>
          <cell r="AH97">
            <v>845.7539393939395</v>
          </cell>
          <cell r="AI97">
            <v>56708.943606060609</v>
          </cell>
          <cell r="AJ97">
            <v>30402.156000000003</v>
          </cell>
          <cell r="AK97">
            <v>26306.787606060607</v>
          </cell>
          <cell r="AL97">
            <v>26314.787606060603</v>
          </cell>
          <cell r="AM97">
            <v>18714</v>
          </cell>
          <cell r="AN97">
            <v>14616</v>
          </cell>
          <cell r="AO97" t="e">
            <v>#REF!</v>
          </cell>
          <cell r="AP97" t="e">
            <v>#REF!</v>
          </cell>
        </row>
        <row r="98">
          <cell r="F98">
            <v>6186.1970000000001</v>
          </cell>
          <cell r="G98">
            <v>2614</v>
          </cell>
          <cell r="H98">
            <v>3572.1970000000001</v>
          </cell>
          <cell r="P98">
            <v>2586.1559999999999</v>
          </cell>
          <cell r="Q98">
            <v>0</v>
          </cell>
          <cell r="R98">
            <v>0</v>
          </cell>
          <cell r="S98">
            <v>5649.7078787878781</v>
          </cell>
          <cell r="T98">
            <v>2173.5508606060603</v>
          </cell>
          <cell r="U98">
            <v>3476.1570181818183</v>
          </cell>
          <cell r="V98">
            <v>0</v>
          </cell>
          <cell r="W98">
            <v>0</v>
          </cell>
          <cell r="X98">
            <v>2952.4863636363625</v>
          </cell>
          <cell r="Y98">
            <v>2091</v>
          </cell>
          <cell r="Z98">
            <v>861.48636363636342</v>
          </cell>
          <cell r="AA98">
            <v>0</v>
          </cell>
          <cell r="AB98">
            <v>0</v>
          </cell>
          <cell r="AC98">
            <v>1945.1963636363635</v>
          </cell>
          <cell r="AD98">
            <v>1019</v>
          </cell>
          <cell r="AE98">
            <v>926.19636363636255</v>
          </cell>
          <cell r="AF98">
            <v>4706.9539393939394</v>
          </cell>
          <cell r="AG98">
            <v>3861.2</v>
          </cell>
          <cell r="AH98">
            <v>845.7539393939395</v>
          </cell>
          <cell r="AI98">
            <v>24304.943606060609</v>
          </cell>
          <cell r="AJ98">
            <v>9078.1560000000027</v>
          </cell>
          <cell r="AK98">
            <v>15226.787606060607</v>
          </cell>
          <cell r="AL98">
            <v>15234.787606060603</v>
          </cell>
          <cell r="AM98">
            <v>2997</v>
          </cell>
          <cell r="AN98">
            <v>3536</v>
          </cell>
          <cell r="AO98" t="e">
            <v>#REF!</v>
          </cell>
          <cell r="AP98" t="e">
            <v>#REF!</v>
          </cell>
        </row>
        <row r="99">
          <cell r="F99">
            <v>35</v>
          </cell>
          <cell r="P99">
            <v>1565</v>
          </cell>
          <cell r="S99">
            <v>4895.1499999999996</v>
          </cell>
          <cell r="U99">
            <v>0</v>
          </cell>
          <cell r="W99" t="e">
            <v>#REF!</v>
          </cell>
          <cell r="X99">
            <v>290</v>
          </cell>
          <cell r="AC99">
            <v>85</v>
          </cell>
          <cell r="AF99">
            <v>5</v>
          </cell>
          <cell r="AG99">
            <v>5</v>
          </cell>
          <cell r="AH99">
            <v>0</v>
          </cell>
          <cell r="AI99" t="e">
            <v>#REF!</v>
          </cell>
          <cell r="AJ99" t="e">
            <v>#REF!</v>
          </cell>
        </row>
        <row r="100">
          <cell r="F100">
            <v>35</v>
          </cell>
          <cell r="P100">
            <v>1291</v>
          </cell>
          <cell r="S100">
            <v>4895</v>
          </cell>
          <cell r="U100">
            <v>1093</v>
          </cell>
          <cell r="W100" t="e">
            <v>#REF!</v>
          </cell>
          <cell r="X100">
            <v>290</v>
          </cell>
          <cell r="AC100">
            <v>85</v>
          </cell>
          <cell r="AF100">
            <v>5</v>
          </cell>
          <cell r="AG100">
            <v>5</v>
          </cell>
          <cell r="AH100">
            <v>0</v>
          </cell>
          <cell r="AI100" t="e">
            <v>#REF!</v>
          </cell>
          <cell r="AJ100">
            <v>56708.943606060609</v>
          </cell>
          <cell r="AK100">
            <v>30402.156000000006</v>
          </cell>
          <cell r="AL100">
            <v>85097.370909090911</v>
          </cell>
          <cell r="AM100">
            <v>40210.957581756855</v>
          </cell>
        </row>
        <row r="101">
          <cell r="F101">
            <v>0</v>
          </cell>
          <cell r="P101">
            <v>985</v>
          </cell>
          <cell r="S101">
            <v>2100</v>
          </cell>
          <cell r="U101">
            <v>913</v>
          </cell>
          <cell r="W101" t="e">
            <v>#REF!</v>
          </cell>
          <cell r="X101">
            <v>109.5</v>
          </cell>
          <cell r="AC101">
            <v>85</v>
          </cell>
          <cell r="AI101" t="e">
            <v>#REF!</v>
          </cell>
          <cell r="AK101">
            <v>0</v>
          </cell>
        </row>
        <row r="102">
          <cell r="F102">
            <v>0</v>
          </cell>
          <cell r="P102">
            <v>274</v>
          </cell>
          <cell r="S102">
            <v>0.1499999999996362</v>
          </cell>
          <cell r="U102">
            <v>50</v>
          </cell>
          <cell r="W102" t="e">
            <v>#REF!</v>
          </cell>
          <cell r="X102">
            <v>0</v>
          </cell>
          <cell r="AC102">
            <v>0</v>
          </cell>
          <cell r="AF102">
            <v>0</v>
          </cell>
          <cell r="AG102">
            <v>0</v>
          </cell>
          <cell r="AH102">
            <v>0</v>
          </cell>
          <cell r="AI102" t="e">
            <v>#REF!</v>
          </cell>
          <cell r="AK102">
            <v>7284</v>
          </cell>
        </row>
        <row r="103">
          <cell r="P103">
            <v>1878</v>
          </cell>
          <cell r="S103">
            <v>0</v>
          </cell>
          <cell r="T103">
            <v>10</v>
          </cell>
          <cell r="U103">
            <v>130</v>
          </cell>
          <cell r="W103" t="e">
            <v>#REF!</v>
          </cell>
        </row>
        <row r="104">
          <cell r="F104">
            <v>5833</v>
          </cell>
          <cell r="P104">
            <v>935</v>
          </cell>
          <cell r="S104">
            <v>4732.8</v>
          </cell>
          <cell r="T104">
            <v>10</v>
          </cell>
          <cell r="U104">
            <v>3922</v>
          </cell>
          <cell r="W104" t="e">
            <v>#REF!</v>
          </cell>
          <cell r="X104">
            <v>80</v>
          </cell>
          <cell r="AC104">
            <v>85</v>
          </cell>
        </row>
        <row r="105">
          <cell r="P105">
            <v>0</v>
          </cell>
          <cell r="S105">
            <v>0</v>
          </cell>
          <cell r="U105">
            <v>261</v>
          </cell>
          <cell r="W105" t="e">
            <v>#REF!</v>
          </cell>
          <cell r="X105">
            <v>0</v>
          </cell>
        </row>
        <row r="106">
          <cell r="P106">
            <v>935</v>
          </cell>
          <cell r="S106">
            <v>2100</v>
          </cell>
          <cell r="T106">
            <v>55</v>
          </cell>
          <cell r="U106">
            <v>3661</v>
          </cell>
          <cell r="W106" t="e">
            <v>#REF!</v>
          </cell>
          <cell r="X106">
            <v>80</v>
          </cell>
          <cell r="Y106">
            <v>0</v>
          </cell>
          <cell r="AC106">
            <v>85</v>
          </cell>
          <cell r="AK106">
            <v>0</v>
          </cell>
        </row>
        <row r="107">
          <cell r="P107">
            <v>0</v>
          </cell>
          <cell r="T107">
            <v>55</v>
          </cell>
          <cell r="U107">
            <v>-38.052597442759001</v>
          </cell>
          <cell r="V107">
            <v>-38.052597442759001</v>
          </cell>
          <cell r="W107">
            <v>0</v>
          </cell>
          <cell r="AI107" t="e">
            <v>#REF!</v>
          </cell>
          <cell r="AK107">
            <v>0</v>
          </cell>
        </row>
        <row r="108">
          <cell r="F108">
            <v>0</v>
          </cell>
          <cell r="P108">
            <v>0</v>
          </cell>
          <cell r="S108">
            <v>0</v>
          </cell>
          <cell r="U108">
            <v>268</v>
          </cell>
          <cell r="W108">
            <v>0</v>
          </cell>
          <cell r="X108">
            <v>0</v>
          </cell>
          <cell r="Y108">
            <v>0</v>
          </cell>
          <cell r="AC108">
            <v>0</v>
          </cell>
          <cell r="AF108">
            <v>0</v>
          </cell>
          <cell r="AG108">
            <v>0</v>
          </cell>
          <cell r="AH108">
            <v>0</v>
          </cell>
          <cell r="AI108" t="e">
            <v>#REF!</v>
          </cell>
          <cell r="AK108">
            <v>0</v>
          </cell>
        </row>
        <row r="109">
          <cell r="F109">
            <v>0</v>
          </cell>
          <cell r="P109">
            <v>274</v>
          </cell>
          <cell r="S109">
            <v>-17.850000000000364</v>
          </cell>
          <cell r="U109">
            <v>0</v>
          </cell>
          <cell r="V109">
            <v>0</v>
          </cell>
          <cell r="W109">
            <v>0</v>
          </cell>
          <cell r="X109">
            <v>0</v>
          </cell>
          <cell r="AC109">
            <v>0</v>
          </cell>
          <cell r="AF109">
            <v>0</v>
          </cell>
          <cell r="AG109">
            <v>0</v>
          </cell>
          <cell r="AH109">
            <v>0</v>
          </cell>
          <cell r="AI109" t="e">
            <v>#REF!</v>
          </cell>
          <cell r="AK109">
            <v>0</v>
          </cell>
        </row>
        <row r="110">
          <cell r="F110">
            <v>0</v>
          </cell>
          <cell r="P110">
            <v>274</v>
          </cell>
          <cell r="S110">
            <v>-17.850000000000364</v>
          </cell>
          <cell r="U110">
            <v>0</v>
          </cell>
          <cell r="W110" t="e">
            <v>#REF!</v>
          </cell>
          <cell r="AC110">
            <v>0</v>
          </cell>
          <cell r="AF110">
            <v>0</v>
          </cell>
          <cell r="AG110">
            <v>0</v>
          </cell>
          <cell r="AH110">
            <v>0</v>
          </cell>
          <cell r="AI110" t="e">
            <v>#REF!</v>
          </cell>
          <cell r="AK110">
            <v>0</v>
          </cell>
        </row>
        <row r="111">
          <cell r="F111">
            <v>0</v>
          </cell>
          <cell r="P111">
            <v>0</v>
          </cell>
          <cell r="S111">
            <v>0</v>
          </cell>
          <cell r="U111">
            <v>1568.5</v>
          </cell>
          <cell r="W111" t="e">
            <v>#REF!</v>
          </cell>
          <cell r="X111">
            <v>0</v>
          </cell>
          <cell r="AC111">
            <v>0</v>
          </cell>
          <cell r="AF111">
            <v>0</v>
          </cell>
          <cell r="AG111">
            <v>0</v>
          </cell>
          <cell r="AH111">
            <v>0</v>
          </cell>
          <cell r="AI111" t="e">
            <v>#REF!</v>
          </cell>
          <cell r="AK111">
            <v>0</v>
          </cell>
        </row>
        <row r="112">
          <cell r="F112">
            <v>0</v>
          </cell>
          <cell r="P112">
            <v>0</v>
          </cell>
          <cell r="S112">
            <v>0</v>
          </cell>
          <cell r="U112">
            <v>53.583333333333336</v>
          </cell>
          <cell r="X112">
            <v>0</v>
          </cell>
          <cell r="AC112">
            <v>0</v>
          </cell>
          <cell r="AF112">
            <v>0</v>
          </cell>
          <cell r="AG112">
            <v>0</v>
          </cell>
          <cell r="AH112">
            <v>0</v>
          </cell>
          <cell r="AI112" t="e">
            <v>#REF!</v>
          </cell>
          <cell r="AK112">
            <v>0</v>
          </cell>
        </row>
        <row r="113">
          <cell r="F113">
            <v>0</v>
          </cell>
          <cell r="P113">
            <v>0</v>
          </cell>
          <cell r="S113">
            <v>18</v>
          </cell>
          <cell r="W113">
            <v>-12710</v>
          </cell>
          <cell r="X113">
            <v>0</v>
          </cell>
          <cell r="AC113">
            <v>0</v>
          </cell>
          <cell r="AF113">
            <v>0</v>
          </cell>
          <cell r="AG113">
            <v>0</v>
          </cell>
          <cell r="AH113">
            <v>0</v>
          </cell>
          <cell r="AI113" t="e">
            <v>#REF!</v>
          </cell>
          <cell r="AK113">
            <v>0</v>
          </cell>
        </row>
        <row r="114">
          <cell r="F114">
            <v>0</v>
          </cell>
          <cell r="P114">
            <v>0</v>
          </cell>
          <cell r="S114">
            <v>18</v>
          </cell>
          <cell r="U114" t="e">
            <v>#REF!</v>
          </cell>
          <cell r="V114" t="e">
            <v>#REF!</v>
          </cell>
          <cell r="W114" t="e">
            <v>#REF!</v>
          </cell>
          <cell r="X114">
            <v>0</v>
          </cell>
          <cell r="AC114">
            <v>0</v>
          </cell>
          <cell r="AF114">
            <v>0</v>
          </cell>
          <cell r="AG114">
            <v>0</v>
          </cell>
          <cell r="AH114">
            <v>0</v>
          </cell>
          <cell r="AI114" t="e">
            <v>#REF!</v>
          </cell>
          <cell r="AK114">
            <v>0</v>
          </cell>
        </row>
        <row r="115">
          <cell r="F115">
            <v>0</v>
          </cell>
          <cell r="P115">
            <v>0</v>
          </cell>
          <cell r="Q115">
            <v>0</v>
          </cell>
          <cell r="R115">
            <v>0</v>
          </cell>
          <cell r="S115">
            <v>0</v>
          </cell>
          <cell r="T115">
            <v>65</v>
          </cell>
          <cell r="U115" t="e">
            <v>#REF!</v>
          </cell>
          <cell r="W115" t="e">
            <v>#REF!</v>
          </cell>
          <cell r="X115">
            <v>0</v>
          </cell>
          <cell r="Z115">
            <v>0</v>
          </cell>
          <cell r="AA115">
            <v>0</v>
          </cell>
          <cell r="AB115">
            <v>0</v>
          </cell>
          <cell r="AC115">
            <v>0</v>
          </cell>
          <cell r="AF115">
            <v>0</v>
          </cell>
          <cell r="AG115">
            <v>0</v>
          </cell>
          <cell r="AH115">
            <v>0</v>
          </cell>
          <cell r="AI115" t="e">
            <v>#REF!</v>
          </cell>
          <cell r="AK115">
            <v>0</v>
          </cell>
          <cell r="AM115">
            <v>0</v>
          </cell>
        </row>
        <row r="116">
          <cell r="F116" t="e">
            <v>#REF!</v>
          </cell>
          <cell r="P116">
            <v>0</v>
          </cell>
          <cell r="Q116">
            <v>0</v>
          </cell>
          <cell r="R116">
            <v>0</v>
          </cell>
          <cell r="S116">
            <v>0</v>
          </cell>
          <cell r="T116">
            <v>0</v>
          </cell>
          <cell r="U116">
            <v>7512.0307358905739</v>
          </cell>
          <cell r="V116" t="e">
            <v>#REF!</v>
          </cell>
          <cell r="W116" t="e">
            <v>#REF!</v>
          </cell>
          <cell r="AC116">
            <v>0</v>
          </cell>
          <cell r="AD116">
            <v>0</v>
          </cell>
          <cell r="AE116">
            <v>0</v>
          </cell>
          <cell r="AF116">
            <v>0</v>
          </cell>
          <cell r="AG116">
            <v>0</v>
          </cell>
          <cell r="AH116">
            <v>0</v>
          </cell>
          <cell r="AI116" t="e">
            <v>#REF!</v>
          </cell>
          <cell r="AK116">
            <v>0</v>
          </cell>
        </row>
        <row r="117">
          <cell r="F117">
            <v>0</v>
          </cell>
          <cell r="P117">
            <v>0</v>
          </cell>
          <cell r="S117">
            <v>0</v>
          </cell>
          <cell r="T117">
            <v>0</v>
          </cell>
          <cell r="U117">
            <v>6599.0307358905739</v>
          </cell>
          <cell r="W117" t="e">
            <v>#REF!</v>
          </cell>
          <cell r="AC117">
            <v>0</v>
          </cell>
          <cell r="AG117">
            <v>0</v>
          </cell>
          <cell r="AH117">
            <v>0</v>
          </cell>
          <cell r="AI117" t="e">
            <v>#REF!</v>
          </cell>
          <cell r="AK117">
            <v>0</v>
          </cell>
          <cell r="AL117">
            <v>0</v>
          </cell>
          <cell r="AM117">
            <v>0</v>
          </cell>
        </row>
        <row r="118">
          <cell r="F118">
            <v>0</v>
          </cell>
          <cell r="P118">
            <v>0</v>
          </cell>
          <cell r="S118">
            <v>0</v>
          </cell>
          <cell r="U118" t="e">
            <v>#REF!</v>
          </cell>
          <cell r="W118" t="e">
            <v>#REF!</v>
          </cell>
          <cell r="AC118">
            <v>0</v>
          </cell>
          <cell r="AG118">
            <v>0</v>
          </cell>
          <cell r="AH118">
            <v>0</v>
          </cell>
          <cell r="AI118" t="e">
            <v>#REF!</v>
          </cell>
          <cell r="AJ118">
            <v>0</v>
          </cell>
          <cell r="AK118">
            <v>0</v>
          </cell>
        </row>
        <row r="119">
          <cell r="F119">
            <v>0</v>
          </cell>
          <cell r="P119">
            <v>0</v>
          </cell>
          <cell r="S119">
            <v>0</v>
          </cell>
          <cell r="U119">
            <v>-230.79318209931299</v>
          </cell>
          <cell r="W119" t="e">
            <v>#REF!</v>
          </cell>
          <cell r="X119" t="e">
            <v>#REF!</v>
          </cell>
          <cell r="Y119" t="e">
            <v>#REF!</v>
          </cell>
          <cell r="AC119">
            <v>0</v>
          </cell>
          <cell r="AF119">
            <v>0</v>
          </cell>
          <cell r="AG119">
            <v>0</v>
          </cell>
          <cell r="AH119">
            <v>0</v>
          </cell>
          <cell r="AI119" t="e">
            <v>#REF!</v>
          </cell>
          <cell r="AK119">
            <v>0</v>
          </cell>
        </row>
        <row r="120">
          <cell r="F120">
            <v>0</v>
          </cell>
          <cell r="P120">
            <v>0</v>
          </cell>
          <cell r="S120">
            <v>0</v>
          </cell>
          <cell r="U120">
            <v>-380.52597442758997</v>
          </cell>
          <cell r="V120">
            <v>6725.3341754385983</v>
          </cell>
          <cell r="W120">
            <v>-7406.8601498661901</v>
          </cell>
          <cell r="X120">
            <v>0</v>
          </cell>
          <cell r="AC120">
            <v>0</v>
          </cell>
          <cell r="AF120">
            <v>0</v>
          </cell>
          <cell r="AG120">
            <v>0</v>
          </cell>
          <cell r="AH120">
            <v>0</v>
          </cell>
          <cell r="AI120" t="e">
            <v>#REF!</v>
          </cell>
          <cell r="AK120">
            <v>0</v>
          </cell>
        </row>
        <row r="121">
          <cell r="F121">
            <v>100</v>
          </cell>
          <cell r="P121">
            <v>0</v>
          </cell>
          <cell r="S121">
            <v>0</v>
          </cell>
          <cell r="W121">
            <v>0</v>
          </cell>
          <cell r="X121">
            <v>0</v>
          </cell>
          <cell r="Z121">
            <v>0</v>
          </cell>
          <cell r="AC121">
            <v>0</v>
          </cell>
          <cell r="AG121">
            <v>0</v>
          </cell>
          <cell r="AH121">
            <v>0</v>
          </cell>
          <cell r="AI121" t="e">
            <v>#REF!</v>
          </cell>
          <cell r="AK121">
            <v>100</v>
          </cell>
        </row>
        <row r="122">
          <cell r="F122">
            <v>595</v>
          </cell>
          <cell r="S122">
            <v>0</v>
          </cell>
          <cell r="U122">
            <v>-149.73279232827699</v>
          </cell>
          <cell r="X122">
            <v>0</v>
          </cell>
          <cell r="AC122">
            <v>0</v>
          </cell>
          <cell r="AF122">
            <v>0</v>
          </cell>
          <cell r="AI122" t="e">
            <v>#REF!</v>
          </cell>
          <cell r="AK122">
            <v>0</v>
          </cell>
        </row>
        <row r="123">
          <cell r="F123">
            <v>3480</v>
          </cell>
          <cell r="S123">
            <v>0</v>
          </cell>
          <cell r="X123">
            <v>0</v>
          </cell>
          <cell r="AF123">
            <v>0</v>
          </cell>
          <cell r="AI123" t="e">
            <v>#REF!</v>
          </cell>
          <cell r="AK123">
            <v>3480</v>
          </cell>
        </row>
        <row r="124">
          <cell r="F124">
            <v>3609</v>
          </cell>
          <cell r="W124">
            <v>24998</v>
          </cell>
          <cell r="Y124">
            <v>24998</v>
          </cell>
          <cell r="Z124">
            <v>0</v>
          </cell>
          <cell r="AB124">
            <v>0</v>
          </cell>
          <cell r="AI124" t="e">
            <v>#REF!</v>
          </cell>
          <cell r="AK124">
            <v>0</v>
          </cell>
        </row>
        <row r="125">
          <cell r="U125">
            <v>8678</v>
          </cell>
          <cell r="W125">
            <v>8678</v>
          </cell>
          <cell r="Z125">
            <v>0</v>
          </cell>
          <cell r="AC125">
            <v>0</v>
          </cell>
          <cell r="AE125">
            <v>0</v>
          </cell>
          <cell r="AI125" t="e">
            <v>#REF!</v>
          </cell>
          <cell r="AK125">
            <v>0</v>
          </cell>
          <cell r="AL125">
            <v>-8132.8846363636376</v>
          </cell>
        </row>
        <row r="126">
          <cell r="F126">
            <v>0</v>
          </cell>
          <cell r="U126">
            <v>-7406.8601498661901</v>
          </cell>
          <cell r="W126">
            <v>30.79</v>
          </cell>
          <cell r="Z126" t="e">
            <v>#DIV/0!</v>
          </cell>
          <cell r="AC126">
            <v>0</v>
          </cell>
          <cell r="AI126" t="e">
            <v>#REF!</v>
          </cell>
          <cell r="AJ126" t="e">
            <v>#REF!</v>
          </cell>
          <cell r="AK126">
            <v>0</v>
          </cell>
        </row>
        <row r="127">
          <cell r="F127">
            <v>0</v>
          </cell>
          <cell r="G127">
            <v>0</v>
          </cell>
          <cell r="H127">
            <v>0</v>
          </cell>
          <cell r="P127">
            <v>3077</v>
          </cell>
          <cell r="Q127">
            <v>0</v>
          </cell>
          <cell r="R127">
            <v>0</v>
          </cell>
          <cell r="S127">
            <v>2449</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3580</v>
          </cell>
          <cell r="AO127">
            <v>0</v>
          </cell>
          <cell r="AP127">
            <v>0</v>
          </cell>
        </row>
        <row r="128">
          <cell r="F128">
            <v>4204</v>
          </cell>
          <cell r="G128">
            <v>0</v>
          </cell>
          <cell r="H128">
            <v>0</v>
          </cell>
          <cell r="P128">
            <v>274</v>
          </cell>
          <cell r="Q128">
            <v>0</v>
          </cell>
          <cell r="R128">
            <v>0</v>
          </cell>
          <cell r="S128">
            <v>0.1499999999996362</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t="e">
            <v>#REF!</v>
          </cell>
          <cell r="AJ128">
            <v>0</v>
          </cell>
          <cell r="AK128">
            <v>3580</v>
          </cell>
          <cell r="AM128">
            <v>0</v>
          </cell>
          <cell r="AN128">
            <v>0</v>
          </cell>
          <cell r="AO128">
            <v>0</v>
          </cell>
          <cell r="AP128">
            <v>0</v>
          </cell>
        </row>
        <row r="129">
          <cell r="F129" t="e">
            <v>#REF!</v>
          </cell>
          <cell r="G129">
            <v>0</v>
          </cell>
          <cell r="H129">
            <v>0</v>
          </cell>
          <cell r="P129">
            <v>548</v>
          </cell>
          <cell r="S129">
            <v>0.2999999999992724</v>
          </cell>
          <cell r="U129">
            <v>0</v>
          </cell>
          <cell r="X129">
            <v>0</v>
          </cell>
          <cell r="Y129">
            <v>0</v>
          </cell>
          <cell r="Z129">
            <v>0</v>
          </cell>
          <cell r="AC129">
            <v>0</v>
          </cell>
          <cell r="AD129">
            <v>0</v>
          </cell>
          <cell r="AE129">
            <v>0</v>
          </cell>
          <cell r="AF129">
            <v>0</v>
          </cell>
          <cell r="AG129">
            <v>0</v>
          </cell>
          <cell r="AH129">
            <v>0</v>
          </cell>
          <cell r="AI129" t="e">
            <v>#REF!</v>
          </cell>
          <cell r="AK129">
            <v>-4552.8846363636376</v>
          </cell>
          <cell r="AL129">
            <v>9106</v>
          </cell>
        </row>
        <row r="130">
          <cell r="W130">
            <v>11.87</v>
          </cell>
          <cell r="Z130" t="e">
            <v>#DIV/0!</v>
          </cell>
          <cell r="AI130" t="e">
            <v>#REF!</v>
          </cell>
          <cell r="AJ130" t="e">
            <v>#REF!</v>
          </cell>
          <cell r="AK130">
            <v>-4552.8846363636376</v>
          </cell>
        </row>
        <row r="131">
          <cell r="U131">
            <v>8.49</v>
          </cell>
          <cell r="W131">
            <v>0</v>
          </cell>
          <cell r="AC131" t="e">
            <v>#DIV/0!</v>
          </cell>
          <cell r="AI131" t="e">
            <v>#REF!</v>
          </cell>
          <cell r="AK131">
            <v>-6504.1209090909106</v>
          </cell>
          <cell r="AL131">
            <v>9186.0424182431379</v>
          </cell>
          <cell r="AM131">
            <v>-16555.413327334049</v>
          </cell>
        </row>
        <row r="132">
          <cell r="T132">
            <v>0</v>
          </cell>
          <cell r="U132">
            <v>0</v>
          </cell>
          <cell r="W132" t="e">
            <v>#REF!</v>
          </cell>
          <cell r="Z132" t="e">
            <v>#REF!</v>
          </cell>
          <cell r="AI132">
            <v>-11929.693606060609</v>
          </cell>
          <cell r="AJ132">
            <v>2695.8439999999973</v>
          </cell>
          <cell r="AK132">
            <v>-15490.787606060607</v>
          </cell>
        </row>
        <row r="133">
          <cell r="T133">
            <v>0</v>
          </cell>
          <cell r="U133">
            <v>6.57</v>
          </cell>
          <cell r="W133">
            <v>57083</v>
          </cell>
          <cell r="X133">
            <v>57083</v>
          </cell>
          <cell r="AC133" t="e">
            <v>#DIV/0!</v>
          </cell>
          <cell r="AK133">
            <v>-1951.236272727273</v>
          </cell>
          <cell r="AO133">
            <v>0</v>
          </cell>
        </row>
        <row r="134">
          <cell r="U134">
            <v>29726</v>
          </cell>
          <cell r="V134">
            <v>29726</v>
          </cell>
          <cell r="AI134" t="e">
            <v>#REF!</v>
          </cell>
          <cell r="AM134">
            <v>0</v>
          </cell>
        </row>
        <row r="135">
          <cell r="T135">
            <v>300</v>
          </cell>
          <cell r="W135">
            <v>300</v>
          </cell>
        </row>
        <row r="136">
          <cell r="T136">
            <v>300</v>
          </cell>
          <cell r="U136">
            <v>300</v>
          </cell>
          <cell r="W136">
            <v>1</v>
          </cell>
          <cell r="AK136">
            <v>28333</v>
          </cell>
          <cell r="AM136">
            <v>28333</v>
          </cell>
          <cell r="AO136">
            <v>0</v>
          </cell>
        </row>
        <row r="137">
          <cell r="U137">
            <v>1</v>
          </cell>
          <cell r="AI137">
            <v>10816</v>
          </cell>
          <cell r="AK137">
            <v>10816</v>
          </cell>
          <cell r="AM137">
            <v>0</v>
          </cell>
          <cell r="AO137">
            <v>0</v>
          </cell>
        </row>
        <row r="138">
          <cell r="T138">
            <v>0</v>
          </cell>
          <cell r="W138">
            <v>82081</v>
          </cell>
          <cell r="X138">
            <v>57083</v>
          </cell>
          <cell r="Y138">
            <v>24998</v>
          </cell>
          <cell r="Z138">
            <v>0</v>
          </cell>
          <cell r="AI138">
            <v>-15490.787606060607</v>
          </cell>
          <cell r="AK138">
            <v>17.93</v>
          </cell>
          <cell r="AM138">
            <v>0</v>
          </cell>
          <cell r="AO138" t="e">
            <v>#DIV/0!</v>
          </cell>
        </row>
        <row r="139">
          <cell r="T139">
            <v>0</v>
          </cell>
          <cell r="U139">
            <v>38404</v>
          </cell>
          <cell r="V139">
            <v>29726</v>
          </cell>
          <cell r="W139">
            <v>8678</v>
          </cell>
          <cell r="X139">
            <v>0</v>
          </cell>
          <cell r="AC139">
            <v>0</v>
          </cell>
          <cell r="AI139">
            <v>6.85</v>
          </cell>
          <cell r="AK139">
            <v>28.41</v>
          </cell>
          <cell r="AM139" t="e">
            <v>#DIV/0!</v>
          </cell>
          <cell r="AO139" t="e">
            <v>#DIV/0!</v>
          </cell>
        </row>
        <row r="140">
          <cell r="U140">
            <v>0</v>
          </cell>
          <cell r="V140">
            <v>0</v>
          </cell>
          <cell r="W140">
            <v>82081</v>
          </cell>
          <cell r="X140">
            <v>57083</v>
          </cell>
          <cell r="Y140">
            <v>24998</v>
          </cell>
          <cell r="AI140">
            <v>16.649999999999999</v>
          </cell>
          <cell r="AK140">
            <v>0</v>
          </cell>
          <cell r="AM140" t="e">
            <v>#REF!</v>
          </cell>
          <cell r="AO140">
            <v>0</v>
          </cell>
        </row>
        <row r="141">
          <cell r="U141">
            <v>38404</v>
          </cell>
          <cell r="V141">
            <v>29726</v>
          </cell>
          <cell r="W141">
            <v>8678</v>
          </cell>
          <cell r="Z141" t="e">
            <v>#REF!</v>
          </cell>
          <cell r="AA141" t="e">
            <v>#REF!</v>
          </cell>
          <cell r="AB141" t="e">
            <v>#REF!</v>
          </cell>
          <cell r="AC141" t="e">
            <v>#REF!</v>
          </cell>
          <cell r="AI141">
            <v>0</v>
          </cell>
          <cell r="AM141">
            <v>0</v>
          </cell>
        </row>
        <row r="142">
          <cell r="W142" t="e">
            <v>#REF!</v>
          </cell>
          <cell r="X142" t="e">
            <v>#REF!</v>
          </cell>
          <cell r="Y142" t="e">
            <v>#REF!</v>
          </cell>
          <cell r="AC142">
            <v>3160</v>
          </cell>
          <cell r="AD142">
            <v>2918</v>
          </cell>
          <cell r="AE142">
            <v>3056.6658245614035</v>
          </cell>
          <cell r="AF142">
            <v>5197.8601498661919</v>
          </cell>
          <cell r="AK142">
            <v>12.49</v>
          </cell>
          <cell r="AO142" t="e">
            <v>#DIV/0!</v>
          </cell>
        </row>
        <row r="143">
          <cell r="U143">
            <v>-1</v>
          </cell>
          <cell r="V143">
            <v>29.2</v>
          </cell>
          <cell r="W143">
            <v>-46</v>
          </cell>
          <cell r="AI143">
            <v>9.84</v>
          </cell>
          <cell r="AM143" t="e">
            <v>#DIV/0!</v>
          </cell>
        </row>
        <row r="144">
          <cell r="P144">
            <v>0</v>
          </cell>
          <cell r="S144">
            <v>0</v>
          </cell>
          <cell r="W144">
            <v>0</v>
          </cell>
          <cell r="AJ144">
            <v>0</v>
          </cell>
          <cell r="AK144">
            <v>10.16</v>
          </cell>
          <cell r="AO144" t="e">
            <v>#DIV/0!</v>
          </cell>
        </row>
        <row r="145">
          <cell r="P145">
            <v>0</v>
          </cell>
          <cell r="S145">
            <v>0</v>
          </cell>
          <cell r="T145">
            <v>312</v>
          </cell>
          <cell r="U145">
            <v>0</v>
          </cell>
          <cell r="W145">
            <v>3847.9000000000005</v>
          </cell>
          <cell r="AI145">
            <v>7.69</v>
          </cell>
          <cell r="AK145">
            <v>49395</v>
          </cell>
          <cell r="AL145">
            <v>49395</v>
          </cell>
          <cell r="AM145" t="e">
            <v>#DIV/0!</v>
          </cell>
        </row>
        <row r="146">
          <cell r="P146">
            <v>1325</v>
          </cell>
          <cell r="T146">
            <v>194</v>
          </cell>
          <cell r="U146">
            <v>4402</v>
          </cell>
          <cell r="W146">
            <v>2595.8000000000002</v>
          </cell>
          <cell r="AI146">
            <v>38926</v>
          </cell>
          <cell r="AJ146">
            <v>38926</v>
          </cell>
        </row>
        <row r="147">
          <cell r="P147">
            <v>1174</v>
          </cell>
          <cell r="U147">
            <v>2921</v>
          </cell>
          <cell r="W147">
            <v>0</v>
          </cell>
          <cell r="AJ147">
            <v>300</v>
          </cell>
        </row>
        <row r="148">
          <cell r="U148">
            <v>0</v>
          </cell>
          <cell r="W148">
            <v>0</v>
          </cell>
          <cell r="AK148">
            <v>5114.2857142857147</v>
          </cell>
          <cell r="AL148">
            <v>-40208.957581756862</v>
          </cell>
          <cell r="AM148">
            <v>-44888.413327334049</v>
          </cell>
        </row>
        <row r="149">
          <cell r="P149" t="e">
            <v>#REF!</v>
          </cell>
          <cell r="S149">
            <v>0</v>
          </cell>
          <cell r="U149">
            <v>0</v>
          </cell>
          <cell r="W149" t="e">
            <v>#REF!</v>
          </cell>
          <cell r="AI149" t="e">
            <v>#REF!</v>
          </cell>
          <cell r="AJ149">
            <v>-30402.156000000003</v>
          </cell>
          <cell r="AK149">
            <v>-26306.787606060607</v>
          </cell>
        </row>
        <row r="150">
          <cell r="P150">
            <v>0</v>
          </cell>
          <cell r="S150">
            <v>0</v>
          </cell>
          <cell r="U150">
            <v>317</v>
          </cell>
          <cell r="W150">
            <v>1774.0124999999998</v>
          </cell>
          <cell r="AI150">
            <v>865.25</v>
          </cell>
        </row>
        <row r="151">
          <cell r="U151">
            <v>1774.0124999999998</v>
          </cell>
          <cell r="W151">
            <v>0</v>
          </cell>
          <cell r="AJ151">
            <v>0</v>
          </cell>
          <cell r="AK151">
            <v>77728</v>
          </cell>
          <cell r="AL151">
            <v>49395</v>
          </cell>
          <cell r="AM151">
            <v>28333</v>
          </cell>
          <cell r="AO151">
            <v>0</v>
          </cell>
        </row>
        <row r="152">
          <cell r="P152" t="e">
            <v>#REF!</v>
          </cell>
          <cell r="U152">
            <v>0</v>
          </cell>
          <cell r="W152" t="e">
            <v>#REF!</v>
          </cell>
          <cell r="AI152">
            <v>49742</v>
          </cell>
          <cell r="AJ152">
            <v>38926</v>
          </cell>
          <cell r="AK152">
            <v>10816</v>
          </cell>
          <cell r="AM152">
            <v>0</v>
          </cell>
        </row>
        <row r="153">
          <cell r="P153">
            <v>1325</v>
          </cell>
          <cell r="U153">
            <v>4085</v>
          </cell>
          <cell r="W153" t="e">
            <v>#REF!</v>
          </cell>
          <cell r="AI153">
            <v>0</v>
          </cell>
          <cell r="AK153">
            <v>77728</v>
          </cell>
          <cell r="AL153">
            <v>49395</v>
          </cell>
          <cell r="AM153">
            <v>28333</v>
          </cell>
        </row>
        <row r="154">
          <cell r="P154">
            <v>1325</v>
          </cell>
          <cell r="W154" t="e">
            <v>#REF!</v>
          </cell>
          <cell r="AI154">
            <v>43914</v>
          </cell>
          <cell r="AJ154">
            <v>33098</v>
          </cell>
          <cell r="AK154">
            <v>10816</v>
          </cell>
          <cell r="AO154">
            <v>2889</v>
          </cell>
          <cell r="AP154">
            <v>5865</v>
          </cell>
        </row>
        <row r="155">
          <cell r="P155">
            <v>0</v>
          </cell>
          <cell r="U155">
            <v>0</v>
          </cell>
          <cell r="W155">
            <v>-798.66666666666674</v>
          </cell>
          <cell r="AI155">
            <v>0</v>
          </cell>
          <cell r="AK155">
            <v>-7.6</v>
          </cell>
          <cell r="AL155">
            <v>22.8</v>
          </cell>
          <cell r="AM155">
            <v>2997</v>
          </cell>
          <cell r="AN155">
            <v>3536</v>
          </cell>
          <cell r="AO155" t="e">
            <v>#REF!</v>
          </cell>
          <cell r="AP155" t="e">
            <v>#REF!</v>
          </cell>
        </row>
        <row r="156">
          <cell r="P156">
            <v>-100</v>
          </cell>
          <cell r="U156">
            <v>-578</v>
          </cell>
          <cell r="W156">
            <v>0</v>
          </cell>
          <cell r="AI156">
            <v>-21</v>
          </cell>
          <cell r="AJ156">
            <v>8.9</v>
          </cell>
          <cell r="AK156">
            <v>-58.9</v>
          </cell>
          <cell r="AL156">
            <v>-100</v>
          </cell>
          <cell r="AM156">
            <v>-100</v>
          </cell>
        </row>
        <row r="157">
          <cell r="P157" t="e">
            <v>#REF!</v>
          </cell>
          <cell r="S157">
            <v>171</v>
          </cell>
          <cell r="T157">
            <v>205</v>
          </cell>
          <cell r="U157">
            <v>0</v>
          </cell>
          <cell r="W157" t="e">
            <v>#REF!</v>
          </cell>
          <cell r="AI157" t="e">
            <v>#REF!</v>
          </cell>
          <cell r="AJ157">
            <v>-100</v>
          </cell>
          <cell r="AK157">
            <v>-100</v>
          </cell>
          <cell r="AL157">
            <v>0</v>
          </cell>
          <cell r="AM157">
            <v>0</v>
          </cell>
        </row>
        <row r="158">
          <cell r="P158">
            <v>450</v>
          </cell>
          <cell r="S158">
            <v>414</v>
          </cell>
          <cell r="T158">
            <v>630</v>
          </cell>
          <cell r="U158">
            <v>4643</v>
          </cell>
          <cell r="AJ158">
            <v>0</v>
          </cell>
          <cell r="AK158">
            <v>0</v>
          </cell>
        </row>
        <row r="159">
          <cell r="F159">
            <v>0</v>
          </cell>
          <cell r="P159">
            <v>0</v>
          </cell>
          <cell r="S159">
            <v>0</v>
          </cell>
          <cell r="X159">
            <v>0</v>
          </cell>
          <cell r="AC159">
            <v>0</v>
          </cell>
          <cell r="AJ159">
            <v>142</v>
          </cell>
          <cell r="AK159">
            <v>0</v>
          </cell>
        </row>
        <row r="160">
          <cell r="F160">
            <v>0</v>
          </cell>
          <cell r="P160">
            <v>0</v>
          </cell>
          <cell r="S160">
            <v>0</v>
          </cell>
          <cell r="X160">
            <v>0</v>
          </cell>
          <cell r="AC160">
            <v>0</v>
          </cell>
          <cell r="AF160">
            <v>963</v>
          </cell>
          <cell r="AG160">
            <v>530</v>
          </cell>
          <cell r="AH160">
            <v>433</v>
          </cell>
          <cell r="AI160" t="e">
            <v>#REF!</v>
          </cell>
          <cell r="AK160">
            <v>6689</v>
          </cell>
        </row>
        <row r="161">
          <cell r="F161">
            <v>204</v>
          </cell>
          <cell r="P161">
            <v>870.40000000000009</v>
          </cell>
          <cell r="S161">
            <v>1918.4</v>
          </cell>
          <cell r="X161">
            <v>903.2</v>
          </cell>
          <cell r="AA161" t="e">
            <v>#REF!</v>
          </cell>
          <cell r="AC161">
            <v>622.4</v>
          </cell>
          <cell r="AF161">
            <v>1475</v>
          </cell>
          <cell r="AG161">
            <v>1475</v>
          </cell>
          <cell r="AH161">
            <v>0</v>
          </cell>
          <cell r="AI161" t="e">
            <v>#REF!</v>
          </cell>
          <cell r="AK161">
            <v>4677</v>
          </cell>
        </row>
        <row r="162">
          <cell r="F162">
            <v>204</v>
          </cell>
          <cell r="P162">
            <v>510.40000000000003</v>
          </cell>
          <cell r="S162">
            <v>1345</v>
          </cell>
          <cell r="X162">
            <v>837</v>
          </cell>
          <cell r="Z162" t="str">
            <v>ОЧИК.18.02.</v>
          </cell>
          <cell r="AC162">
            <v>468</v>
          </cell>
          <cell r="AD162" t="e">
            <v>#REF!</v>
          </cell>
          <cell r="AF162">
            <v>378</v>
          </cell>
          <cell r="AG162">
            <v>378</v>
          </cell>
          <cell r="AH162">
            <v>0</v>
          </cell>
          <cell r="AI162" t="e">
            <v>#REF!</v>
          </cell>
          <cell r="AK162">
            <v>1445</v>
          </cell>
        </row>
        <row r="163">
          <cell r="F163">
            <v>204</v>
          </cell>
          <cell r="P163">
            <v>120</v>
          </cell>
          <cell r="S163">
            <v>0</v>
          </cell>
          <cell r="X163">
            <v>126</v>
          </cell>
          <cell r="AB163">
            <v>9</v>
          </cell>
          <cell r="AC163">
            <v>75</v>
          </cell>
          <cell r="AF163">
            <v>100</v>
          </cell>
          <cell r="AG163">
            <v>100</v>
          </cell>
          <cell r="AH163">
            <v>0</v>
          </cell>
          <cell r="AI163" t="e">
            <v>#REF!</v>
          </cell>
          <cell r="AK163">
            <v>598</v>
          </cell>
        </row>
        <row r="164">
          <cell r="P164">
            <v>70</v>
          </cell>
          <cell r="Q164" t="str">
            <v>Е/Е</v>
          </cell>
          <cell r="R164" t="str">
            <v xml:space="preserve"> Т/Е</v>
          </cell>
          <cell r="S164">
            <v>0</v>
          </cell>
          <cell r="T164" t="str">
            <v>ДОП.ВИР. СТ.ОРГ.</v>
          </cell>
          <cell r="W164" t="str">
            <v>АК КЕ ВСЬОГО</v>
          </cell>
          <cell r="X164">
            <v>107</v>
          </cell>
          <cell r="Y164" t="str">
            <v xml:space="preserve"> Т/Е</v>
          </cell>
          <cell r="Z164" t="str">
            <v>СТАНЦІї ЕЛЕКТРО</v>
          </cell>
          <cell r="AA164" t="str">
            <v>СТАНЦІІ ТЕПЛОВІ</v>
          </cell>
          <cell r="AB164" t="str">
            <v>МЕРЕЖІ ЕЛЕКТРО</v>
          </cell>
          <cell r="AC164">
            <v>41</v>
          </cell>
          <cell r="AF164">
            <v>80</v>
          </cell>
          <cell r="AI164" t="e">
            <v>#REF!</v>
          </cell>
          <cell r="AK164">
            <v>0</v>
          </cell>
        </row>
        <row r="165">
          <cell r="F165">
            <v>14.170833333333334</v>
          </cell>
          <cell r="P165" t="str">
            <v>ТЕЦ-6 ВСЬОГО</v>
          </cell>
          <cell r="Q165" t="str">
            <v>Е/Е</v>
          </cell>
          <cell r="R165" t="str">
            <v xml:space="preserve"> Т/Е</v>
          </cell>
          <cell r="S165" t="str">
            <v xml:space="preserve">ДОП.ВИР. </v>
          </cell>
          <cell r="T165" t="str">
            <v>ДОП.ВИР. СТ.ОРГ.</v>
          </cell>
          <cell r="U165" t="str">
            <v>АК КЕ ВСЬОГО</v>
          </cell>
          <cell r="V165" t="str">
            <v>Е/Е</v>
          </cell>
          <cell r="W165" t="str">
            <v xml:space="preserve"> Т/Е</v>
          </cell>
          <cell r="Z165">
            <v>2.1804999999999999</v>
          </cell>
          <cell r="AA165">
            <v>2.1804999999999999</v>
          </cell>
          <cell r="AB165">
            <v>2.1804999999999999</v>
          </cell>
          <cell r="AC165" t="str">
            <v>СТАНЦІї ЕЛЕКТРО</v>
          </cell>
          <cell r="AD165" t="str">
            <v>СТАНЦІІ ТЕПЛОВІ</v>
          </cell>
          <cell r="AE165" t="str">
            <v>МЕРЕЖІ ЕЛЕКТРО</v>
          </cell>
          <cell r="AF165" t="str">
            <v>МЕРЕЖІ ТЕПЛОВІ</v>
          </cell>
          <cell r="AI165" t="e">
            <v>#REF!</v>
          </cell>
          <cell r="AK165">
            <v>14.170833333333334</v>
          </cell>
        </row>
        <row r="166">
          <cell r="F166">
            <v>14.170833333333334</v>
          </cell>
          <cell r="P166">
            <v>180</v>
          </cell>
          <cell r="Q166">
            <v>2.1435</v>
          </cell>
          <cell r="R166">
            <v>2.1435</v>
          </cell>
          <cell r="S166">
            <v>498.63636363636363</v>
          </cell>
          <cell r="T166">
            <v>2.1435</v>
          </cell>
          <cell r="U166">
            <v>2.1435</v>
          </cell>
          <cell r="X166">
            <v>258.36363636363637</v>
          </cell>
          <cell r="AC166">
            <v>180.90909090909091</v>
          </cell>
          <cell r="AD166">
            <v>2.1804999999999999</v>
          </cell>
          <cell r="AE166">
            <v>2.1804999999999999</v>
          </cell>
          <cell r="AF166">
            <v>157.90909090909091</v>
          </cell>
          <cell r="AG166">
            <v>157.90909090909091</v>
          </cell>
          <cell r="AI166" t="e">
            <v>#REF!</v>
          </cell>
          <cell r="AK166">
            <v>1117.909090909091</v>
          </cell>
        </row>
        <row r="167">
          <cell r="F167">
            <v>260</v>
          </cell>
          <cell r="P167">
            <v>153</v>
          </cell>
          <cell r="S167">
            <v>679.5454545454545</v>
          </cell>
          <cell r="W167">
            <v>57.239999999999995</v>
          </cell>
          <cell r="X167">
            <v>236.36363636363637</v>
          </cell>
          <cell r="Z167">
            <v>221.49122807017542</v>
          </cell>
          <cell r="AC167">
            <v>159.36363636363637</v>
          </cell>
          <cell r="AF167">
            <v>296.27272727272725</v>
          </cell>
          <cell r="AG167">
            <v>296</v>
          </cell>
          <cell r="AI167" t="e">
            <v>#REF!</v>
          </cell>
          <cell r="AK167">
            <v>3998.090909090909</v>
          </cell>
        </row>
        <row r="168">
          <cell r="F168">
            <v>-255</v>
          </cell>
          <cell r="P168">
            <v>17.39</v>
          </cell>
          <cell r="S168">
            <v>1238.8545454545456</v>
          </cell>
          <cell r="U168">
            <v>44.3</v>
          </cell>
          <cell r="W168">
            <v>65.146999999999991</v>
          </cell>
          <cell r="X168">
            <v>666.83636363636367</v>
          </cell>
          <cell r="Z168">
            <v>252.49999999999997</v>
          </cell>
          <cell r="AC168">
            <v>463.0363636363636</v>
          </cell>
          <cell r="AI168" t="e">
            <v>#REF!</v>
          </cell>
        </row>
        <row r="169">
          <cell r="F169">
            <v>60</v>
          </cell>
          <cell r="P169">
            <v>0</v>
          </cell>
          <cell r="S169">
            <v>1918.4</v>
          </cell>
          <cell r="T169">
            <v>82.5</v>
          </cell>
          <cell r="U169">
            <v>50.49</v>
          </cell>
          <cell r="W169">
            <v>82.5</v>
          </cell>
          <cell r="X169">
            <v>903.2</v>
          </cell>
          <cell r="Z169">
            <v>66</v>
          </cell>
          <cell r="AC169">
            <v>622.4</v>
          </cell>
          <cell r="AK169">
            <v>60</v>
          </cell>
        </row>
        <row r="170">
          <cell r="F170">
            <v>459</v>
          </cell>
          <cell r="P170">
            <v>0</v>
          </cell>
          <cell r="S170">
            <v>0</v>
          </cell>
          <cell r="T170">
            <v>82.5</v>
          </cell>
          <cell r="U170">
            <v>82.5</v>
          </cell>
          <cell r="W170">
            <v>288.75</v>
          </cell>
          <cell r="X170">
            <v>0</v>
          </cell>
          <cell r="Z170">
            <v>143.91299999999998</v>
          </cell>
          <cell r="AC170">
            <v>0</v>
          </cell>
          <cell r="AF170">
            <v>0</v>
          </cell>
          <cell r="AG170">
            <v>0</v>
          </cell>
          <cell r="AH170">
            <v>0</v>
          </cell>
          <cell r="AI170" t="e">
            <v>#REF!</v>
          </cell>
          <cell r="AK170">
            <v>0</v>
          </cell>
        </row>
        <row r="171">
          <cell r="F171">
            <v>1758</v>
          </cell>
          <cell r="G171">
            <v>0</v>
          </cell>
          <cell r="H171">
            <v>0</v>
          </cell>
          <cell r="P171">
            <v>3547</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17653.617575757577</v>
          </cell>
          <cell r="AE171">
            <v>0</v>
          </cell>
          <cell r="AF171">
            <v>0</v>
          </cell>
          <cell r="AG171">
            <v>0</v>
          </cell>
          <cell r="AH171">
            <v>0</v>
          </cell>
          <cell r="AI171" t="e">
            <v>#REF!</v>
          </cell>
          <cell r="AJ171">
            <v>0</v>
          </cell>
          <cell r="AK171">
            <v>9643</v>
          </cell>
        </row>
        <row r="172">
          <cell r="F172">
            <v>35</v>
          </cell>
          <cell r="G172">
            <v>0</v>
          </cell>
          <cell r="H172">
            <v>0</v>
          </cell>
          <cell r="P172">
            <v>1565</v>
          </cell>
          <cell r="Q172">
            <v>0</v>
          </cell>
          <cell r="R172">
            <v>0</v>
          </cell>
          <cell r="S172">
            <v>4913.1499999999996</v>
          </cell>
          <cell r="T172">
            <v>0</v>
          </cell>
          <cell r="U172">
            <v>0</v>
          </cell>
          <cell r="V172">
            <v>0</v>
          </cell>
          <cell r="W172">
            <v>0</v>
          </cell>
          <cell r="X172">
            <v>290</v>
          </cell>
          <cell r="Y172">
            <v>0</v>
          </cell>
          <cell r="Z172">
            <v>0</v>
          </cell>
          <cell r="AA172">
            <v>0</v>
          </cell>
          <cell r="AB172">
            <v>0</v>
          </cell>
          <cell r="AC172">
            <v>85</v>
          </cell>
          <cell r="AD172">
            <v>0</v>
          </cell>
          <cell r="AE172">
            <v>0</v>
          </cell>
          <cell r="AF172">
            <v>5</v>
          </cell>
          <cell r="AG172">
            <v>5</v>
          </cell>
          <cell r="AH172">
            <v>0</v>
          </cell>
          <cell r="AI172" t="e">
            <v>#REF!</v>
          </cell>
          <cell r="AJ172">
            <v>0</v>
          </cell>
          <cell r="AK172">
            <v>10043</v>
          </cell>
        </row>
        <row r="173">
          <cell r="F173">
            <v>35</v>
          </cell>
          <cell r="G173">
            <v>0</v>
          </cell>
          <cell r="H173">
            <v>0</v>
          </cell>
          <cell r="P173">
            <v>1565</v>
          </cell>
          <cell r="Q173">
            <v>0</v>
          </cell>
          <cell r="R173">
            <v>0</v>
          </cell>
          <cell r="S173">
            <v>4913.1499999999996</v>
          </cell>
          <cell r="T173">
            <v>0</v>
          </cell>
          <cell r="U173">
            <v>0</v>
          </cell>
          <cell r="V173">
            <v>0</v>
          </cell>
          <cell r="W173">
            <v>0</v>
          </cell>
          <cell r="X173">
            <v>290</v>
          </cell>
          <cell r="Y173">
            <v>0</v>
          </cell>
          <cell r="Z173">
            <v>0</v>
          </cell>
          <cell r="AA173">
            <v>0</v>
          </cell>
          <cell r="AB173">
            <v>0</v>
          </cell>
          <cell r="AC173">
            <v>85</v>
          </cell>
          <cell r="AD173">
            <v>0</v>
          </cell>
          <cell r="AE173">
            <v>0</v>
          </cell>
          <cell r="AF173">
            <v>5</v>
          </cell>
          <cell r="AG173">
            <v>5</v>
          </cell>
          <cell r="AH173">
            <v>0</v>
          </cell>
          <cell r="AI173" t="e">
            <v>#REF!</v>
          </cell>
          <cell r="AJ173">
            <v>0</v>
          </cell>
          <cell r="AK173">
            <v>0</v>
          </cell>
        </row>
        <row r="174">
          <cell r="F174">
            <v>0</v>
          </cell>
          <cell r="G174">
            <v>0</v>
          </cell>
          <cell r="H174">
            <v>0</v>
          </cell>
          <cell r="P174">
            <v>0</v>
          </cell>
          <cell r="R174">
            <v>0</v>
          </cell>
          <cell r="S174">
            <v>0</v>
          </cell>
          <cell r="T174">
            <v>0</v>
          </cell>
          <cell r="U174">
            <v>0</v>
          </cell>
          <cell r="V174">
            <v>0</v>
          </cell>
          <cell r="W174">
            <v>0</v>
          </cell>
          <cell r="X174">
            <v>0</v>
          </cell>
          <cell r="Y174">
            <v>0</v>
          </cell>
          <cell r="Z174">
            <v>0</v>
          </cell>
          <cell r="AA174">
            <v>0</v>
          </cell>
          <cell r="AB174">
            <v>0</v>
          </cell>
          <cell r="AC174">
            <v>0</v>
          </cell>
          <cell r="AE174">
            <v>0</v>
          </cell>
          <cell r="AF174">
            <v>0</v>
          </cell>
          <cell r="AG174">
            <v>0</v>
          </cell>
          <cell r="AH174">
            <v>0</v>
          </cell>
          <cell r="AI174" t="e">
            <v>#REF!</v>
          </cell>
          <cell r="AK174">
            <v>0</v>
          </cell>
        </row>
        <row r="175">
          <cell r="F175">
            <v>0</v>
          </cell>
          <cell r="P175">
            <v>36</v>
          </cell>
          <cell r="U175">
            <v>91.91</v>
          </cell>
          <cell r="W175">
            <v>63.33</v>
          </cell>
          <cell r="AG175">
            <v>0</v>
          </cell>
          <cell r="AI175" t="e">
            <v>#REF!</v>
          </cell>
          <cell r="AK175">
            <v>0</v>
          </cell>
        </row>
        <row r="176">
          <cell r="F176">
            <v>3480</v>
          </cell>
          <cell r="P176">
            <v>63.33</v>
          </cell>
          <cell r="U176">
            <v>63.33</v>
          </cell>
          <cell r="W176">
            <v>216.84</v>
          </cell>
          <cell r="AI176" t="e">
            <v>#REF!</v>
          </cell>
          <cell r="AK176">
            <v>3480</v>
          </cell>
        </row>
        <row r="177">
          <cell r="F177">
            <v>3609</v>
          </cell>
          <cell r="P177">
            <v>863.25</v>
          </cell>
          <cell r="Q177">
            <v>0</v>
          </cell>
          <cell r="R177">
            <v>0</v>
          </cell>
          <cell r="S177">
            <v>1921.8199999999997</v>
          </cell>
          <cell r="T177">
            <v>697.23998181818172</v>
          </cell>
          <cell r="U177">
            <v>725.94365454545448</v>
          </cell>
          <cell r="V177">
            <v>0</v>
          </cell>
          <cell r="W177">
            <v>0</v>
          </cell>
          <cell r="X177">
            <v>639.95000000000005</v>
          </cell>
          <cell r="AA177">
            <v>0</v>
          </cell>
          <cell r="AB177">
            <v>0</v>
          </cell>
          <cell r="AC177">
            <v>535.86</v>
          </cell>
          <cell r="AF177">
            <v>1759.96</v>
          </cell>
          <cell r="AG177">
            <v>1759.909090909091</v>
          </cell>
          <cell r="AH177">
            <v>5.0909090909044608E-2</v>
          </cell>
          <cell r="AI177" t="e">
            <v>#REF!</v>
          </cell>
          <cell r="AJ177">
            <v>0</v>
          </cell>
          <cell r="AK177">
            <v>6670.7890909090902</v>
          </cell>
          <cell r="AO177">
            <v>266</v>
          </cell>
          <cell r="AP177">
            <v>661</v>
          </cell>
        </row>
        <row r="178">
          <cell r="F178">
            <v>541.697</v>
          </cell>
          <cell r="G178">
            <v>0</v>
          </cell>
          <cell r="H178">
            <v>0</v>
          </cell>
          <cell r="P178">
            <v>841.32</v>
          </cell>
          <cell r="Q178">
            <v>0</v>
          </cell>
          <cell r="R178">
            <v>0</v>
          </cell>
          <cell r="S178">
            <v>1900.3199999999997</v>
          </cell>
          <cell r="T178">
            <v>598.00952727272715</v>
          </cell>
          <cell r="U178">
            <v>622.76501818181805</v>
          </cell>
          <cell r="V178">
            <v>0</v>
          </cell>
          <cell r="W178">
            <v>0</v>
          </cell>
          <cell r="X178">
            <v>643.65000000000009</v>
          </cell>
          <cell r="Y178">
            <v>138</v>
          </cell>
          <cell r="Z178">
            <v>120.36363636363637</v>
          </cell>
          <cell r="AA178">
            <v>0</v>
          </cell>
          <cell r="AB178">
            <v>0</v>
          </cell>
          <cell r="AC178">
            <v>537.76</v>
          </cell>
          <cell r="AD178">
            <v>73</v>
          </cell>
          <cell r="AE178">
            <v>107.90909090909091</v>
          </cell>
          <cell r="AF178">
            <v>1730.76</v>
          </cell>
          <cell r="AG178">
            <v>1429.2</v>
          </cell>
          <cell r="AH178">
            <v>301.55999999999995</v>
          </cell>
          <cell r="AI178" t="e">
            <v>#REF!</v>
          </cell>
          <cell r="AM178">
            <v>373</v>
          </cell>
          <cell r="AN178">
            <v>542</v>
          </cell>
          <cell r="AO178">
            <v>970.32000000000016</v>
          </cell>
          <cell r="AP178">
            <v>1841.3542727272729</v>
          </cell>
        </row>
        <row r="179">
          <cell r="F179">
            <v>0</v>
          </cell>
          <cell r="G179">
            <v>0</v>
          </cell>
          <cell r="H179">
            <v>0</v>
          </cell>
          <cell r="P179">
            <v>153</v>
          </cell>
          <cell r="Q179">
            <v>0</v>
          </cell>
          <cell r="R179">
            <v>0</v>
          </cell>
          <cell r="S179">
            <v>679.5454545454545</v>
          </cell>
          <cell r="T179">
            <v>0</v>
          </cell>
          <cell r="U179">
            <v>0</v>
          </cell>
          <cell r="V179">
            <v>0</v>
          </cell>
          <cell r="W179">
            <v>0</v>
          </cell>
          <cell r="X179">
            <v>236.36363636363637</v>
          </cell>
          <cell r="Y179">
            <v>167</v>
          </cell>
          <cell r="Z179">
            <v>69.363636363636374</v>
          </cell>
          <cell r="AA179">
            <v>0</v>
          </cell>
          <cell r="AB179">
            <v>0</v>
          </cell>
          <cell r="AC179">
            <v>159.36363636363637</v>
          </cell>
          <cell r="AD179">
            <v>83</v>
          </cell>
          <cell r="AE179">
            <v>76.36363636363636</v>
          </cell>
          <cell r="AF179">
            <v>296.27272727272725</v>
          </cell>
          <cell r="AG179">
            <v>296</v>
          </cell>
          <cell r="AH179">
            <v>0.27272727272728048</v>
          </cell>
          <cell r="AJ179">
            <v>0</v>
          </cell>
          <cell r="AK179">
            <v>-1272.236272727273</v>
          </cell>
          <cell r="AO179">
            <v>350</v>
          </cell>
          <cell r="AP179">
            <v>315</v>
          </cell>
        </row>
        <row r="180">
          <cell r="F180">
            <v>0</v>
          </cell>
          <cell r="P180">
            <v>0</v>
          </cell>
          <cell r="Q180">
            <v>0</v>
          </cell>
          <cell r="R180">
            <v>0</v>
          </cell>
          <cell r="S180">
            <v>13.666666666666666</v>
          </cell>
          <cell r="T180">
            <v>13.666666666666666</v>
          </cell>
          <cell r="U180">
            <v>0</v>
          </cell>
          <cell r="V180">
            <v>0</v>
          </cell>
          <cell r="W180">
            <v>0</v>
          </cell>
          <cell r="X180">
            <v>708.80000000000007</v>
          </cell>
          <cell r="Z180">
            <v>103.9</v>
          </cell>
          <cell r="AA180">
            <v>0</v>
          </cell>
          <cell r="AB180">
            <v>0</v>
          </cell>
          <cell r="AC180">
            <v>13.333333333333334</v>
          </cell>
          <cell r="AF180">
            <v>12</v>
          </cell>
          <cell r="AG180">
            <v>10</v>
          </cell>
          <cell r="AH180">
            <v>2</v>
          </cell>
          <cell r="AI180" t="e">
            <v>#REF!</v>
          </cell>
          <cell r="AM180">
            <v>509</v>
          </cell>
          <cell r="AN180">
            <v>218</v>
          </cell>
          <cell r="AO180">
            <v>0</v>
          </cell>
          <cell r="AP180">
            <v>18.800000000000068</v>
          </cell>
        </row>
        <row r="181">
          <cell r="P181">
            <v>5.8</v>
          </cell>
          <cell r="T181">
            <v>0</v>
          </cell>
          <cell r="U181">
            <v>11.7</v>
          </cell>
          <cell r="W181">
            <v>100.5</v>
          </cell>
          <cell r="Z181">
            <v>89.557440953909662</v>
          </cell>
          <cell r="AC181">
            <v>103.9</v>
          </cell>
        </row>
        <row r="182">
          <cell r="F182">
            <v>6013</v>
          </cell>
          <cell r="P182">
            <v>478.66666666666606</v>
          </cell>
          <cell r="S182">
            <v>4076.6666666666688</v>
          </cell>
          <cell r="T182">
            <v>0</v>
          </cell>
          <cell r="U182">
            <v>100.5</v>
          </cell>
          <cell r="W182">
            <v>344.11199999999997</v>
          </cell>
          <cell r="X182">
            <v>534.33333333333678</v>
          </cell>
          <cell r="Z182">
            <v>195.28</v>
          </cell>
          <cell r="AC182">
            <v>554.33333333333053</v>
          </cell>
          <cell r="AF182">
            <v>1865.0333333333331</v>
          </cell>
          <cell r="AG182">
            <v>1889.3999999999996</v>
          </cell>
          <cell r="AH182">
            <v>376.63333333333327</v>
          </cell>
          <cell r="AP182">
            <v>1507.2</v>
          </cell>
        </row>
        <row r="183">
          <cell r="F183">
            <v>15172.5</v>
          </cell>
          <cell r="P183">
            <v>444.43599999999981</v>
          </cell>
          <cell r="S183">
            <v>1460.8666666666668</v>
          </cell>
          <cell r="U183">
            <v>215.42175</v>
          </cell>
          <cell r="W183">
            <v>0</v>
          </cell>
          <cell r="X183">
            <v>363.19999999999868</v>
          </cell>
          <cell r="Z183">
            <v>14810</v>
          </cell>
          <cell r="AC183">
            <v>290.06666666666649</v>
          </cell>
          <cell r="AF183">
            <v>1259.4666666666667</v>
          </cell>
          <cell r="AG183">
            <v>767.99999999999977</v>
          </cell>
          <cell r="AH183">
            <v>491.46666666666681</v>
          </cell>
          <cell r="AN183">
            <v>1507.2</v>
          </cell>
          <cell r="AO183" t="str">
            <v>ОЧИК.18.02.</v>
          </cell>
        </row>
        <row r="184">
          <cell r="P184">
            <v>905</v>
          </cell>
          <cell r="U184">
            <v>1831</v>
          </cell>
          <cell r="W184">
            <v>0</v>
          </cell>
          <cell r="AC184">
            <v>14810</v>
          </cell>
          <cell r="AM184" t="str">
            <v>ОЧИК.18.02.</v>
          </cell>
        </row>
        <row r="185">
          <cell r="P185">
            <v>78.3</v>
          </cell>
          <cell r="Q185">
            <v>30.9</v>
          </cell>
          <cell r="R185">
            <v>47.4</v>
          </cell>
          <cell r="U185">
            <v>1831</v>
          </cell>
          <cell r="W185">
            <v>219.79999999999998</v>
          </cell>
          <cell r="X185">
            <v>79.099999999999994</v>
          </cell>
          <cell r="Y185">
            <v>140.69999999999999</v>
          </cell>
          <cell r="Z185">
            <v>356.4</v>
          </cell>
          <cell r="AA185">
            <v>74.900000000000006</v>
          </cell>
          <cell r="AB185">
            <v>281.5</v>
          </cell>
        </row>
        <row r="186">
          <cell r="F186" t="str">
            <v>АПАРАТ ВСЬОГО</v>
          </cell>
          <cell r="G186" t="str">
            <v>АПАРАТ ЕЛЕКТРО</v>
          </cell>
          <cell r="H186" t="str">
            <v>АПАРАТ ТЕПЛО</v>
          </cell>
          <cell r="P186" t="str">
            <v>ККМ</v>
          </cell>
          <cell r="Q186">
            <v>39.479999999999997</v>
          </cell>
          <cell r="R186">
            <v>22.140000000000008</v>
          </cell>
          <cell r="S186" t="str">
            <v>КТМ</v>
          </cell>
          <cell r="U186">
            <v>154.1</v>
          </cell>
          <cell r="V186">
            <v>95.3</v>
          </cell>
          <cell r="W186">
            <v>58.8</v>
          </cell>
          <cell r="X186" t="str">
            <v>ТЕЦ-5 ВСЬОГО</v>
          </cell>
          <cell r="Y186" t="str">
            <v>Е/Е</v>
          </cell>
          <cell r="Z186" t="str">
            <v xml:space="preserve"> Т/Е</v>
          </cell>
          <cell r="AA186">
            <v>9811.1854657688</v>
          </cell>
          <cell r="AB186">
            <v>36873.814534231198</v>
          </cell>
          <cell r="AC186" t="str">
            <v>ТЕЦ-6 ВСЬОГО</v>
          </cell>
          <cell r="AD186" t="str">
            <v>Е/Е</v>
          </cell>
          <cell r="AE186" t="str">
            <v xml:space="preserve"> Т/Е</v>
          </cell>
          <cell r="AF186" t="str">
            <v>Е/Е</v>
          </cell>
          <cell r="AG186" t="str">
            <v xml:space="preserve"> Т/Е</v>
          </cell>
          <cell r="AJ186" t="str">
            <v>ДОП.ВИР. СТ.ОРГ.</v>
          </cell>
          <cell r="AK186" t="str">
            <v>АК КЕ ВСЬОГО</v>
          </cell>
          <cell r="AL186" t="str">
            <v>Е/Е</v>
          </cell>
          <cell r="AM186" t="str">
            <v xml:space="preserve"> Т/Е</v>
          </cell>
          <cell r="AO186" t="str">
            <v>СТАНЦІї ЕЛЕКТРО</v>
          </cell>
          <cell r="AP186" t="str">
            <v>СТАНЦІІ ТЕПЛОВІ</v>
          </cell>
        </row>
        <row r="187">
          <cell r="F187" t="str">
            <v>АПАРАТ ВСЬОГО</v>
          </cell>
          <cell r="G187" t="str">
            <v>АПАРАТ ЕЛЕКТРО</v>
          </cell>
          <cell r="H187" t="str">
            <v>АПАРАТ ТЕПЛО</v>
          </cell>
          <cell r="P187" t="str">
            <v>ККМ</v>
          </cell>
          <cell r="Q187">
            <v>5299</v>
          </cell>
          <cell r="R187">
            <v>2972</v>
          </cell>
          <cell r="S187" t="str">
            <v>КТМ</v>
          </cell>
          <cell r="T187">
            <v>0</v>
          </cell>
          <cell r="U187">
            <v>20620</v>
          </cell>
          <cell r="V187">
            <v>12849</v>
          </cell>
          <cell r="W187">
            <v>7771</v>
          </cell>
          <cell r="X187" t="str">
            <v>ТЕЦ-5 ВСЬОГО</v>
          </cell>
          <cell r="Y187" t="str">
            <v>Е/Е</v>
          </cell>
          <cell r="Z187" t="str">
            <v xml:space="preserve"> Т/Е</v>
          </cell>
          <cell r="AA187">
            <v>130.99</v>
          </cell>
          <cell r="AB187">
            <v>130.99</v>
          </cell>
          <cell r="AC187" t="str">
            <v>ТЕЦ-6 ВСЬОГО</v>
          </cell>
          <cell r="AD187" t="str">
            <v>Е/Е</v>
          </cell>
          <cell r="AE187" t="str">
            <v xml:space="preserve"> Т/Е</v>
          </cell>
          <cell r="AF187" t="str">
            <v>Е/Е</v>
          </cell>
          <cell r="AG187" t="str">
            <v xml:space="preserve"> Т/Е</v>
          </cell>
          <cell r="AI187" t="str">
            <v>АК КЕ ВСЬОГО</v>
          </cell>
          <cell r="AJ187" t="str">
            <v>Е/Е</v>
          </cell>
          <cell r="AK187" t="str">
            <v xml:space="preserve"> Т/Е</v>
          </cell>
          <cell r="AM187" t="str">
            <v>СТАНЦІї ЕЛЕКТРО</v>
          </cell>
          <cell r="AN187" t="str">
            <v>СТАНЦІІ ТЕПЛОВІ</v>
          </cell>
          <cell r="AO187" t="str">
            <v>МЕРЕЖІ ЕЛЕКТРО</v>
          </cell>
          <cell r="AP187" t="str">
            <v>МЕРЕЖІ ТЕПЛОВІ</v>
          </cell>
        </row>
        <row r="188">
          <cell r="P188">
            <v>134.22999999999999</v>
          </cell>
          <cell r="Q188">
            <v>134.22</v>
          </cell>
          <cell r="R188">
            <v>134.24</v>
          </cell>
          <cell r="S188">
            <v>0</v>
          </cell>
          <cell r="T188">
            <v>0</v>
          </cell>
          <cell r="U188">
            <v>133.81</v>
          </cell>
          <cell r="V188">
            <v>134.83000000000001</v>
          </cell>
          <cell r="W188">
            <v>132.16</v>
          </cell>
          <cell r="X188" t="e">
            <v>#REF!</v>
          </cell>
          <cell r="Y188" t="e">
            <v>#REF!</v>
          </cell>
          <cell r="Z188">
            <v>52</v>
          </cell>
          <cell r="AA188">
            <v>52</v>
          </cell>
          <cell r="AC188">
            <v>130.99</v>
          </cell>
          <cell r="AD188">
            <v>130.99</v>
          </cell>
          <cell r="AE188">
            <v>130.99</v>
          </cell>
          <cell r="AF188">
            <v>0</v>
          </cell>
        </row>
        <row r="189">
          <cell r="P189">
            <v>16686</v>
          </cell>
          <cell r="S189">
            <v>54.1</v>
          </cell>
          <cell r="U189">
            <v>25</v>
          </cell>
          <cell r="V189">
            <v>25</v>
          </cell>
          <cell r="W189">
            <v>0</v>
          </cell>
          <cell r="X189">
            <v>67.400000000000006</v>
          </cell>
          <cell r="Y189" t="e">
            <v>#REF!</v>
          </cell>
          <cell r="Z189">
            <v>46737</v>
          </cell>
          <cell r="AA189">
            <v>9863.1854657688</v>
          </cell>
          <cell r="AB189">
            <v>36873.814534231198</v>
          </cell>
          <cell r="AC189">
            <v>64.8</v>
          </cell>
          <cell r="AD189">
            <v>52</v>
          </cell>
          <cell r="AK189">
            <v>186.29999999999998</v>
          </cell>
          <cell r="AO189">
            <v>221.49122807017542</v>
          </cell>
        </row>
        <row r="190">
          <cell r="P190">
            <v>8271</v>
          </cell>
          <cell r="S190">
            <v>8.3000000000000007</v>
          </cell>
          <cell r="U190">
            <v>20645</v>
          </cell>
          <cell r="V190">
            <v>12874</v>
          </cell>
          <cell r="W190">
            <v>7771</v>
          </cell>
          <cell r="X190">
            <v>70.7</v>
          </cell>
          <cell r="AC190">
            <v>60.2</v>
          </cell>
          <cell r="AD190">
            <v>9863.1854657688</v>
          </cell>
          <cell r="AE190">
            <v>36873.814534231198</v>
          </cell>
          <cell r="AI190">
            <v>139.20000000000002</v>
          </cell>
          <cell r="AK190">
            <v>213.3</v>
          </cell>
          <cell r="AM190">
            <v>221.49122807017542</v>
          </cell>
          <cell r="AO190">
            <v>252.49999999999997</v>
          </cell>
        </row>
        <row r="191">
          <cell r="P191">
            <v>0</v>
          </cell>
          <cell r="S191">
            <v>9.5</v>
          </cell>
          <cell r="X191">
            <v>81</v>
          </cell>
          <cell r="AC191">
            <v>68.900000000000006</v>
          </cell>
          <cell r="AI191">
            <v>159.4</v>
          </cell>
          <cell r="AM191">
            <v>252.49999999999997</v>
          </cell>
          <cell r="AO191">
            <v>66</v>
          </cell>
        </row>
        <row r="192">
          <cell r="P192">
            <v>0</v>
          </cell>
          <cell r="S192">
            <v>0</v>
          </cell>
          <cell r="X192">
            <v>0</v>
          </cell>
          <cell r="AC192">
            <v>0</v>
          </cell>
          <cell r="AK192">
            <v>192.5</v>
          </cell>
          <cell r="AM192">
            <v>66</v>
          </cell>
          <cell r="AO192">
            <v>0</v>
          </cell>
        </row>
        <row r="193">
          <cell r="P193">
            <v>0</v>
          </cell>
          <cell r="S193">
            <v>192.5</v>
          </cell>
          <cell r="X193">
            <v>192.5</v>
          </cell>
          <cell r="AC193">
            <v>192.5</v>
          </cell>
          <cell r="AI193">
            <v>192.5</v>
          </cell>
          <cell r="AK193">
            <v>35863</v>
          </cell>
          <cell r="AM193">
            <v>0</v>
          </cell>
          <cell r="AO193">
            <v>0</v>
          </cell>
        </row>
        <row r="194">
          <cell r="S194">
            <v>1598</v>
          </cell>
          <cell r="X194">
            <v>13610</v>
          </cell>
          <cell r="Z194">
            <v>4948.1398501338263</v>
          </cell>
          <cell r="AB194">
            <v>4948.1398501337389</v>
          </cell>
          <cell r="AC194">
            <v>11589</v>
          </cell>
          <cell r="AI194">
            <v>26797</v>
          </cell>
          <cell r="AK194">
            <v>35863</v>
          </cell>
          <cell r="AM194">
            <v>0</v>
          </cell>
        </row>
        <row r="195">
          <cell r="X195">
            <v>0</v>
          </cell>
          <cell r="AC195">
            <v>0</v>
          </cell>
          <cell r="AI195">
            <v>26797</v>
          </cell>
          <cell r="AK195">
            <v>0</v>
          </cell>
        </row>
        <row r="196">
          <cell r="X196">
            <v>0</v>
          </cell>
          <cell r="AC196">
            <v>0</v>
          </cell>
          <cell r="AI196">
            <v>0</v>
          </cell>
          <cell r="AK196">
            <v>0</v>
          </cell>
        </row>
        <row r="197">
          <cell r="X197">
            <v>0</v>
          </cell>
          <cell r="AC197">
            <v>0</v>
          </cell>
          <cell r="AI197">
            <v>0</v>
          </cell>
        </row>
        <row r="198">
          <cell r="X198">
            <v>82.5</v>
          </cell>
          <cell r="AC198">
            <v>82.5</v>
          </cell>
          <cell r="AK198">
            <v>0</v>
          </cell>
        </row>
        <row r="199">
          <cell r="S199">
            <v>0</v>
          </cell>
          <cell r="X199">
            <v>0</v>
          </cell>
          <cell r="AC199">
            <v>0</v>
          </cell>
          <cell r="AI199">
            <v>0</v>
          </cell>
          <cell r="AK199">
            <v>0</v>
          </cell>
        </row>
        <row r="200">
          <cell r="S200">
            <v>0</v>
          </cell>
          <cell r="X200">
            <v>0</v>
          </cell>
          <cell r="AC200">
            <v>0</v>
          </cell>
          <cell r="AI200">
            <v>0</v>
          </cell>
        </row>
        <row r="201">
          <cell r="X201">
            <v>5</v>
          </cell>
          <cell r="AC201">
            <v>5</v>
          </cell>
          <cell r="AD201">
            <v>5</v>
          </cell>
          <cell r="AE201">
            <v>7</v>
          </cell>
          <cell r="AK201">
            <v>10</v>
          </cell>
          <cell r="AO201">
            <v>75.839416058394164</v>
          </cell>
        </row>
        <row r="202">
          <cell r="X202">
            <v>0</v>
          </cell>
          <cell r="AC202">
            <v>0</v>
          </cell>
          <cell r="AI202">
            <v>0</v>
          </cell>
          <cell r="AK202">
            <v>14</v>
          </cell>
          <cell r="AM202">
            <v>75.839416058394164</v>
          </cell>
          <cell r="AO202">
            <v>103.9</v>
          </cell>
        </row>
        <row r="203">
          <cell r="F203">
            <v>75</v>
          </cell>
          <cell r="X203">
            <v>0</v>
          </cell>
          <cell r="AC203">
            <v>0</v>
          </cell>
          <cell r="AI203">
            <v>0</v>
          </cell>
          <cell r="AJ203">
            <v>0</v>
          </cell>
          <cell r="AM203">
            <v>103.9</v>
          </cell>
          <cell r="AO203" t="e">
            <v>#DIV/0!</v>
          </cell>
        </row>
        <row r="204">
          <cell r="F204">
            <v>75</v>
          </cell>
          <cell r="P204">
            <v>75</v>
          </cell>
          <cell r="X204">
            <v>601.41999999999996</v>
          </cell>
          <cell r="AC204">
            <v>601.41999999999996</v>
          </cell>
          <cell r="AK204">
            <v>601.41999999999996</v>
          </cell>
          <cell r="AM204" t="e">
            <v>#DIV/0!</v>
          </cell>
          <cell r="AO204">
            <v>195.28</v>
          </cell>
          <cell r="AP204">
            <v>75</v>
          </cell>
        </row>
        <row r="205">
          <cell r="S205">
            <v>385</v>
          </cell>
          <cell r="X205">
            <v>385</v>
          </cell>
          <cell r="AC205">
            <v>385</v>
          </cell>
          <cell r="AI205">
            <v>385</v>
          </cell>
          <cell r="AK205">
            <v>6014</v>
          </cell>
          <cell r="AM205">
            <v>195.28</v>
          </cell>
          <cell r="AO205">
            <v>14810</v>
          </cell>
        </row>
        <row r="206">
          <cell r="S206">
            <v>0</v>
          </cell>
          <cell r="X206">
            <v>0</v>
          </cell>
          <cell r="AC206">
            <v>0</v>
          </cell>
          <cell r="AI206">
            <v>0</v>
          </cell>
          <cell r="AK206">
            <v>6014</v>
          </cell>
          <cell r="AM206">
            <v>14810</v>
          </cell>
        </row>
        <row r="207">
          <cell r="S207">
            <v>62</v>
          </cell>
          <cell r="X207">
            <v>84.1</v>
          </cell>
          <cell r="Y207">
            <v>44.9</v>
          </cell>
          <cell r="Z207">
            <v>39.200000000000003</v>
          </cell>
          <cell r="AC207">
            <v>81.2</v>
          </cell>
          <cell r="AD207">
            <v>32.799999999999997</v>
          </cell>
          <cell r="AE207">
            <v>48.4</v>
          </cell>
          <cell r="AI207">
            <v>0</v>
          </cell>
          <cell r="AK207">
            <v>227.3</v>
          </cell>
          <cell r="AL207">
            <v>77.699999999999989</v>
          </cell>
          <cell r="AM207">
            <v>149.6</v>
          </cell>
          <cell r="AO207">
            <v>356.4</v>
          </cell>
          <cell r="AP207">
            <v>74.900000000000006</v>
          </cell>
        </row>
        <row r="208">
          <cell r="S208">
            <v>9.5</v>
          </cell>
          <cell r="X208">
            <v>81</v>
          </cell>
          <cell r="Y208">
            <v>57.4</v>
          </cell>
          <cell r="Z208">
            <v>23.6</v>
          </cell>
          <cell r="AA208">
            <v>6597</v>
          </cell>
          <cell r="AC208">
            <v>68.900000000000006</v>
          </cell>
          <cell r="AD208">
            <v>36.1</v>
          </cell>
          <cell r="AE208">
            <v>32.799999999999997</v>
          </cell>
          <cell r="AI208">
            <v>159.4</v>
          </cell>
          <cell r="AJ208">
            <v>93.5</v>
          </cell>
          <cell r="AK208">
            <v>65.900000000000006</v>
          </cell>
          <cell r="AL208">
            <v>16729</v>
          </cell>
          <cell r="AM208">
            <v>356.4</v>
          </cell>
          <cell r="AN208">
            <v>74.900000000000006</v>
          </cell>
          <cell r="AO208">
            <v>281.5</v>
          </cell>
          <cell r="AP208">
            <v>3112.427048260382</v>
          </cell>
        </row>
        <row r="209">
          <cell r="S209">
            <v>1598</v>
          </cell>
          <cell r="X209">
            <v>13610</v>
          </cell>
          <cell r="Y209">
            <v>9645</v>
          </cell>
          <cell r="Z209">
            <v>3965</v>
          </cell>
          <cell r="AA209">
            <v>3965</v>
          </cell>
          <cell r="AC209">
            <v>11589</v>
          </cell>
          <cell r="AD209">
            <v>6072</v>
          </cell>
          <cell r="AE209">
            <v>5517</v>
          </cell>
          <cell r="AI209">
            <v>26797</v>
          </cell>
          <cell r="AJ209">
            <v>15717</v>
          </cell>
          <cell r="AK209">
            <v>11080</v>
          </cell>
          <cell r="AL209">
            <v>215.3</v>
          </cell>
          <cell r="AM209">
            <v>14810</v>
          </cell>
          <cell r="AN209">
            <v>3112.427048260382</v>
          </cell>
          <cell r="AO209">
            <v>11697.572951739618</v>
          </cell>
          <cell r="AP209">
            <v>41.55</v>
          </cell>
        </row>
        <row r="210">
          <cell r="S210">
            <v>168.21</v>
          </cell>
          <cell r="X210">
            <v>168.02</v>
          </cell>
          <cell r="Y210">
            <v>168.03</v>
          </cell>
          <cell r="Z210">
            <v>168.01</v>
          </cell>
          <cell r="AC210">
            <v>168.2</v>
          </cell>
          <cell r="AD210">
            <v>168.2</v>
          </cell>
          <cell r="AE210">
            <v>168.2</v>
          </cell>
          <cell r="AI210">
            <v>168.11</v>
          </cell>
          <cell r="AJ210">
            <v>168.1</v>
          </cell>
          <cell r="AK210">
            <v>168.13</v>
          </cell>
          <cell r="AM210">
            <v>41.55</v>
          </cell>
          <cell r="AN210">
            <v>41.55</v>
          </cell>
          <cell r="AO210">
            <v>41.55</v>
          </cell>
          <cell r="AP210">
            <v>0</v>
          </cell>
        </row>
        <row r="211">
          <cell r="X211">
            <v>15982</v>
          </cell>
          <cell r="AC211">
            <v>15481</v>
          </cell>
          <cell r="AK211">
            <v>0</v>
          </cell>
          <cell r="AL211">
            <v>16729</v>
          </cell>
          <cell r="AM211">
            <v>52</v>
          </cell>
          <cell r="AN211">
            <v>52</v>
          </cell>
          <cell r="AO211">
            <v>14862</v>
          </cell>
          <cell r="AP211">
            <v>3164.427048260382</v>
          </cell>
        </row>
        <row r="212">
          <cell r="X212">
            <v>13610</v>
          </cell>
          <cell r="AC212">
            <v>11589</v>
          </cell>
          <cell r="AI212">
            <v>26797</v>
          </cell>
          <cell r="AJ212">
            <v>15717</v>
          </cell>
          <cell r="AK212">
            <v>11080</v>
          </cell>
          <cell r="AM212">
            <v>14862</v>
          </cell>
          <cell r="AN212">
            <v>3164.427048260382</v>
          </cell>
          <cell r="AO212">
            <v>11697.572951739618</v>
          </cell>
        </row>
        <row r="220">
          <cell r="G220" t="str">
            <v>Б.В.ЯЩЕНКО</v>
          </cell>
        </row>
        <row r="221">
          <cell r="G221" t="str">
            <v>М.В.ТЕРПИЛО</v>
          </cell>
        </row>
        <row r="222">
          <cell r="G222" t="str">
            <v xml:space="preserve">В.І.МИРГОРОДСЬКИЙ                                  </v>
          </cell>
        </row>
        <row r="223">
          <cell r="G223" t="str">
            <v xml:space="preserve">М.І.ШЕВЧЕНКО                                 </v>
          </cell>
          <cell r="AN223">
            <v>1507.2</v>
          </cell>
        </row>
        <row r="224">
          <cell r="G224" t="str">
            <v>В.Ю.МОНТЬЕВ</v>
          </cell>
        </row>
        <row r="225">
          <cell r="G225" t="str">
            <v xml:space="preserve">О.М.НИКОЛЕНКО      </v>
          </cell>
          <cell r="S225" t="str">
            <v>ТИС.ГРН.</v>
          </cell>
        </row>
        <row r="226">
          <cell r="P226" t="str">
            <v>ТЕЦ-6 ВСЬОГО</v>
          </cell>
          <cell r="Q226" t="str">
            <v>Е/Е</v>
          </cell>
          <cell r="R226" t="str">
            <v xml:space="preserve"> Т/Е</v>
          </cell>
          <cell r="S226" t="str">
            <v xml:space="preserve">ДОП.ВИР. </v>
          </cell>
          <cell r="T226" t="str">
            <v>ДОП.ВИР. СТ.ОРГ.</v>
          </cell>
          <cell r="W226" t="str">
            <v>АК КЕ ВСЬОГО</v>
          </cell>
          <cell r="X226" t="str">
            <v>Е/Е</v>
          </cell>
          <cell r="Y226" t="str">
            <v xml:space="preserve"> Т/Е</v>
          </cell>
          <cell r="Z226" t="str">
            <v>СТАНЦІї ЕЛЕКТРО</v>
          </cell>
          <cell r="AA226" t="str">
            <v>СТАНЦІІ ТЕПЛОВІ</v>
          </cell>
          <cell r="AB226" t="str">
            <v>МЕРЕЖІ ЕЛЕКТРО</v>
          </cell>
          <cell r="AC226" t="str">
            <v>МЕРЕЖІ ТЕПЛОВІ</v>
          </cell>
        </row>
        <row r="229">
          <cell r="P229" t="e">
            <v>#REF!</v>
          </cell>
          <cell r="Q229" t="e">
            <v>#REF!</v>
          </cell>
          <cell r="R229" t="e">
            <v>#REF!</v>
          </cell>
          <cell r="S229" t="str">
            <v>ТИС.ГРН.</v>
          </cell>
          <cell r="T229">
            <v>889</v>
          </cell>
          <cell r="W229" t="e">
            <v>#REF!</v>
          </cell>
          <cell r="X229" t="e">
            <v>#REF!</v>
          </cell>
          <cell r="Y229" t="e">
            <v>#REF!</v>
          </cell>
          <cell r="AP229">
            <v>1507.2</v>
          </cell>
        </row>
        <row r="230">
          <cell r="P230" t="str">
            <v>ТЕЦ-6 ВСЬОГО</v>
          </cell>
          <cell r="Q230" t="str">
            <v>Е/Е</v>
          </cell>
          <cell r="R230" t="str">
            <v xml:space="preserve"> Т/Е</v>
          </cell>
          <cell r="S230" t="str">
            <v xml:space="preserve">ДОП.ВИР. </v>
          </cell>
          <cell r="T230" t="str">
            <v>ДОП.ВИР. СТ.ОРГ.</v>
          </cell>
          <cell r="U230" t="str">
            <v>АК КЕ ВСЬОГО</v>
          </cell>
          <cell r="V230" t="str">
            <v>Е/Е</v>
          </cell>
          <cell r="W230" t="str">
            <v xml:space="preserve"> Т/Е</v>
          </cell>
          <cell r="X230" t="e">
            <v>#REF!</v>
          </cell>
          <cell r="AC230" t="str">
            <v>СТАНЦІї ЕЛЕКТРО</v>
          </cell>
          <cell r="AD230" t="str">
            <v>СТАНЦІІ ТЕПЛОВІ</v>
          </cell>
          <cell r="AE230" t="str">
            <v>МЕРЕЖІ ЕЛЕКТРО</v>
          </cell>
          <cell r="AF230" t="str">
            <v>МЕРЕЖІ ТЕПЛОВІ</v>
          </cell>
        </row>
        <row r="232">
          <cell r="P232" t="e">
            <v>#REF!</v>
          </cell>
          <cell r="S232" t="e">
            <v>#REF!</v>
          </cell>
          <cell r="W232" t="e">
            <v>#REF!</v>
          </cell>
          <cell r="X232" t="e">
            <v>#REF!</v>
          </cell>
        </row>
        <row r="233">
          <cell r="P233">
            <v>2409.6737288135591</v>
          </cell>
          <cell r="Q233">
            <v>1422</v>
          </cell>
          <cell r="R233">
            <v>796.42372881355914</v>
          </cell>
          <cell r="S233">
            <v>1077.625</v>
          </cell>
          <cell r="T233">
            <v>1129</v>
          </cell>
          <cell r="U233">
            <v>23976.15725132322</v>
          </cell>
          <cell r="V233" t="e">
            <v>#REF!</v>
          </cell>
          <cell r="W233">
            <v>44621.157251323224</v>
          </cell>
          <cell r="X233" t="e">
            <v>#REF!</v>
          </cell>
        </row>
        <row r="234">
          <cell r="P234">
            <v>733.8070175438595</v>
          </cell>
          <cell r="Q234">
            <v>1327</v>
          </cell>
          <cell r="R234">
            <v>742.99999999999977</v>
          </cell>
          <cell r="S234">
            <v>605</v>
          </cell>
          <cell r="T234">
            <v>117</v>
          </cell>
          <cell r="U234">
            <v>15320.660540053519</v>
          </cell>
          <cell r="V234" t="e">
            <v>#REF!</v>
          </cell>
          <cell r="W234" t="e">
            <v>#REF!</v>
          </cell>
          <cell r="X234" t="e">
            <v>#REF!</v>
          </cell>
        </row>
        <row r="235">
          <cell r="P235" t="e">
            <v>#REF!</v>
          </cell>
          <cell r="Q235">
            <v>0</v>
          </cell>
          <cell r="R235">
            <v>0</v>
          </cell>
          <cell r="S235">
            <v>897</v>
          </cell>
          <cell r="T235">
            <v>0</v>
          </cell>
          <cell r="W235" t="e">
            <v>#REF!</v>
          </cell>
          <cell r="X235" t="e">
            <v>#REF!</v>
          </cell>
        </row>
        <row r="236">
          <cell r="P236">
            <v>733.8070175438595</v>
          </cell>
          <cell r="S236">
            <v>685</v>
          </cell>
          <cell r="U236">
            <v>15689.007333333333</v>
          </cell>
          <cell r="V236">
            <v>15376.340666666665</v>
          </cell>
          <cell r="W236" t="e">
            <v>#REF!</v>
          </cell>
          <cell r="X236" t="e">
            <v>#REF!</v>
          </cell>
        </row>
        <row r="237">
          <cell r="P237">
            <v>431.86671126969964</v>
          </cell>
          <cell r="Q237">
            <v>63</v>
          </cell>
          <cell r="R237">
            <v>35.423728813559308</v>
          </cell>
          <cell r="S237">
            <v>537.625</v>
          </cell>
          <cell r="T237">
            <v>1012</v>
          </cell>
          <cell r="U237">
            <v>4138.4967112696995</v>
          </cell>
          <cell r="V237">
            <v>4138.4967112696995</v>
          </cell>
          <cell r="W237" t="e">
            <v>#REF!</v>
          </cell>
          <cell r="X237" t="e">
            <v>#REF!</v>
          </cell>
          <cell r="Z237">
            <v>6</v>
          </cell>
          <cell r="AA237">
            <v>6</v>
          </cell>
          <cell r="AB237">
            <v>12</v>
          </cell>
        </row>
        <row r="238">
          <cell r="P238">
            <v>131.12735849056605</v>
          </cell>
          <cell r="S238">
            <v>146.625</v>
          </cell>
          <cell r="U238">
            <v>1220.7727272727273</v>
          </cell>
          <cell r="V238">
            <v>1231.382075471698</v>
          </cell>
          <cell r="W238">
            <v>0</v>
          </cell>
          <cell r="X238">
            <v>0</v>
          </cell>
          <cell r="AG238" t="str">
            <v xml:space="preserve">         Затверджую</v>
          </cell>
        </row>
        <row r="239">
          <cell r="P239">
            <v>42</v>
          </cell>
          <cell r="Q239">
            <v>0</v>
          </cell>
          <cell r="R239">
            <v>0</v>
          </cell>
          <cell r="S239">
            <v>0</v>
          </cell>
          <cell r="T239">
            <v>0</v>
          </cell>
          <cell r="U239">
            <v>3586.2745410050566</v>
          </cell>
          <cell r="V239">
            <v>3586.2745410050566</v>
          </cell>
          <cell r="W239">
            <v>2421.3333333333335</v>
          </cell>
          <cell r="X239">
            <v>2421.3333333333335</v>
          </cell>
          <cell r="AG239" t="str">
            <v xml:space="preserve"> Голова правління </v>
          </cell>
        </row>
        <row r="240">
          <cell r="P240">
            <v>12</v>
          </cell>
          <cell r="Q240">
            <v>0</v>
          </cell>
          <cell r="R240">
            <v>0</v>
          </cell>
          <cell r="S240">
            <v>0</v>
          </cell>
          <cell r="U240">
            <v>589</v>
          </cell>
          <cell r="V240">
            <v>589</v>
          </cell>
          <cell r="W240" t="e">
            <v>#REF!</v>
          </cell>
          <cell r="X240" t="e">
            <v>#REF!</v>
          </cell>
          <cell r="AG240" t="str">
            <v xml:space="preserve">                        І.В.Плачков</v>
          </cell>
        </row>
        <row r="241">
          <cell r="P241">
            <v>30</v>
          </cell>
          <cell r="S241">
            <v>0</v>
          </cell>
          <cell r="U241">
            <v>53.583333333333336</v>
          </cell>
          <cell r="V241">
            <v>53.583333333333336</v>
          </cell>
          <cell r="X241">
            <v>0</v>
          </cell>
          <cell r="AC241">
            <v>6</v>
          </cell>
          <cell r="AD241">
            <v>6</v>
          </cell>
          <cell r="AE241">
            <v>12</v>
          </cell>
          <cell r="AG241" t="str">
            <v xml:space="preserve">   "_____" ________2000 р.</v>
          </cell>
        </row>
        <row r="242">
          <cell r="P242" t="e">
            <v>#REF!</v>
          </cell>
          <cell r="S242">
            <v>163</v>
          </cell>
          <cell r="U242">
            <v>-149.73279232827699</v>
          </cell>
          <cell r="V242">
            <v>-149.73279232827699</v>
          </cell>
          <cell r="W242" t="e">
            <v>#REF!</v>
          </cell>
          <cell r="X242" t="e">
            <v>#REF!</v>
          </cell>
        </row>
        <row r="243">
          <cell r="P243">
            <v>180</v>
          </cell>
          <cell r="S243">
            <v>0</v>
          </cell>
          <cell r="U243">
            <v>2421.3333333333335</v>
          </cell>
          <cell r="V243">
            <v>2421.3333333333335</v>
          </cell>
          <cell r="W243">
            <v>2595.8000000000002</v>
          </cell>
          <cell r="X243">
            <v>2401.8000000000002</v>
          </cell>
        </row>
        <row r="244">
          <cell r="P244">
            <v>0</v>
          </cell>
          <cell r="Q244">
            <v>0</v>
          </cell>
          <cell r="R244">
            <v>0</v>
          </cell>
          <cell r="S244">
            <v>0</v>
          </cell>
          <cell r="U244">
            <v>672.09066666666661</v>
          </cell>
          <cell r="V244">
            <v>672.09066666666661</v>
          </cell>
          <cell r="X244">
            <v>0</v>
          </cell>
          <cell r="AG244" t="str">
            <v xml:space="preserve">         Затверджую</v>
          </cell>
        </row>
        <row r="245">
          <cell r="F245" t="str">
            <v>РОЗРАХУНОК ФІНАНСОВИХ ПОТОКІВ НА   березень  2000 року</v>
          </cell>
          <cell r="P245">
            <v>-165.33333333333334</v>
          </cell>
          <cell r="Q245">
            <v>0</v>
          </cell>
          <cell r="R245">
            <v>0</v>
          </cell>
          <cell r="S245">
            <v>0</v>
          </cell>
          <cell r="T245">
            <v>0</v>
          </cell>
          <cell r="V245">
            <v>0</v>
          </cell>
          <cell r="W245">
            <v>-798.66666666666674</v>
          </cell>
          <cell r="X245">
            <v>-798.66666666666674</v>
          </cell>
          <cell r="AG245" t="str">
            <v xml:space="preserve"> Голова правління </v>
          </cell>
        </row>
        <row r="246">
          <cell r="F246" t="str">
            <v>ПО ФІЛІАЛАХ АК КИЇВЕНЕРГО</v>
          </cell>
          <cell r="P246">
            <v>450</v>
          </cell>
          <cell r="Q246">
            <v>0</v>
          </cell>
          <cell r="R246">
            <v>0</v>
          </cell>
          <cell r="S246">
            <v>406</v>
          </cell>
          <cell r="T246">
            <v>0</v>
          </cell>
          <cell r="U246">
            <v>4903</v>
          </cell>
          <cell r="V246">
            <v>4635</v>
          </cell>
          <cell r="W246">
            <v>0</v>
          </cell>
          <cell r="X246">
            <v>0</v>
          </cell>
          <cell r="AG246" t="str">
            <v xml:space="preserve">                        І.В.Плачков</v>
          </cell>
        </row>
        <row r="247">
          <cell r="P247">
            <v>1174</v>
          </cell>
          <cell r="S247">
            <v>0</v>
          </cell>
          <cell r="U247">
            <v>2921</v>
          </cell>
          <cell r="V247">
            <v>2921</v>
          </cell>
          <cell r="X247">
            <v>0</v>
          </cell>
          <cell r="AG247" t="str">
            <v xml:space="preserve">   "_____" ________2000 р.</v>
          </cell>
        </row>
        <row r="248">
          <cell r="P248">
            <v>4</v>
          </cell>
          <cell r="S248">
            <v>0</v>
          </cell>
          <cell r="V248">
            <v>0</v>
          </cell>
          <cell r="W248">
            <v>298.7</v>
          </cell>
          <cell r="X248">
            <v>298.7</v>
          </cell>
        </row>
        <row r="249">
          <cell r="P249">
            <v>-100</v>
          </cell>
          <cell r="Q249">
            <v>0</v>
          </cell>
          <cell r="R249">
            <v>0</v>
          </cell>
          <cell r="S249">
            <v>0</v>
          </cell>
          <cell r="T249">
            <v>0</v>
          </cell>
          <cell r="U249">
            <v>-578</v>
          </cell>
          <cell r="V249">
            <v>-578</v>
          </cell>
          <cell r="W249">
            <v>200</v>
          </cell>
          <cell r="X249">
            <v>200</v>
          </cell>
        </row>
        <row r="250">
          <cell r="P250">
            <v>0</v>
          </cell>
          <cell r="Q250">
            <v>0</v>
          </cell>
          <cell r="R250">
            <v>0</v>
          </cell>
          <cell r="S250">
            <v>0</v>
          </cell>
          <cell r="T250">
            <v>0</v>
          </cell>
          <cell r="U250">
            <v>0</v>
          </cell>
          <cell r="V250">
            <v>0</v>
          </cell>
          <cell r="X250">
            <v>0</v>
          </cell>
        </row>
        <row r="251">
          <cell r="F251" t="str">
            <v>РОЗРАХУНОК ФІНАНСОВИХ ПОТОКІВ НА   березень  2000 року</v>
          </cell>
          <cell r="P251">
            <v>91.8</v>
          </cell>
          <cell r="Q251">
            <v>36</v>
          </cell>
          <cell r="R251">
            <v>55.8</v>
          </cell>
          <cell r="S251">
            <v>0</v>
          </cell>
          <cell r="T251">
            <v>0</v>
          </cell>
          <cell r="V251">
            <v>0</v>
          </cell>
          <cell r="W251">
            <v>134.1</v>
          </cell>
          <cell r="X251">
            <v>134.1</v>
          </cell>
          <cell r="AI251" t="str">
            <v>тис.грн.</v>
          </cell>
        </row>
        <row r="252">
          <cell r="F252" t="str">
            <v>ВИКОН.ДИР.</v>
          </cell>
          <cell r="G252" t="str">
            <v>АПАРАТ ЕЛЕКТРО</v>
          </cell>
          <cell r="H252" t="str">
            <v>АПАРАТ ТЕПЛО</v>
          </cell>
          <cell r="P252" t="str">
            <v>КМ</v>
          </cell>
          <cell r="Q252" t="str">
            <v>ТМ</v>
          </cell>
          <cell r="S252" t="str">
            <v>КТМ</v>
          </cell>
          <cell r="T252" t="str">
            <v>ВИРОБН</v>
          </cell>
          <cell r="U252" t="str">
            <v>ПЕРЕД</v>
          </cell>
          <cell r="V252">
            <v>331</v>
          </cell>
          <cell r="W252" t="e">
            <v>#REF!</v>
          </cell>
          <cell r="X252" t="str">
            <v>ТЕЦ-5 ВСЬОГО</v>
          </cell>
          <cell r="Y252" t="str">
            <v>Е/Е</v>
          </cell>
          <cell r="Z252" t="str">
            <v xml:space="preserve"> Т/Е</v>
          </cell>
          <cell r="AC252" t="str">
            <v>ТЕЦ-6 ВСЬОГО</v>
          </cell>
          <cell r="AD252" t="str">
            <v>Е/Е</v>
          </cell>
          <cell r="AE252" t="str">
            <v xml:space="preserve"> Т/Е</v>
          </cell>
          <cell r="AF252" t="str">
            <v>ТРМ ВСЬОГО</v>
          </cell>
          <cell r="AG252" t="str">
            <v>ТРМ  АК КЕ</v>
          </cell>
          <cell r="AH252" t="str">
            <v>ТРМ СТОР</v>
          </cell>
          <cell r="AI252" t="str">
            <v>АК КЕ осн.вир.</v>
          </cell>
          <cell r="AJ252" t="str">
            <v>АК КЕ ВСЬОГО</v>
          </cell>
          <cell r="AK252" t="str">
            <v xml:space="preserve"> Т/Е</v>
          </cell>
          <cell r="AM252" t="str">
            <v>СТАНЦІї ЕЛЕКТРО</v>
          </cell>
          <cell r="AN252" t="str">
            <v>СТАНЦІІ ТЕПЛОВІ</v>
          </cell>
          <cell r="AO252" t="str">
            <v>МЕРЕЖІ ЕЛЕКТРО</v>
          </cell>
          <cell r="AP252" t="str">
            <v>МЕРЕЖІ ТЕПЛОВІ</v>
          </cell>
        </row>
        <row r="253">
          <cell r="F253">
            <v>5353.1970000000001</v>
          </cell>
          <cell r="P253">
            <v>3631.1559999999999</v>
          </cell>
          <cell r="S253">
            <v>9526.8578787878778</v>
          </cell>
          <cell r="U253">
            <v>200</v>
          </cell>
          <cell r="V253">
            <v>200</v>
          </cell>
          <cell r="W253">
            <v>580</v>
          </cell>
          <cell r="X253">
            <v>2672.4863636363625</v>
          </cell>
          <cell r="AC253">
            <v>1389.1963636363635</v>
          </cell>
          <cell r="AF253">
            <v>4185.9539393939394</v>
          </cell>
          <cell r="AG253">
            <v>3391.2</v>
          </cell>
          <cell r="AH253">
            <v>794.7539393939395</v>
          </cell>
          <cell r="AI253">
            <v>27896.847545454541</v>
          </cell>
        </row>
        <row r="254">
          <cell r="V254">
            <v>0</v>
          </cell>
          <cell r="W254">
            <v>0</v>
          </cell>
          <cell r="X254">
            <v>0</v>
          </cell>
        </row>
        <row r="255">
          <cell r="F255" t="e">
            <v>#REF!</v>
          </cell>
          <cell r="G255">
            <v>2614</v>
          </cell>
          <cell r="H255">
            <v>3572.1970000000001</v>
          </cell>
          <cell r="P255">
            <v>3631.1559999999999</v>
          </cell>
          <cell r="Q255">
            <v>0</v>
          </cell>
          <cell r="R255">
            <v>0</v>
          </cell>
          <cell r="S255">
            <v>9526.8578787878778</v>
          </cell>
          <cell r="T255">
            <v>2010.6708606060602</v>
          </cell>
          <cell r="U255">
            <v>2621.0370181818184</v>
          </cell>
          <cell r="V255">
            <v>0</v>
          </cell>
          <cell r="W255">
            <v>0</v>
          </cell>
          <cell r="X255">
            <v>2672.4863636363625</v>
          </cell>
          <cell r="Y255">
            <v>1687</v>
          </cell>
          <cell r="Z255">
            <v>695.48636363636342</v>
          </cell>
          <cell r="AA255">
            <v>0</v>
          </cell>
          <cell r="AB255">
            <v>0</v>
          </cell>
          <cell r="AC255">
            <v>1389.1963636363635</v>
          </cell>
          <cell r="AD255">
            <v>683</v>
          </cell>
          <cell r="AE255">
            <v>621.19636363636255</v>
          </cell>
          <cell r="AF255">
            <v>4185.9539393939394</v>
          </cell>
          <cell r="AG255">
            <v>3391.2</v>
          </cell>
          <cell r="AH255">
            <v>794.7539393939395</v>
          </cell>
          <cell r="AI255" t="e">
            <v>#REF!</v>
          </cell>
          <cell r="AK255">
            <v>50607.25</v>
          </cell>
        </row>
        <row r="256">
          <cell r="F256" t="e">
            <v>#REF!</v>
          </cell>
          <cell r="G256">
            <v>2402</v>
          </cell>
          <cell r="H256">
            <v>3242.5</v>
          </cell>
          <cell r="P256">
            <v>1276.2359999999999</v>
          </cell>
          <cell r="S256">
            <v>5217.4833333333318</v>
          </cell>
          <cell r="T256">
            <v>1249.7813333333329</v>
          </cell>
          <cell r="U256">
            <v>1143.1520000000005</v>
          </cell>
          <cell r="V256">
            <v>366</v>
          </cell>
          <cell r="W256" t="e">
            <v>#REF!</v>
          </cell>
          <cell r="X256">
            <v>1178.9999999999986</v>
          </cell>
          <cell r="Y256">
            <v>995</v>
          </cell>
          <cell r="Z256">
            <v>410.19999999999976</v>
          </cell>
          <cell r="AC256">
            <v>204.39999999999986</v>
          </cell>
          <cell r="AD256">
            <v>149</v>
          </cell>
          <cell r="AE256">
            <v>135.79999999999887</v>
          </cell>
          <cell r="AF256">
            <v>314.4666666666667</v>
          </cell>
          <cell r="AG256">
            <v>497.99999999999977</v>
          </cell>
          <cell r="AH256">
            <v>177.46666666666684</v>
          </cell>
          <cell r="AI256" t="e">
            <v>#REF!</v>
          </cell>
          <cell r="AK256" t="e">
            <v>#REF!</v>
          </cell>
        </row>
        <row r="257">
          <cell r="F257" t="e">
            <v>#REF!</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t="e">
            <v>#REF!</v>
          </cell>
          <cell r="AK257" t="str">
            <v>тис.грн.</v>
          </cell>
        </row>
        <row r="258">
          <cell r="F258">
            <v>26797</v>
          </cell>
          <cell r="G258" t="str">
            <v>АПАРАТ ЕЛЕКТРО</v>
          </cell>
          <cell r="H258" t="str">
            <v>АПАРАТ ТЕПЛО</v>
          </cell>
          <cell r="P258" t="str">
            <v>КМ</v>
          </cell>
          <cell r="Q258" t="str">
            <v>ТМ</v>
          </cell>
          <cell r="S258" t="str">
            <v>КТМ</v>
          </cell>
          <cell r="T258" t="str">
            <v>ВИРОБН</v>
          </cell>
          <cell r="U258" t="str">
            <v>ПЕРЕД</v>
          </cell>
          <cell r="V258">
            <v>0</v>
          </cell>
          <cell r="W258" t="e">
            <v>#REF!</v>
          </cell>
          <cell r="X258" t="str">
            <v>ТЕЦ-5 ВСЬОГО</v>
          </cell>
          <cell r="Y258" t="str">
            <v>Е/Е</v>
          </cell>
          <cell r="Z258" t="str">
            <v xml:space="preserve"> Т/Е</v>
          </cell>
          <cell r="AC258" t="str">
            <v>ТЕЦ-6 ВСЬОГО</v>
          </cell>
          <cell r="AD258" t="str">
            <v>Е/Е</v>
          </cell>
          <cell r="AE258" t="str">
            <v xml:space="preserve"> Т/Е</v>
          </cell>
          <cell r="AF258" t="str">
            <v>ТРМ ВСЬОГО</v>
          </cell>
          <cell r="AG258" t="str">
            <v>ТРМ  АК КЕ</v>
          </cell>
          <cell r="AH258" t="str">
            <v>ТРМ СТОР</v>
          </cell>
          <cell r="AI258">
            <v>26797</v>
          </cell>
          <cell r="AJ258" t="str">
            <v>ДОП.ВИР. СТ.ОРГ.</v>
          </cell>
          <cell r="AK258" t="str">
            <v>АК КЕ осн.вир.</v>
          </cell>
          <cell r="AL258" t="str">
            <v>АК КЕ ВСЬОГО</v>
          </cell>
          <cell r="AM258" t="str">
            <v xml:space="preserve"> Т/Е</v>
          </cell>
          <cell r="AO258" t="str">
            <v>СТАНЦІї ЕЛЕКТРО</v>
          </cell>
          <cell r="AP258" t="str">
            <v>СТАНЦІІ ТЕПЛОВІ</v>
          </cell>
        </row>
        <row r="259">
          <cell r="F259">
            <v>5607</v>
          </cell>
          <cell r="P259">
            <v>5528.9166666666661</v>
          </cell>
          <cell r="S259">
            <v>11148.516969696972</v>
          </cell>
          <cell r="U259">
            <v>2217</v>
          </cell>
          <cell r="V259">
            <v>2217</v>
          </cell>
          <cell r="W259" t="e">
            <v>#REF!</v>
          </cell>
          <cell r="X259">
            <v>3572.9196969697005</v>
          </cell>
          <cell r="AC259">
            <v>1815.6175757575729</v>
          </cell>
          <cell r="AF259">
            <v>5288.3842424242421</v>
          </cell>
          <cell r="AG259">
            <v>4487.3999999999996</v>
          </cell>
          <cell r="AH259">
            <v>801.98424242424232</v>
          </cell>
          <cell r="AI259">
            <v>5607</v>
          </cell>
          <cell r="AJ259">
            <v>7599</v>
          </cell>
          <cell r="AK259">
            <v>32648.355151515156</v>
          </cell>
        </row>
        <row r="260">
          <cell r="F260" t="e">
            <v>#REF!</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t="e">
            <v>#REF!</v>
          </cell>
        </row>
        <row r="261">
          <cell r="F261">
            <v>721.80000000000007</v>
          </cell>
          <cell r="G261">
            <v>1680.0409150901905</v>
          </cell>
          <cell r="H261">
            <v>3353.9590849098108</v>
          </cell>
          <cell r="P261">
            <v>5528.9166666666661</v>
          </cell>
          <cell r="Q261">
            <v>0</v>
          </cell>
          <cell r="R261">
            <v>0</v>
          </cell>
          <cell r="S261">
            <v>11148.516969696972</v>
          </cell>
          <cell r="T261">
            <v>4612.7199818181807</v>
          </cell>
          <cell r="U261">
            <v>3068.7969878787876</v>
          </cell>
          <cell r="V261">
            <v>0</v>
          </cell>
          <cell r="W261">
            <v>0</v>
          </cell>
          <cell r="X261">
            <v>3572.9196969697005</v>
          </cell>
          <cell r="Y261">
            <v>1788</v>
          </cell>
          <cell r="Z261">
            <v>1559.9196969696968</v>
          </cell>
          <cell r="AA261">
            <v>0</v>
          </cell>
          <cell r="AB261">
            <v>0</v>
          </cell>
          <cell r="AC261">
            <v>1815.6175757575729</v>
          </cell>
          <cell r="AD261">
            <v>666</v>
          </cell>
          <cell r="AE261">
            <v>979.61757575757656</v>
          </cell>
          <cell r="AF261">
            <v>5288.3842424242421</v>
          </cell>
          <cell r="AG261">
            <v>4487.3999999999996</v>
          </cell>
          <cell r="AH261">
            <v>801.98424242424232</v>
          </cell>
          <cell r="AI261">
            <v>721.80000000000007</v>
          </cell>
          <cell r="AJ261">
            <v>0</v>
          </cell>
          <cell r="AK261">
            <v>95584.228051948041</v>
          </cell>
          <cell r="AM261">
            <v>78593.25</v>
          </cell>
        </row>
        <row r="262">
          <cell r="F262">
            <v>0</v>
          </cell>
          <cell r="G262">
            <v>1518.0409150901905</v>
          </cell>
          <cell r="H262">
            <v>2928.9590849098108</v>
          </cell>
          <cell r="P262">
            <v>3433.9999999999991</v>
          </cell>
          <cell r="Q262" t="e">
            <v>#REF!</v>
          </cell>
          <cell r="R262" t="e">
            <v>#REF!</v>
          </cell>
          <cell r="S262">
            <v>4201.3333333333358</v>
          </cell>
          <cell r="T262">
            <v>3752.599999999999</v>
          </cell>
          <cell r="U262">
            <v>1487.7333333333331</v>
          </cell>
          <cell r="V262">
            <v>3661</v>
          </cell>
          <cell r="W262" t="e">
            <v>#REF!</v>
          </cell>
          <cell r="X262">
            <v>1311.3333333333371</v>
          </cell>
          <cell r="Y262">
            <v>1280</v>
          </cell>
          <cell r="Z262">
            <v>1117.333333333333</v>
          </cell>
          <cell r="AC262">
            <v>513.66666666666367</v>
          </cell>
          <cell r="AD262">
            <v>309</v>
          </cell>
          <cell r="AE262">
            <v>454.66666666666742</v>
          </cell>
          <cell r="AF262">
            <v>1352.6666666666665</v>
          </cell>
          <cell r="AG262">
            <v>1658.3999999999996</v>
          </cell>
          <cell r="AH262">
            <v>-304.73333333333335</v>
          </cell>
          <cell r="AI262">
            <v>0</v>
          </cell>
          <cell r="AJ262">
            <v>-2455</v>
          </cell>
          <cell r="AK262">
            <v>76701.57290043289</v>
          </cell>
          <cell r="AM262">
            <v>17214.890476190481</v>
          </cell>
        </row>
        <row r="263">
          <cell r="F263" t="e">
            <v>#REF!</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t="e">
            <v>#REF!</v>
          </cell>
          <cell r="AK263">
            <v>67522.157142857148</v>
          </cell>
        </row>
        <row r="264">
          <cell r="F264">
            <v>3500</v>
          </cell>
          <cell r="P264">
            <v>295.8070175438595</v>
          </cell>
          <cell r="Q264">
            <v>178</v>
          </cell>
          <cell r="R264">
            <v>99</v>
          </cell>
          <cell r="S264">
            <v>0</v>
          </cell>
          <cell r="T264">
            <v>0</v>
          </cell>
          <cell r="U264">
            <v>1603.0000000000005</v>
          </cell>
          <cell r="V264">
            <v>1558.3333333333326</v>
          </cell>
          <cell r="W264">
            <v>0</v>
          </cell>
          <cell r="X264" t="e">
            <v>#REF!</v>
          </cell>
          <cell r="AI264">
            <v>3500</v>
          </cell>
          <cell r="AK264">
            <v>41877</v>
          </cell>
        </row>
        <row r="265">
          <cell r="F265">
            <v>0</v>
          </cell>
          <cell r="P265">
            <v>168</v>
          </cell>
          <cell r="Q265">
            <v>108</v>
          </cell>
          <cell r="R265">
            <v>60</v>
          </cell>
          <cell r="S265">
            <v>0</v>
          </cell>
          <cell r="T265">
            <v>16</v>
          </cell>
          <cell r="U265">
            <v>405.33333333333348</v>
          </cell>
          <cell r="AI265">
            <v>0</v>
          </cell>
          <cell r="AK265">
            <v>15510</v>
          </cell>
        </row>
        <row r="266">
          <cell r="F266">
            <v>538</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538</v>
          </cell>
          <cell r="AK266">
            <v>6362.1571428571433</v>
          </cell>
        </row>
        <row r="267">
          <cell r="F267" t="e">
            <v>#REF!</v>
          </cell>
          <cell r="P267">
            <v>29</v>
          </cell>
          <cell r="Q267">
            <v>20</v>
          </cell>
          <cell r="R267">
            <v>11</v>
          </cell>
          <cell r="S267">
            <v>0</v>
          </cell>
          <cell r="T267">
            <v>12</v>
          </cell>
          <cell r="U267">
            <v>702.66666666666697</v>
          </cell>
          <cell r="V267">
            <v>637.66666666666674</v>
          </cell>
          <cell r="AI267" t="e">
            <v>#REF!</v>
          </cell>
          <cell r="AK267">
            <v>660.3</v>
          </cell>
        </row>
        <row r="268">
          <cell r="F268">
            <v>295</v>
          </cell>
          <cell r="P268">
            <v>0</v>
          </cell>
          <cell r="Q268">
            <v>0</v>
          </cell>
          <cell r="R268">
            <v>0</v>
          </cell>
          <cell r="S268">
            <v>0</v>
          </cell>
          <cell r="U268">
            <v>0</v>
          </cell>
          <cell r="V268">
            <v>11</v>
          </cell>
          <cell r="X268">
            <v>0</v>
          </cell>
          <cell r="AC268">
            <v>0</v>
          </cell>
          <cell r="AF268">
            <v>0</v>
          </cell>
          <cell r="AG268">
            <v>0</v>
          </cell>
          <cell r="AH268">
            <v>0</v>
          </cell>
          <cell r="AI268">
            <v>295</v>
          </cell>
          <cell r="AK268">
            <v>0</v>
          </cell>
        </row>
        <row r="269">
          <cell r="F269" t="e">
            <v>#REF!</v>
          </cell>
          <cell r="P269">
            <v>3631.1559999999999</v>
          </cell>
          <cell r="Q269">
            <v>0</v>
          </cell>
          <cell r="R269">
            <v>0</v>
          </cell>
          <cell r="S269">
            <v>9526.8578787878778</v>
          </cell>
          <cell r="T269">
            <v>0</v>
          </cell>
          <cell r="U269">
            <v>0</v>
          </cell>
          <cell r="V269">
            <v>0</v>
          </cell>
          <cell r="W269">
            <v>0</v>
          </cell>
          <cell r="X269">
            <v>2672.4863636363625</v>
          </cell>
          <cell r="Y269">
            <v>0</v>
          </cell>
          <cell r="Z269">
            <v>0</v>
          </cell>
          <cell r="AA269">
            <v>0</v>
          </cell>
          <cell r="AB269">
            <v>0</v>
          </cell>
          <cell r="AC269">
            <v>1389.1963636363635</v>
          </cell>
          <cell r="AD269">
            <v>0</v>
          </cell>
          <cell r="AE269">
            <v>0</v>
          </cell>
          <cell r="AF269">
            <v>4185.9539393939394</v>
          </cell>
          <cell r="AG269">
            <v>3391.2</v>
          </cell>
          <cell r="AH269">
            <v>794.7539393939395</v>
          </cell>
          <cell r="AI269" t="e">
            <v>#REF!</v>
          </cell>
          <cell r="AK269">
            <v>1380.8571428571431</v>
          </cell>
        </row>
        <row r="270">
          <cell r="F270">
            <v>1708.6970000000001</v>
          </cell>
          <cell r="P270">
            <v>1864.5200000000002</v>
          </cell>
          <cell r="Q270">
            <v>0</v>
          </cell>
          <cell r="R270">
            <v>0</v>
          </cell>
          <cell r="S270">
            <v>3624.1866666666665</v>
          </cell>
          <cell r="T270">
            <v>611.67619393939378</v>
          </cell>
          <cell r="U270">
            <v>622.76501818181805</v>
          </cell>
          <cell r="V270">
            <v>0</v>
          </cell>
          <cell r="W270">
            <v>0</v>
          </cell>
          <cell r="X270">
            <v>1667.4500000000003</v>
          </cell>
          <cell r="Y270">
            <v>790</v>
          </cell>
          <cell r="Z270">
            <v>326.08636363636373</v>
          </cell>
          <cell r="AA270">
            <v>0</v>
          </cell>
          <cell r="AB270">
            <v>0</v>
          </cell>
          <cell r="AC270">
            <v>821.09333333333336</v>
          </cell>
          <cell r="AD270">
            <v>205</v>
          </cell>
          <cell r="AE270">
            <v>186.72969696969702</v>
          </cell>
          <cell r="AF270">
            <v>2892.76</v>
          </cell>
          <cell r="AG270">
            <v>1914.2</v>
          </cell>
          <cell r="AH270">
            <v>617.55999999999995</v>
          </cell>
          <cell r="AI270">
            <v>13501.707000000002</v>
          </cell>
          <cell r="AK270">
            <v>3500</v>
          </cell>
        </row>
        <row r="271">
          <cell r="F271">
            <v>541.697</v>
          </cell>
          <cell r="G271">
            <v>212</v>
          </cell>
          <cell r="H271">
            <v>329.697</v>
          </cell>
          <cell r="P271">
            <v>904.32</v>
          </cell>
          <cell r="S271">
            <v>1900.3199999999997</v>
          </cell>
          <cell r="T271">
            <v>598.00952727272715</v>
          </cell>
          <cell r="U271">
            <v>622.76501818181805</v>
          </cell>
          <cell r="X271">
            <v>643.65000000000009</v>
          </cell>
          <cell r="Y271">
            <v>288</v>
          </cell>
          <cell r="Z271">
            <v>119.28636363636366</v>
          </cell>
          <cell r="AC271">
            <v>537.76</v>
          </cell>
          <cell r="AD271">
            <v>198</v>
          </cell>
          <cell r="AE271">
            <v>180.39636363636367</v>
          </cell>
          <cell r="AF271">
            <v>1730.76</v>
          </cell>
          <cell r="AG271">
            <v>1429.2</v>
          </cell>
          <cell r="AH271">
            <v>301.55999999999995</v>
          </cell>
          <cell r="AI271">
            <v>6683.5069999999996</v>
          </cell>
          <cell r="AK271">
            <v>0</v>
          </cell>
        </row>
        <row r="272">
          <cell r="F272">
            <v>0</v>
          </cell>
          <cell r="P272">
            <v>0</v>
          </cell>
          <cell r="Q272">
            <v>0</v>
          </cell>
          <cell r="R272">
            <v>0</v>
          </cell>
          <cell r="S272">
            <v>13.666666666666666</v>
          </cell>
          <cell r="T272">
            <v>13.666666666666666</v>
          </cell>
          <cell r="U272">
            <v>0</v>
          </cell>
          <cell r="V272">
            <v>0</v>
          </cell>
          <cell r="W272">
            <v>0</v>
          </cell>
          <cell r="X272">
            <v>708.80000000000007</v>
          </cell>
          <cell r="Y272">
            <v>502</v>
          </cell>
          <cell r="Z272">
            <v>206.80000000000007</v>
          </cell>
          <cell r="AA272">
            <v>0</v>
          </cell>
          <cell r="AB272">
            <v>0</v>
          </cell>
          <cell r="AC272">
            <v>-0.66666666666666607</v>
          </cell>
          <cell r="AD272">
            <v>7</v>
          </cell>
          <cell r="AE272">
            <v>6.3333333333333339</v>
          </cell>
          <cell r="AF272">
            <v>0</v>
          </cell>
          <cell r="AG272">
            <v>0</v>
          </cell>
          <cell r="AH272">
            <v>0</v>
          </cell>
          <cell r="AI272">
            <v>721.80000000000007</v>
          </cell>
          <cell r="AK272">
            <v>821</v>
          </cell>
        </row>
        <row r="273">
          <cell r="F273">
            <v>1167</v>
          </cell>
          <cell r="P273">
            <v>949</v>
          </cell>
          <cell r="Q273">
            <v>0</v>
          </cell>
          <cell r="R273">
            <v>0</v>
          </cell>
          <cell r="S273">
            <v>1193</v>
          </cell>
          <cell r="T273">
            <v>0</v>
          </cell>
          <cell r="U273">
            <v>0</v>
          </cell>
          <cell r="V273">
            <v>0</v>
          </cell>
          <cell r="W273">
            <v>0</v>
          </cell>
          <cell r="X273">
            <v>311</v>
          </cell>
          <cell r="Y273">
            <v>0</v>
          </cell>
          <cell r="Z273">
            <v>0</v>
          </cell>
          <cell r="AA273">
            <v>0</v>
          </cell>
          <cell r="AB273">
            <v>0</v>
          </cell>
          <cell r="AC273">
            <v>284</v>
          </cell>
          <cell r="AD273">
            <v>0</v>
          </cell>
          <cell r="AE273">
            <v>0</v>
          </cell>
          <cell r="AF273">
            <v>626</v>
          </cell>
          <cell r="AG273">
            <v>265</v>
          </cell>
          <cell r="AH273">
            <v>0</v>
          </cell>
          <cell r="AI273">
            <v>4672</v>
          </cell>
          <cell r="AK273">
            <v>3580</v>
          </cell>
        </row>
        <row r="274">
          <cell r="F274">
            <v>133</v>
          </cell>
          <cell r="P274">
            <v>300</v>
          </cell>
          <cell r="S274">
            <v>603</v>
          </cell>
          <cell r="X274">
            <v>115</v>
          </cell>
          <cell r="AC274">
            <v>96</v>
          </cell>
          <cell r="AF274">
            <v>361</v>
          </cell>
          <cell r="AG274">
            <v>0</v>
          </cell>
          <cell r="AH274">
            <v>0</v>
          </cell>
          <cell r="AI274">
            <v>1640</v>
          </cell>
          <cell r="AK274">
            <v>193</v>
          </cell>
        </row>
        <row r="275">
          <cell r="F275">
            <v>770</v>
          </cell>
          <cell r="P275">
            <v>4</v>
          </cell>
          <cell r="Q275">
            <v>0</v>
          </cell>
          <cell r="R275">
            <v>0</v>
          </cell>
          <cell r="S275">
            <v>15</v>
          </cell>
          <cell r="T275">
            <v>0</v>
          </cell>
          <cell r="U275">
            <v>0</v>
          </cell>
          <cell r="V275">
            <v>0</v>
          </cell>
          <cell r="W275">
            <v>0</v>
          </cell>
          <cell r="X275">
            <v>30</v>
          </cell>
          <cell r="Y275">
            <v>0</v>
          </cell>
          <cell r="Z275">
            <v>0</v>
          </cell>
          <cell r="AA275">
            <v>0</v>
          </cell>
          <cell r="AB275">
            <v>0</v>
          </cell>
          <cell r="AC275">
            <v>8</v>
          </cell>
          <cell r="AD275">
            <v>0</v>
          </cell>
          <cell r="AE275">
            <v>0</v>
          </cell>
          <cell r="AF275">
            <v>15</v>
          </cell>
          <cell r="AG275">
            <v>15</v>
          </cell>
          <cell r="AH275">
            <v>0</v>
          </cell>
          <cell r="AI275">
            <v>952</v>
          </cell>
          <cell r="AK275">
            <v>100170.5122943723</v>
          </cell>
        </row>
        <row r="276">
          <cell r="F276">
            <v>60</v>
          </cell>
          <cell r="P276">
            <v>500</v>
          </cell>
          <cell r="Q276">
            <v>0</v>
          </cell>
          <cell r="R276">
            <v>0</v>
          </cell>
          <cell r="S276">
            <v>430</v>
          </cell>
          <cell r="T276">
            <v>710.90664848484835</v>
          </cell>
          <cell r="U276">
            <v>725.94365454545448</v>
          </cell>
          <cell r="V276">
            <v>0</v>
          </cell>
          <cell r="W276">
            <v>0</v>
          </cell>
          <cell r="X276">
            <v>100</v>
          </cell>
          <cell r="Y276">
            <v>549</v>
          </cell>
          <cell r="Z276">
            <v>479.58636363636367</v>
          </cell>
          <cell r="AA276">
            <v>0</v>
          </cell>
          <cell r="AB276">
            <v>9</v>
          </cell>
          <cell r="AC276">
            <v>130</v>
          </cell>
          <cell r="AD276">
            <v>149</v>
          </cell>
          <cell r="AE276">
            <v>219.28424242424248</v>
          </cell>
          <cell r="AF276">
            <v>150</v>
          </cell>
          <cell r="AG276">
            <v>150</v>
          </cell>
          <cell r="AH276">
            <v>674.01757575757563</v>
          </cell>
          <cell r="AI276">
            <v>1370</v>
          </cell>
          <cell r="AK276">
            <v>16370.473333333333</v>
          </cell>
        </row>
        <row r="277">
          <cell r="F277">
            <v>204</v>
          </cell>
          <cell r="G277">
            <v>162</v>
          </cell>
          <cell r="H277">
            <v>425</v>
          </cell>
          <cell r="P277">
            <v>145</v>
          </cell>
          <cell r="S277">
            <v>145</v>
          </cell>
          <cell r="T277">
            <v>697.23998181818172</v>
          </cell>
          <cell r="U277">
            <v>725.94365454545448</v>
          </cell>
          <cell r="X277">
            <v>66</v>
          </cell>
          <cell r="Y277">
            <v>204</v>
          </cell>
          <cell r="Z277">
            <v>177.58636363636367</v>
          </cell>
          <cell r="AC277">
            <v>50</v>
          </cell>
          <cell r="AD277">
            <v>144</v>
          </cell>
          <cell r="AE277">
            <v>210.95090909090914</v>
          </cell>
          <cell r="AF277">
            <v>100</v>
          </cell>
          <cell r="AG277">
            <v>100</v>
          </cell>
          <cell r="AH277">
            <v>0</v>
          </cell>
          <cell r="AI277">
            <v>710</v>
          </cell>
          <cell r="AK277">
            <v>6760.8399999999992</v>
          </cell>
        </row>
        <row r="278">
          <cell r="F278">
            <v>0</v>
          </cell>
          <cell r="P278">
            <v>11.200000000000001</v>
          </cell>
          <cell r="Q278">
            <v>0</v>
          </cell>
          <cell r="R278">
            <v>0</v>
          </cell>
          <cell r="S278">
            <v>267.2</v>
          </cell>
          <cell r="T278">
            <v>0</v>
          </cell>
          <cell r="U278">
            <v>0</v>
          </cell>
          <cell r="V278">
            <v>0</v>
          </cell>
          <cell r="W278">
            <v>0</v>
          </cell>
          <cell r="X278">
            <v>4</v>
          </cell>
          <cell r="Y278">
            <v>0</v>
          </cell>
          <cell r="Z278">
            <v>0</v>
          </cell>
          <cell r="AA278">
            <v>0</v>
          </cell>
          <cell r="AB278">
            <v>0</v>
          </cell>
          <cell r="AC278">
            <v>0</v>
          </cell>
          <cell r="AD278">
            <v>0</v>
          </cell>
          <cell r="AE278">
            <v>0</v>
          </cell>
          <cell r="AF278">
            <v>536</v>
          </cell>
          <cell r="AG278">
            <v>220</v>
          </cell>
          <cell r="AH278">
            <v>316</v>
          </cell>
          <cell r="AI278">
            <v>1174.4000000000001</v>
          </cell>
          <cell r="AK278">
            <v>660.3</v>
          </cell>
        </row>
        <row r="279">
          <cell r="F279">
            <v>0</v>
          </cell>
          <cell r="P279">
            <v>0</v>
          </cell>
          <cell r="Q279">
            <v>0</v>
          </cell>
          <cell r="R279">
            <v>0</v>
          </cell>
          <cell r="S279">
            <v>0</v>
          </cell>
          <cell r="T279">
            <v>0</v>
          </cell>
          <cell r="U279">
            <v>0</v>
          </cell>
          <cell r="V279">
            <v>0</v>
          </cell>
          <cell r="W279">
            <v>0</v>
          </cell>
          <cell r="X279">
            <v>4</v>
          </cell>
          <cell r="Y279">
            <v>0</v>
          </cell>
          <cell r="Z279">
            <v>0</v>
          </cell>
          <cell r="AA279">
            <v>0</v>
          </cell>
          <cell r="AB279">
            <v>9</v>
          </cell>
          <cell r="AC279">
            <v>0</v>
          </cell>
          <cell r="AD279">
            <v>0</v>
          </cell>
          <cell r="AE279">
            <v>0</v>
          </cell>
          <cell r="AF279">
            <v>0</v>
          </cell>
          <cell r="AG279">
            <v>0</v>
          </cell>
          <cell r="AH279">
            <v>0</v>
          </cell>
          <cell r="AI279">
            <v>4</v>
          </cell>
          <cell r="AK279">
            <v>4987</v>
          </cell>
        </row>
        <row r="280">
          <cell r="F280">
            <v>0</v>
          </cell>
          <cell r="P280">
            <v>11.200000000000001</v>
          </cell>
          <cell r="S280">
            <v>267.2</v>
          </cell>
          <cell r="X280">
            <v>0</v>
          </cell>
          <cell r="AC280">
            <v>0</v>
          </cell>
          <cell r="AF280">
            <v>536</v>
          </cell>
          <cell r="AG280">
            <v>220</v>
          </cell>
          <cell r="AH280">
            <v>316</v>
          </cell>
          <cell r="AI280">
            <v>814.4</v>
          </cell>
          <cell r="AK280">
            <v>1860</v>
          </cell>
        </row>
        <row r="281">
          <cell r="F281">
            <v>765</v>
          </cell>
          <cell r="P281">
            <v>13</v>
          </cell>
          <cell r="S281">
            <v>21</v>
          </cell>
          <cell r="X281">
            <v>29</v>
          </cell>
          <cell r="AC281">
            <v>66</v>
          </cell>
          <cell r="AF281">
            <v>16</v>
          </cell>
          <cell r="AG281">
            <v>11</v>
          </cell>
          <cell r="AH281">
            <v>5</v>
          </cell>
          <cell r="AI281">
            <v>356</v>
          </cell>
          <cell r="AK281">
            <v>1033</v>
          </cell>
        </row>
        <row r="282">
          <cell r="F282">
            <v>60</v>
          </cell>
          <cell r="P282">
            <v>370</v>
          </cell>
          <cell r="S282">
            <v>250</v>
          </cell>
          <cell r="X282">
            <v>100</v>
          </cell>
          <cell r="AC282">
            <v>100</v>
          </cell>
          <cell r="AF282">
            <v>0</v>
          </cell>
          <cell r="AG282">
            <v>0</v>
          </cell>
          <cell r="AH282">
            <v>0</v>
          </cell>
          <cell r="AI282">
            <v>250</v>
          </cell>
          <cell r="AK282">
            <v>1110</v>
          </cell>
        </row>
        <row r="283">
          <cell r="F283" t="e">
            <v>#REF!</v>
          </cell>
          <cell r="P283">
            <v>1766.6359999999997</v>
          </cell>
          <cell r="Q283">
            <v>0</v>
          </cell>
          <cell r="R283">
            <v>0</v>
          </cell>
          <cell r="S283">
            <v>5902.6712121212113</v>
          </cell>
          <cell r="T283">
            <v>-611.67619393939378</v>
          </cell>
          <cell r="U283">
            <v>-622.76501818181805</v>
          </cell>
          <cell r="V283">
            <v>0</v>
          </cell>
          <cell r="W283">
            <v>0</v>
          </cell>
          <cell r="X283">
            <v>1005.0363636363622</v>
          </cell>
          <cell r="Y283">
            <v>-790</v>
          </cell>
          <cell r="Z283">
            <v>-326.08636363636373</v>
          </cell>
          <cell r="AA283">
            <v>0</v>
          </cell>
          <cell r="AB283">
            <v>0</v>
          </cell>
          <cell r="AC283">
            <v>568.1030303030301</v>
          </cell>
          <cell r="AD283">
            <v>-205</v>
          </cell>
          <cell r="AE283">
            <v>-186.72969696969702</v>
          </cell>
          <cell r="AF283">
            <v>1293.1939393939392</v>
          </cell>
          <cell r="AG283">
            <v>1476.9999999999998</v>
          </cell>
          <cell r="AH283">
            <v>177.19393939393956</v>
          </cell>
          <cell r="AI283" t="e">
            <v>#REF!</v>
          </cell>
          <cell r="AJ283">
            <v>0</v>
          </cell>
          <cell r="AK283">
            <v>984</v>
          </cell>
        </row>
        <row r="284">
          <cell r="F284">
            <v>5</v>
          </cell>
          <cell r="P284">
            <v>58.666666666666664</v>
          </cell>
          <cell r="Q284">
            <v>0</v>
          </cell>
          <cell r="R284">
            <v>0</v>
          </cell>
          <cell r="S284">
            <v>2370</v>
          </cell>
          <cell r="T284">
            <v>0</v>
          </cell>
          <cell r="U284">
            <v>0</v>
          </cell>
          <cell r="V284">
            <v>0</v>
          </cell>
          <cell r="W284">
            <v>0</v>
          </cell>
          <cell r="X284">
            <v>20</v>
          </cell>
          <cell r="Y284">
            <v>0</v>
          </cell>
          <cell r="Z284">
            <v>0</v>
          </cell>
          <cell r="AA284">
            <v>0</v>
          </cell>
          <cell r="AB284">
            <v>0</v>
          </cell>
          <cell r="AC284">
            <v>0</v>
          </cell>
          <cell r="AD284">
            <v>0</v>
          </cell>
          <cell r="AE284">
            <v>0</v>
          </cell>
          <cell r="AF284">
            <v>900.66666666666663</v>
          </cell>
          <cell r="AG284">
            <v>270</v>
          </cell>
          <cell r="AH284">
            <v>630.66666666666663</v>
          </cell>
          <cell r="AI284">
            <v>0</v>
          </cell>
          <cell r="AK284">
            <v>3712.333333333333</v>
          </cell>
        </row>
        <row r="285">
          <cell r="F285">
            <v>3907.5</v>
          </cell>
          <cell r="P285">
            <v>1829.636</v>
          </cell>
          <cell r="Q285">
            <v>0</v>
          </cell>
          <cell r="R285">
            <v>0</v>
          </cell>
          <cell r="S285">
            <v>5920.6712121212122</v>
          </cell>
          <cell r="T285">
            <v>0</v>
          </cell>
          <cell r="U285">
            <v>0</v>
          </cell>
          <cell r="V285">
            <v>0</v>
          </cell>
          <cell r="W285">
            <v>0</v>
          </cell>
          <cell r="X285">
            <v>1005.0363636363637</v>
          </cell>
          <cell r="Y285">
            <v>0</v>
          </cell>
          <cell r="Z285">
            <v>0</v>
          </cell>
          <cell r="AA285">
            <v>0</v>
          </cell>
          <cell r="AB285">
            <v>0</v>
          </cell>
          <cell r="AC285">
            <v>567.43636363636358</v>
          </cell>
          <cell r="AD285">
            <v>0</v>
          </cell>
          <cell r="AE285">
            <v>0</v>
          </cell>
          <cell r="AF285">
            <v>1293.1939393939397</v>
          </cell>
          <cell r="AG285">
            <v>1477</v>
          </cell>
          <cell r="AH285">
            <v>177.1939393939395</v>
          </cell>
          <cell r="AI285">
            <v>14738.47387878788</v>
          </cell>
          <cell r="AK285">
            <v>20</v>
          </cell>
        </row>
        <row r="286">
          <cell r="F286">
            <v>35</v>
          </cell>
          <cell r="P286">
            <v>1065</v>
          </cell>
          <cell r="S286">
            <v>4233.1499999999996</v>
          </cell>
          <cell r="X286">
            <v>190</v>
          </cell>
          <cell r="AC286">
            <v>-45</v>
          </cell>
          <cell r="AF286">
            <v>-145</v>
          </cell>
          <cell r="AG286">
            <v>-145</v>
          </cell>
          <cell r="AH286">
            <v>0</v>
          </cell>
          <cell r="AI286">
            <v>5357.15</v>
          </cell>
          <cell r="AK286">
            <v>3334.333333333333</v>
          </cell>
        </row>
        <row r="287">
          <cell r="F287">
            <v>204</v>
          </cell>
          <cell r="P287">
            <v>635.40000000000009</v>
          </cell>
          <cell r="Q287">
            <v>0</v>
          </cell>
          <cell r="R287">
            <v>0</v>
          </cell>
          <cell r="S287">
            <v>1093.8545454545456</v>
          </cell>
          <cell r="T287">
            <v>0</v>
          </cell>
          <cell r="U287">
            <v>0</v>
          </cell>
          <cell r="V287">
            <v>0</v>
          </cell>
          <cell r="W287">
            <v>0</v>
          </cell>
          <cell r="X287">
            <v>600.83636363636367</v>
          </cell>
          <cell r="Y287">
            <v>0</v>
          </cell>
          <cell r="Z287">
            <v>0</v>
          </cell>
          <cell r="AA287">
            <v>0</v>
          </cell>
          <cell r="AB287">
            <v>0</v>
          </cell>
          <cell r="AC287">
            <v>413.0363636363636</v>
          </cell>
          <cell r="AD287">
            <v>0</v>
          </cell>
          <cell r="AE287">
            <v>0</v>
          </cell>
          <cell r="AF287">
            <v>1078.7272727272727</v>
          </cell>
          <cell r="AG287">
            <v>1079</v>
          </cell>
          <cell r="AH287">
            <v>-0.27272727272728048</v>
          </cell>
          <cell r="AI287">
            <v>4025.8545454545456</v>
          </cell>
          <cell r="AK287">
            <v>358</v>
          </cell>
        </row>
        <row r="288">
          <cell r="F288">
            <v>0</v>
          </cell>
          <cell r="P288">
            <v>0</v>
          </cell>
          <cell r="S288">
            <v>0</v>
          </cell>
          <cell r="X288">
            <v>0</v>
          </cell>
          <cell r="AC288">
            <v>0</v>
          </cell>
          <cell r="AF288">
            <v>0</v>
          </cell>
          <cell r="AG288">
            <v>0</v>
          </cell>
          <cell r="AH288">
            <v>0</v>
          </cell>
          <cell r="AI288">
            <v>0</v>
          </cell>
          <cell r="AK288">
            <v>250</v>
          </cell>
        </row>
        <row r="289">
          <cell r="F289">
            <v>0</v>
          </cell>
          <cell r="P289">
            <v>0</v>
          </cell>
          <cell r="Q289">
            <v>0</v>
          </cell>
          <cell r="R289">
            <v>0</v>
          </cell>
          <cell r="S289">
            <v>0</v>
          </cell>
          <cell r="T289">
            <v>-710.90664848484835</v>
          </cell>
          <cell r="U289">
            <v>-725.94365454545448</v>
          </cell>
          <cell r="V289">
            <v>0</v>
          </cell>
          <cell r="W289">
            <v>0</v>
          </cell>
          <cell r="X289">
            <v>0</v>
          </cell>
          <cell r="Y289">
            <v>-549</v>
          </cell>
          <cell r="Z289">
            <v>-479.58636363636367</v>
          </cell>
          <cell r="AA289">
            <v>0</v>
          </cell>
          <cell r="AB289">
            <v>-9</v>
          </cell>
          <cell r="AC289">
            <v>0</v>
          </cell>
          <cell r="AD289">
            <v>-149</v>
          </cell>
          <cell r="AE289">
            <v>-219.28424242424248</v>
          </cell>
          <cell r="AF289">
            <v>0</v>
          </cell>
          <cell r="AG289">
            <v>0</v>
          </cell>
          <cell r="AH289">
            <v>0</v>
          </cell>
          <cell r="AI289">
            <v>0</v>
          </cell>
          <cell r="AK289">
            <v>83800.038961038968</v>
          </cell>
        </row>
        <row r="290">
          <cell r="F290">
            <v>3668.5</v>
          </cell>
          <cell r="P290">
            <v>129.23599999999999</v>
          </cell>
          <cell r="Q290">
            <v>0</v>
          </cell>
          <cell r="R290">
            <v>0</v>
          </cell>
          <cell r="S290">
            <v>593.66666666666674</v>
          </cell>
          <cell r="T290">
            <v>0</v>
          </cell>
          <cell r="U290">
            <v>0</v>
          </cell>
          <cell r="V290">
            <v>0</v>
          </cell>
          <cell r="W290">
            <v>0</v>
          </cell>
          <cell r="X290">
            <v>214.20000000000005</v>
          </cell>
          <cell r="Y290">
            <v>0</v>
          </cell>
          <cell r="Z290">
            <v>0</v>
          </cell>
          <cell r="AA290">
            <v>0</v>
          </cell>
          <cell r="AB290">
            <v>0</v>
          </cell>
          <cell r="AC290">
            <v>199.4</v>
          </cell>
          <cell r="AD290">
            <v>0</v>
          </cell>
          <cell r="AE290">
            <v>0</v>
          </cell>
          <cell r="AF290">
            <v>347.46666666666681</v>
          </cell>
          <cell r="AG290">
            <v>533</v>
          </cell>
          <cell r="AH290">
            <v>175.46666666666678</v>
          </cell>
          <cell r="AI290">
            <v>5343.4693333333335</v>
          </cell>
          <cell r="AK290">
            <v>0</v>
          </cell>
        </row>
        <row r="291">
          <cell r="F291">
            <v>9</v>
          </cell>
          <cell r="P291">
            <v>0.23599999999999</v>
          </cell>
          <cell r="Q291">
            <v>0</v>
          </cell>
          <cell r="R291">
            <v>0</v>
          </cell>
          <cell r="S291">
            <v>142.26666666666688</v>
          </cell>
          <cell r="T291">
            <v>0</v>
          </cell>
          <cell r="U291">
            <v>0</v>
          </cell>
          <cell r="V291">
            <v>0</v>
          </cell>
          <cell r="W291">
            <v>0</v>
          </cell>
          <cell r="X291">
            <v>47.800000000000011</v>
          </cell>
          <cell r="Y291">
            <v>0</v>
          </cell>
          <cell r="Z291">
            <v>0</v>
          </cell>
          <cell r="AA291">
            <v>0</v>
          </cell>
          <cell r="AB291">
            <v>0</v>
          </cell>
          <cell r="AC291">
            <v>0</v>
          </cell>
          <cell r="AD291">
            <v>0</v>
          </cell>
          <cell r="AE291">
            <v>0</v>
          </cell>
          <cell r="AF291">
            <v>22.133333333333439</v>
          </cell>
          <cell r="AG291">
            <v>285</v>
          </cell>
          <cell r="AH291">
            <v>98.133333333333439</v>
          </cell>
          <cell r="AI291">
            <v>256.43600000000032</v>
          </cell>
          <cell r="AK291">
            <v>18808.215151515153</v>
          </cell>
        </row>
        <row r="292">
          <cell r="F292">
            <v>2</v>
          </cell>
          <cell r="P292">
            <v>40.800000000000004</v>
          </cell>
          <cell r="S292">
            <v>249.53333333333333</v>
          </cell>
          <cell r="X292">
            <v>81.600000000000023</v>
          </cell>
          <cell r="AC292">
            <v>64</v>
          </cell>
          <cell r="AF292">
            <v>157.33333333333334</v>
          </cell>
          <cell r="AG292">
            <v>108</v>
          </cell>
          <cell r="AH292">
            <v>49.333333333333343</v>
          </cell>
          <cell r="AI292">
            <v>595.26666666666665</v>
          </cell>
          <cell r="AK292">
            <v>8743</v>
          </cell>
        </row>
        <row r="293">
          <cell r="F293">
            <v>3657.5</v>
          </cell>
          <cell r="P293">
            <v>88.2</v>
          </cell>
          <cell r="Q293">
            <v>0</v>
          </cell>
          <cell r="R293">
            <v>0</v>
          </cell>
          <cell r="S293">
            <v>201.86666666666662</v>
          </cell>
          <cell r="T293">
            <v>0</v>
          </cell>
          <cell r="U293">
            <v>0</v>
          </cell>
          <cell r="V293">
            <v>0</v>
          </cell>
          <cell r="W293">
            <v>0</v>
          </cell>
          <cell r="X293">
            <v>84.800000000000011</v>
          </cell>
          <cell r="Y293">
            <v>0</v>
          </cell>
          <cell r="Z293">
            <v>0</v>
          </cell>
          <cell r="AA293">
            <v>0</v>
          </cell>
          <cell r="AB293">
            <v>0</v>
          </cell>
          <cell r="AC293">
            <v>135.4</v>
          </cell>
          <cell r="AD293">
            <v>0</v>
          </cell>
          <cell r="AE293">
            <v>0</v>
          </cell>
          <cell r="AF293">
            <v>168</v>
          </cell>
          <cell r="AG293">
            <v>140</v>
          </cell>
          <cell r="AH293">
            <v>28</v>
          </cell>
          <cell r="AI293">
            <v>4491.7666666666664</v>
          </cell>
          <cell r="AK293">
            <v>4839.181818181818</v>
          </cell>
        </row>
        <row r="294">
          <cell r="F294">
            <v>0</v>
          </cell>
          <cell r="P294">
            <v>0</v>
          </cell>
          <cell r="S294">
            <v>0</v>
          </cell>
          <cell r="X294">
            <v>0</v>
          </cell>
          <cell r="AC294">
            <v>0</v>
          </cell>
          <cell r="AF294">
            <v>0</v>
          </cell>
          <cell r="AG294">
            <v>0</v>
          </cell>
          <cell r="AH294">
            <v>0</v>
          </cell>
          <cell r="AI294">
            <v>0</v>
          </cell>
          <cell r="AK294">
            <v>0</v>
          </cell>
        </row>
        <row r="295">
          <cell r="F295">
            <v>0</v>
          </cell>
          <cell r="P295">
            <v>0</v>
          </cell>
          <cell r="S295">
            <v>0</v>
          </cell>
          <cell r="X295">
            <v>0</v>
          </cell>
          <cell r="AC295">
            <v>0</v>
          </cell>
          <cell r="AF295">
            <v>12</v>
          </cell>
          <cell r="AG295">
            <v>10</v>
          </cell>
          <cell r="AH295">
            <v>2</v>
          </cell>
          <cell r="AI295">
            <v>12</v>
          </cell>
          <cell r="AK295">
            <v>0</v>
          </cell>
        </row>
        <row r="296">
          <cell r="F296" t="e">
            <v>#REF!</v>
          </cell>
          <cell r="P296">
            <v>1766.6359999999997</v>
          </cell>
          <cell r="Q296">
            <v>0</v>
          </cell>
          <cell r="R296">
            <v>0</v>
          </cell>
          <cell r="S296">
            <v>5902.6712121212113</v>
          </cell>
          <cell r="T296">
            <v>-611.67619393939378</v>
          </cell>
          <cell r="U296">
            <v>-622.76501818181805</v>
          </cell>
          <cell r="V296">
            <v>0</v>
          </cell>
          <cell r="W296">
            <v>0</v>
          </cell>
          <cell r="X296">
            <v>1005.0363636363622</v>
          </cell>
          <cell r="Y296">
            <v>-790</v>
          </cell>
          <cell r="Z296">
            <v>-326.08636363636373</v>
          </cell>
          <cell r="AA296">
            <v>0</v>
          </cell>
          <cell r="AB296">
            <v>0</v>
          </cell>
          <cell r="AC296">
            <v>568.1030303030301</v>
          </cell>
          <cell r="AD296">
            <v>-205</v>
          </cell>
          <cell r="AE296">
            <v>-186.72969696969702</v>
          </cell>
          <cell r="AF296">
            <v>1293.1939393939392</v>
          </cell>
          <cell r="AG296">
            <v>1476.9999999999998</v>
          </cell>
          <cell r="AH296">
            <v>177.19393939393956</v>
          </cell>
          <cell r="AI296" t="e">
            <v>#REF!</v>
          </cell>
          <cell r="AK296">
            <v>5229.0333333333338</v>
          </cell>
        </row>
        <row r="297">
          <cell r="F297">
            <v>2</v>
          </cell>
          <cell r="P297">
            <v>0</v>
          </cell>
          <cell r="S297">
            <v>219</v>
          </cell>
          <cell r="X297">
            <v>93.666666666666629</v>
          </cell>
          <cell r="AC297">
            <v>93</v>
          </cell>
          <cell r="AF297">
            <v>0</v>
          </cell>
          <cell r="AG297">
            <v>0</v>
          </cell>
          <cell r="AH297">
            <v>191</v>
          </cell>
          <cell r="AI297">
            <v>0</v>
          </cell>
          <cell r="AK297">
            <v>441.66666666666663</v>
          </cell>
        </row>
        <row r="298">
          <cell r="F298">
            <v>2</v>
          </cell>
          <cell r="P298">
            <v>41.333333333333336</v>
          </cell>
          <cell r="S298">
            <v>574</v>
          </cell>
          <cell r="X298">
            <v>171</v>
          </cell>
          <cell r="AC298">
            <v>234.33333333333331</v>
          </cell>
          <cell r="AF298">
            <v>179.03333333333333</v>
          </cell>
          <cell r="AG298">
            <v>110</v>
          </cell>
          <cell r="AH298">
            <v>69.033333333333346</v>
          </cell>
          <cell r="AK298">
            <v>1201.7</v>
          </cell>
        </row>
        <row r="299">
          <cell r="F299" t="e">
            <v>#REF!</v>
          </cell>
          <cell r="G299">
            <v>0</v>
          </cell>
          <cell r="H299">
            <v>0</v>
          </cell>
          <cell r="P299">
            <v>1766.6359999999997</v>
          </cell>
          <cell r="Q299">
            <v>0</v>
          </cell>
          <cell r="R299">
            <v>0</v>
          </cell>
          <cell r="S299">
            <v>5902.6712121212113</v>
          </cell>
          <cell r="T299">
            <v>-611.67619393939378</v>
          </cell>
          <cell r="U299">
            <v>-622.76501818181805</v>
          </cell>
          <cell r="V299">
            <v>0</v>
          </cell>
          <cell r="W299">
            <v>0</v>
          </cell>
          <cell r="X299">
            <v>1005.0363636363622</v>
          </cell>
          <cell r="Y299">
            <v>-790</v>
          </cell>
          <cell r="Z299">
            <v>-326.08636363636373</v>
          </cell>
          <cell r="AA299">
            <v>0</v>
          </cell>
          <cell r="AB299">
            <v>0</v>
          </cell>
          <cell r="AC299">
            <v>568.1030303030301</v>
          </cell>
          <cell r="AF299">
            <v>1293.1939393939392</v>
          </cell>
          <cell r="AG299">
            <v>924.99999999999966</v>
          </cell>
          <cell r="AH299">
            <v>368.19393939393956</v>
          </cell>
          <cell r="AI299" t="e">
            <v>#REF!</v>
          </cell>
          <cell r="AK299">
            <v>3585.6666666666665</v>
          </cell>
        </row>
        <row r="300">
          <cell r="F300">
            <v>0</v>
          </cell>
          <cell r="P300">
            <v>0</v>
          </cell>
          <cell r="AF300">
            <v>0</v>
          </cell>
          <cell r="AG300">
            <v>0</v>
          </cell>
          <cell r="AH300">
            <v>0</v>
          </cell>
          <cell r="AI300">
            <v>0</v>
          </cell>
          <cell r="AK300">
            <v>0</v>
          </cell>
        </row>
        <row r="301">
          <cell r="F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K301">
            <v>-3</v>
          </cell>
        </row>
        <row r="302">
          <cell r="F302">
            <v>0</v>
          </cell>
          <cell r="P302">
            <v>0</v>
          </cell>
          <cell r="Q302">
            <v>0</v>
          </cell>
          <cell r="R302">
            <v>0</v>
          </cell>
          <cell r="S302">
            <v>0</v>
          </cell>
          <cell r="T302">
            <v>-710.90664848484835</v>
          </cell>
          <cell r="U302">
            <v>-725.94365454545448</v>
          </cell>
          <cell r="V302">
            <v>0</v>
          </cell>
          <cell r="W302">
            <v>0</v>
          </cell>
          <cell r="X302">
            <v>0</v>
          </cell>
          <cell r="Y302">
            <v>-549</v>
          </cell>
          <cell r="Z302">
            <v>-479.58636363636367</v>
          </cell>
          <cell r="AA302">
            <v>0</v>
          </cell>
          <cell r="AB302">
            <v>-9</v>
          </cell>
          <cell r="AC302">
            <v>0</v>
          </cell>
          <cell r="AD302">
            <v>-149</v>
          </cell>
          <cell r="AE302">
            <v>-219.28424242424248</v>
          </cell>
          <cell r="AF302">
            <v>0</v>
          </cell>
          <cell r="AG302">
            <v>0</v>
          </cell>
          <cell r="AH302">
            <v>0</v>
          </cell>
          <cell r="AI302">
            <v>0</v>
          </cell>
          <cell r="AK302">
            <v>83800.038961038968</v>
          </cell>
        </row>
        <row r="303">
          <cell r="AH303">
            <v>191</v>
          </cell>
          <cell r="AI303">
            <v>0</v>
          </cell>
          <cell r="AK303">
            <v>0</v>
          </cell>
        </row>
        <row r="304">
          <cell r="F304" t="e">
            <v>#REF!</v>
          </cell>
          <cell r="P304">
            <v>1766.6359999999997</v>
          </cell>
          <cell r="Q304">
            <v>0</v>
          </cell>
          <cell r="R304">
            <v>0</v>
          </cell>
          <cell r="S304">
            <v>5902.6712121212113</v>
          </cell>
          <cell r="T304">
            <v>-611.67619393939378</v>
          </cell>
          <cell r="U304">
            <v>-622.76501818181805</v>
          </cell>
          <cell r="V304">
            <v>0</v>
          </cell>
          <cell r="W304">
            <v>0</v>
          </cell>
          <cell r="X304">
            <v>1005.0363636363622</v>
          </cell>
          <cell r="Y304">
            <v>-790</v>
          </cell>
          <cell r="Z304">
            <v>-326.08636363636373</v>
          </cell>
          <cell r="AA304">
            <v>0</v>
          </cell>
          <cell r="AB304">
            <v>0</v>
          </cell>
          <cell r="AC304">
            <v>568.1030303030301</v>
          </cell>
          <cell r="AD304">
            <v>-205</v>
          </cell>
          <cell r="AE304">
            <v>-186.72969696969702</v>
          </cell>
          <cell r="AF304">
            <v>1293.1939393939392</v>
          </cell>
          <cell r="AG304">
            <v>924.99999999999966</v>
          </cell>
          <cell r="AH304">
            <v>368.19393939393956</v>
          </cell>
          <cell r="AI304" t="e">
            <v>#REF!</v>
          </cell>
        </row>
        <row r="305">
          <cell r="F305">
            <v>69710.157142857148</v>
          </cell>
          <cell r="G305">
            <v>0</v>
          </cell>
          <cell r="H305">
            <v>0</v>
          </cell>
          <cell r="P305">
            <v>3673.9999999999991</v>
          </cell>
          <cell r="Q305">
            <v>0</v>
          </cell>
          <cell r="R305">
            <v>0</v>
          </cell>
          <cell r="S305">
            <v>5277.0303030303048</v>
          </cell>
          <cell r="T305">
            <v>-710.90664848484835</v>
          </cell>
          <cell r="U305">
            <v>-725.94365454545448</v>
          </cell>
          <cell r="V305">
            <v>0</v>
          </cell>
          <cell r="W305">
            <v>0</v>
          </cell>
          <cell r="X305">
            <v>1818.9696969697004</v>
          </cell>
          <cell r="Y305">
            <v>-549</v>
          </cell>
          <cell r="Z305">
            <v>-479.58636363636367</v>
          </cell>
          <cell r="AA305">
            <v>0</v>
          </cell>
          <cell r="AB305">
            <v>-9</v>
          </cell>
          <cell r="AC305">
            <v>962.42424242423954</v>
          </cell>
          <cell r="AF305">
            <v>2025.4575757575753</v>
          </cell>
          <cell r="AG305">
            <v>1706.4909090909086</v>
          </cell>
          <cell r="AH305">
            <v>318.9666666666667</v>
          </cell>
          <cell r="AI305">
            <v>0</v>
          </cell>
          <cell r="AK305">
            <v>83800.038961038968</v>
          </cell>
        </row>
        <row r="306">
          <cell r="F306">
            <v>0</v>
          </cell>
          <cell r="P306">
            <v>0</v>
          </cell>
          <cell r="AI306">
            <v>0</v>
          </cell>
          <cell r="AK306">
            <v>0</v>
          </cell>
        </row>
        <row r="307">
          <cell r="F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K307">
            <v>0</v>
          </cell>
        </row>
        <row r="308">
          <cell r="F308">
            <v>3609</v>
          </cell>
          <cell r="P308">
            <v>0</v>
          </cell>
          <cell r="S308">
            <v>0</v>
          </cell>
          <cell r="X308">
            <v>0</v>
          </cell>
          <cell r="AC308">
            <v>0</v>
          </cell>
          <cell r="AF308">
            <v>0</v>
          </cell>
          <cell r="AG308">
            <v>0</v>
          </cell>
          <cell r="AH308">
            <v>0</v>
          </cell>
          <cell r="AI308">
            <v>3609</v>
          </cell>
          <cell r="AK308">
            <v>0</v>
          </cell>
        </row>
        <row r="309">
          <cell r="S309">
            <v>0</v>
          </cell>
          <cell r="AK309">
            <v>0</v>
          </cell>
        </row>
        <row r="310">
          <cell r="F310">
            <v>0</v>
          </cell>
          <cell r="P310">
            <v>3673.9999999999991</v>
          </cell>
          <cell r="Q310">
            <v>0</v>
          </cell>
          <cell r="R310">
            <v>0</v>
          </cell>
          <cell r="S310">
            <v>5277.0303030303048</v>
          </cell>
          <cell r="T310">
            <v>-710.90664848484835</v>
          </cell>
          <cell r="U310">
            <v>-725.94365454545448</v>
          </cell>
          <cell r="V310">
            <v>0</v>
          </cell>
          <cell r="W310">
            <v>0</v>
          </cell>
          <cell r="X310">
            <v>1818.9696969697004</v>
          </cell>
          <cell r="Y310">
            <v>-549</v>
          </cell>
          <cell r="Z310">
            <v>-479.58636363636367</v>
          </cell>
          <cell r="AA310">
            <v>0</v>
          </cell>
          <cell r="AB310">
            <v>-9</v>
          </cell>
          <cell r="AC310">
            <v>962.42424242423954</v>
          </cell>
          <cell r="AD310">
            <v>-149</v>
          </cell>
          <cell r="AE310">
            <v>-219.28424242424248</v>
          </cell>
          <cell r="AF310">
            <v>2025.4575757575753</v>
          </cell>
          <cell r="AG310">
            <v>1706.4909090909086</v>
          </cell>
          <cell r="AH310">
            <v>318.9666666666667</v>
          </cell>
          <cell r="AI310">
            <v>0</v>
          </cell>
          <cell r="AK310">
            <v>83800.038961038968</v>
          </cell>
        </row>
        <row r="311">
          <cell r="AI311">
            <v>0</v>
          </cell>
          <cell r="AK311">
            <v>0</v>
          </cell>
        </row>
        <row r="312">
          <cell r="P312">
            <v>0</v>
          </cell>
          <cell r="AK312">
            <v>0</v>
          </cell>
        </row>
        <row r="313">
          <cell r="S313">
            <v>0</v>
          </cell>
          <cell r="AI313">
            <v>0</v>
          </cell>
          <cell r="AK313">
            <v>0</v>
          </cell>
        </row>
        <row r="314">
          <cell r="F314">
            <v>3480</v>
          </cell>
          <cell r="S314">
            <v>0</v>
          </cell>
          <cell r="AK314">
            <v>3480</v>
          </cell>
        </row>
        <row r="315">
          <cell r="F315" t="e">
            <v>#REF!</v>
          </cell>
          <cell r="P315">
            <v>1766.6359999999997</v>
          </cell>
          <cell r="Q315">
            <v>0</v>
          </cell>
          <cell r="R315">
            <v>0</v>
          </cell>
          <cell r="S315">
            <v>5902.6712121212113</v>
          </cell>
          <cell r="T315">
            <v>-611.67619393939378</v>
          </cell>
          <cell r="U315">
            <v>-622.76501818181805</v>
          </cell>
          <cell r="V315">
            <v>0</v>
          </cell>
          <cell r="W315">
            <v>0</v>
          </cell>
          <cell r="X315">
            <v>1005.0363636363622</v>
          </cell>
          <cell r="Y315">
            <v>-790</v>
          </cell>
          <cell r="Z315">
            <v>-326.08636363636373</v>
          </cell>
          <cell r="AA315">
            <v>0</v>
          </cell>
          <cell r="AB315">
            <v>0</v>
          </cell>
          <cell r="AC315">
            <v>568.1030303030301</v>
          </cell>
          <cell r="AD315">
            <v>-205</v>
          </cell>
          <cell r="AE315">
            <v>-186.72969696969702</v>
          </cell>
          <cell r="AF315">
            <v>1293.1939393939392</v>
          </cell>
          <cell r="AG315">
            <v>924.99999999999966</v>
          </cell>
          <cell r="AH315">
            <v>368.19393939393956</v>
          </cell>
          <cell r="AI315" t="e">
            <v>#REF!</v>
          </cell>
        </row>
        <row r="316">
          <cell r="F316">
            <v>0</v>
          </cell>
          <cell r="AK316">
            <v>0</v>
          </cell>
        </row>
        <row r="317">
          <cell r="AK317">
            <v>0</v>
          </cell>
        </row>
        <row r="319">
          <cell r="AK319">
            <v>0</v>
          </cell>
        </row>
        <row r="320">
          <cell r="S320">
            <v>0</v>
          </cell>
        </row>
        <row r="321">
          <cell r="F321">
            <v>69710.157142857148</v>
          </cell>
          <cell r="P321">
            <v>3673.9999999999991</v>
          </cell>
          <cell r="Q321">
            <v>0</v>
          </cell>
          <cell r="R321">
            <v>0</v>
          </cell>
          <cell r="S321">
            <v>5277.0303030303048</v>
          </cell>
          <cell r="T321">
            <v>-710.90664848484835</v>
          </cell>
          <cell r="U321">
            <v>-725.94365454545448</v>
          </cell>
          <cell r="V321">
            <v>0</v>
          </cell>
          <cell r="W321">
            <v>0</v>
          </cell>
          <cell r="X321">
            <v>1818.9696969697004</v>
          </cell>
          <cell r="Y321">
            <v>-549</v>
          </cell>
          <cell r="Z321">
            <v>-479.58636363636367</v>
          </cell>
          <cell r="AA321">
            <v>0</v>
          </cell>
          <cell r="AB321">
            <v>-9</v>
          </cell>
          <cell r="AC321">
            <v>962.42424242423954</v>
          </cell>
          <cell r="AD321">
            <v>-149</v>
          </cell>
          <cell r="AE321">
            <v>-219.28424242424248</v>
          </cell>
          <cell r="AF321">
            <v>2025.4575757575753</v>
          </cell>
          <cell r="AG321">
            <v>1706.4909090909086</v>
          </cell>
          <cell r="AH321">
            <v>318.9666666666667</v>
          </cell>
          <cell r="AK321">
            <v>83800.038961038968</v>
          </cell>
        </row>
        <row r="324">
          <cell r="AI324">
            <v>6683.5069999999996</v>
          </cell>
          <cell r="AK324" t="e">
            <v>#REF!</v>
          </cell>
        </row>
        <row r="325">
          <cell r="F325">
            <v>148</v>
          </cell>
          <cell r="P325">
            <v>293</v>
          </cell>
          <cell r="S325">
            <v>518</v>
          </cell>
          <cell r="X325">
            <v>175</v>
          </cell>
          <cell r="AC325">
            <v>146</v>
          </cell>
          <cell r="AF325">
            <v>472</v>
          </cell>
          <cell r="AG325">
            <v>390</v>
          </cell>
          <cell r="AH325">
            <v>82</v>
          </cell>
          <cell r="AI325">
            <v>1868</v>
          </cell>
          <cell r="AK325" t="e">
            <v>#REF!</v>
          </cell>
        </row>
        <row r="326">
          <cell r="AI326" t="e">
            <v>#REF!</v>
          </cell>
          <cell r="AK326" t="e">
            <v>#REF!</v>
          </cell>
        </row>
        <row r="327">
          <cell r="AI327">
            <v>721.80000000000007</v>
          </cell>
          <cell r="AK327" t="e">
            <v>#REF!</v>
          </cell>
        </row>
        <row r="328">
          <cell r="AI328">
            <v>12</v>
          </cell>
          <cell r="AK328" t="e">
            <v>#REF!</v>
          </cell>
        </row>
        <row r="329">
          <cell r="AI329" t="e">
            <v>#REF!</v>
          </cell>
          <cell r="AK329" t="e">
            <v>#REF!</v>
          </cell>
        </row>
        <row r="330">
          <cell r="AI330">
            <v>3500</v>
          </cell>
          <cell r="AJ330">
            <v>2455</v>
          </cell>
          <cell r="AK330" t="e">
            <v>#REF!</v>
          </cell>
          <cell r="AM330">
            <v>5000.8799999999992</v>
          </cell>
        </row>
        <row r="331">
          <cell r="F331">
            <v>160</v>
          </cell>
          <cell r="P331">
            <v>326</v>
          </cell>
          <cell r="S331">
            <v>523</v>
          </cell>
          <cell r="X331">
            <v>174</v>
          </cell>
          <cell r="AC331">
            <v>147</v>
          </cell>
          <cell r="AF331">
            <v>480</v>
          </cell>
          <cell r="AG331">
            <v>480</v>
          </cell>
          <cell r="AH331">
            <v>0</v>
          </cell>
          <cell r="AI331">
            <v>0</v>
          </cell>
          <cell r="AK331">
            <v>1910</v>
          </cell>
          <cell r="AM331">
            <v>1430</v>
          </cell>
        </row>
        <row r="332">
          <cell r="AI332">
            <v>538</v>
          </cell>
          <cell r="AJ332">
            <v>36</v>
          </cell>
          <cell r="AK332" t="e">
            <v>#REF!</v>
          </cell>
          <cell r="AM332">
            <v>6362.1571428571433</v>
          </cell>
        </row>
        <row r="333">
          <cell r="AI333" t="e">
            <v>#REF!</v>
          </cell>
          <cell r="AK333">
            <v>660.3</v>
          </cell>
          <cell r="AM333">
            <v>660.3</v>
          </cell>
        </row>
        <row r="334">
          <cell r="AI334">
            <v>0</v>
          </cell>
          <cell r="AJ334">
            <v>36</v>
          </cell>
          <cell r="AK334" t="e">
            <v>#REF!</v>
          </cell>
          <cell r="AM334">
            <v>0</v>
          </cell>
        </row>
        <row r="335">
          <cell r="AI335">
            <v>5357.15</v>
          </cell>
          <cell r="AK335" t="e">
            <v>#REF!</v>
          </cell>
          <cell r="AM335">
            <v>1380.8571428571431</v>
          </cell>
        </row>
        <row r="336">
          <cell r="AI336">
            <v>4025.8545454545456</v>
          </cell>
          <cell r="AK336" t="e">
            <v>#REF!</v>
          </cell>
          <cell r="AM336">
            <v>3500</v>
          </cell>
        </row>
        <row r="337">
          <cell r="AI337">
            <v>0</v>
          </cell>
          <cell r="AK337" t="e">
            <v>#REF!</v>
          </cell>
        </row>
        <row r="338">
          <cell r="AI338">
            <v>0</v>
          </cell>
          <cell r="AK338" t="e">
            <v>#REF!</v>
          </cell>
          <cell r="AM338">
            <v>821</v>
          </cell>
        </row>
        <row r="339">
          <cell r="AI339">
            <v>0</v>
          </cell>
          <cell r="AK339" t="e">
            <v>#REF!</v>
          </cell>
        </row>
        <row r="340">
          <cell r="AI340">
            <v>4672</v>
          </cell>
          <cell r="AK340" t="e">
            <v>#REF!</v>
          </cell>
          <cell r="AM340">
            <v>0</v>
          </cell>
        </row>
        <row r="341">
          <cell r="AI341">
            <v>1640</v>
          </cell>
          <cell r="AK341" t="e">
            <v>#REF!</v>
          </cell>
          <cell r="AM341">
            <v>7882</v>
          </cell>
        </row>
        <row r="342">
          <cell r="AI342">
            <v>952</v>
          </cell>
          <cell r="AK342" t="e">
            <v>#REF!</v>
          </cell>
          <cell r="AM342">
            <v>4100.090909090909</v>
          </cell>
        </row>
        <row r="343">
          <cell r="AI343">
            <v>1370</v>
          </cell>
          <cell r="AK343">
            <v>0</v>
          </cell>
          <cell r="AM343">
            <v>0</v>
          </cell>
        </row>
        <row r="344">
          <cell r="AI344">
            <v>710</v>
          </cell>
          <cell r="AK344">
            <v>0</v>
          </cell>
          <cell r="AM344">
            <v>0</v>
          </cell>
        </row>
        <row r="345">
          <cell r="AI345">
            <v>0</v>
          </cell>
          <cell r="AK345" t="e">
            <v>#REF!</v>
          </cell>
          <cell r="AM345">
            <v>0</v>
          </cell>
        </row>
        <row r="346">
          <cell r="AI346">
            <v>4</v>
          </cell>
          <cell r="AK346" t="e">
            <v>#REF!</v>
          </cell>
          <cell r="AM346">
            <v>4385</v>
          </cell>
        </row>
        <row r="347">
          <cell r="AI347">
            <v>814.4</v>
          </cell>
          <cell r="AK347" t="e">
            <v>#REF!</v>
          </cell>
          <cell r="AM347">
            <v>1340</v>
          </cell>
        </row>
        <row r="348">
          <cell r="P348">
            <v>225</v>
          </cell>
          <cell r="S348">
            <v>296</v>
          </cell>
          <cell r="X348">
            <v>56</v>
          </cell>
          <cell r="AC348">
            <v>-4.9636363636363825</v>
          </cell>
          <cell r="AF348">
            <v>800.72727272727275</v>
          </cell>
          <cell r="AG348">
            <v>801</v>
          </cell>
          <cell r="AH348">
            <v>-0.27272727272728048</v>
          </cell>
          <cell r="AI348">
            <v>1372.7636363636364</v>
          </cell>
          <cell r="AK348">
            <v>1033</v>
          </cell>
          <cell r="AM348">
            <v>1017</v>
          </cell>
        </row>
        <row r="349">
          <cell r="AI349">
            <v>0</v>
          </cell>
          <cell r="AK349">
            <v>1110</v>
          </cell>
        </row>
        <row r="350">
          <cell r="F350">
            <v>33</v>
          </cell>
          <cell r="P350">
            <v>0</v>
          </cell>
          <cell r="S350">
            <v>0</v>
          </cell>
          <cell r="X350">
            <v>0</v>
          </cell>
          <cell r="AC350">
            <v>0</v>
          </cell>
          <cell r="AF350">
            <v>0</v>
          </cell>
          <cell r="AG350">
            <v>0</v>
          </cell>
          <cell r="AH350">
            <v>0</v>
          </cell>
          <cell r="AI350">
            <v>389</v>
          </cell>
          <cell r="AK350" t="e">
            <v>#REF!</v>
          </cell>
        </row>
        <row r="351">
          <cell r="AI351">
            <v>295</v>
          </cell>
          <cell r="AK351" t="e">
            <v>#REF!</v>
          </cell>
          <cell r="AM351">
            <v>0</v>
          </cell>
        </row>
        <row r="352">
          <cell r="AI352">
            <v>0</v>
          </cell>
          <cell r="AK352" t="e">
            <v>#REF!</v>
          </cell>
          <cell r="AM352">
            <v>20</v>
          </cell>
        </row>
        <row r="353">
          <cell r="AI353">
            <v>0</v>
          </cell>
          <cell r="AK353" t="e">
            <v>#REF!</v>
          </cell>
          <cell r="AM353">
            <v>2433.6666666666665</v>
          </cell>
        </row>
        <row r="354">
          <cell r="P354">
            <v>225</v>
          </cell>
          <cell r="S354">
            <v>296</v>
          </cell>
          <cell r="X354">
            <v>56</v>
          </cell>
          <cell r="AC354">
            <v>-538.90909090909088</v>
          </cell>
          <cell r="AF354">
            <v>245.09090909090912</v>
          </cell>
          <cell r="AG354">
            <v>-127.90909090909091</v>
          </cell>
          <cell r="AH354">
            <v>373</v>
          </cell>
          <cell r="AI354">
            <v>5343.4693333333335</v>
          </cell>
          <cell r="AK354" t="e">
            <v>#REF!</v>
          </cell>
        </row>
        <row r="355">
          <cell r="AI355">
            <v>256.43600000000032</v>
          </cell>
          <cell r="AK355">
            <v>0</v>
          </cell>
        </row>
        <row r="356">
          <cell r="F356">
            <v>0</v>
          </cell>
          <cell r="P356">
            <v>0</v>
          </cell>
          <cell r="S356">
            <v>0</v>
          </cell>
          <cell r="X356">
            <v>0</v>
          </cell>
          <cell r="AC356">
            <v>0</v>
          </cell>
          <cell r="AF356">
            <v>0</v>
          </cell>
          <cell r="AG356">
            <v>0</v>
          </cell>
          <cell r="AH356">
            <v>0</v>
          </cell>
          <cell r="AI356">
            <v>595.26666666666665</v>
          </cell>
          <cell r="AK356">
            <v>358</v>
          </cell>
          <cell r="AM356">
            <v>358</v>
          </cell>
        </row>
        <row r="357">
          <cell r="AI357">
            <v>4491.7666666666664</v>
          </cell>
          <cell r="AK357">
            <v>193</v>
          </cell>
          <cell r="AM357">
            <v>193</v>
          </cell>
        </row>
        <row r="358">
          <cell r="F358">
            <v>0</v>
          </cell>
          <cell r="P358">
            <v>-771</v>
          </cell>
          <cell r="S358">
            <v>-3877</v>
          </cell>
          <cell r="T358">
            <v>162.88</v>
          </cell>
          <cell r="U358">
            <v>855.12</v>
          </cell>
          <cell r="X358">
            <v>280</v>
          </cell>
          <cell r="Y358">
            <v>404</v>
          </cell>
          <cell r="Z358">
            <v>166</v>
          </cell>
          <cell r="AC358">
            <v>556</v>
          </cell>
          <cell r="AD358">
            <v>336</v>
          </cell>
          <cell r="AE358">
            <v>305</v>
          </cell>
          <cell r="AF358">
            <v>521</v>
          </cell>
          <cell r="AG358">
            <v>470</v>
          </cell>
          <cell r="AH358">
            <v>51</v>
          </cell>
          <cell r="AI358">
            <v>-3281</v>
          </cell>
          <cell r="AK358" t="e">
            <v>#REF!</v>
          </cell>
          <cell r="AM358">
            <v>0</v>
          </cell>
        </row>
        <row r="359">
          <cell r="AK359">
            <v>0</v>
          </cell>
          <cell r="AM359">
            <v>0</v>
          </cell>
        </row>
        <row r="360">
          <cell r="AJ360">
            <v>-2491</v>
          </cell>
          <cell r="AK360">
            <v>5229.0333333333338</v>
          </cell>
          <cell r="AM360" t="e">
            <v>#REF!</v>
          </cell>
        </row>
        <row r="361">
          <cell r="AK361">
            <v>441.66666666666663</v>
          </cell>
        </row>
        <row r="362">
          <cell r="AK362">
            <v>1201.7</v>
          </cell>
        </row>
        <row r="363">
          <cell r="AK363">
            <v>3585.6666666666665</v>
          </cell>
        </row>
        <row r="364">
          <cell r="F364">
            <v>0</v>
          </cell>
          <cell r="P364">
            <v>0</v>
          </cell>
          <cell r="S364">
            <v>0</v>
          </cell>
          <cell r="T364">
            <v>162.88</v>
          </cell>
          <cell r="U364">
            <v>855.12</v>
          </cell>
          <cell r="X364">
            <v>344</v>
          </cell>
          <cell r="Y364">
            <v>304</v>
          </cell>
          <cell r="Z364">
            <v>265</v>
          </cell>
          <cell r="AC364">
            <v>357</v>
          </cell>
          <cell r="AD364">
            <v>213</v>
          </cell>
          <cell r="AE364">
            <v>314</v>
          </cell>
          <cell r="AF364">
            <v>-335</v>
          </cell>
          <cell r="AG364">
            <v>-335</v>
          </cell>
          <cell r="AH364">
            <v>0</v>
          </cell>
          <cell r="AK364">
            <v>375</v>
          </cell>
          <cell r="AM364">
            <v>710</v>
          </cell>
        </row>
        <row r="367">
          <cell r="F367" t="e">
            <v>#REF!</v>
          </cell>
        </row>
        <row r="373">
          <cell r="F373">
            <v>0</v>
          </cell>
        </row>
        <row r="381">
          <cell r="F381" t="str">
            <v>лютий</v>
          </cell>
          <cell r="P381" t="str">
            <v>лютий</v>
          </cell>
          <cell r="X381" t="str">
            <v>лютий</v>
          </cell>
          <cell r="AC381" t="str">
            <v>лютий</v>
          </cell>
        </row>
        <row r="382">
          <cell r="F382" t="str">
            <v>АППАРАТ</v>
          </cell>
          <cell r="P382" t="str">
            <v>ККМ</v>
          </cell>
          <cell r="X382" t="str">
            <v>ТЕЦ5</v>
          </cell>
          <cell r="AC382" t="str">
            <v>ТЕЦ6</v>
          </cell>
          <cell r="AI382" t="str">
            <v>АК "КЕ"</v>
          </cell>
          <cell r="AJ382" t="str">
            <v>Е/Е</v>
          </cell>
        </row>
        <row r="383">
          <cell r="F383" t="str">
            <v>ПЛАН</v>
          </cell>
          <cell r="P383" t="str">
            <v>ПЛАН</v>
          </cell>
          <cell r="X383" t="str">
            <v>ПЛАН</v>
          </cell>
          <cell r="AC383" t="str">
            <v>ПЛАН</v>
          </cell>
          <cell r="AI383" t="str">
            <v>ПЛАН</v>
          </cell>
          <cell r="AJ383" t="str">
            <v>ПЛАН</v>
          </cell>
        </row>
        <row r="384">
          <cell r="F384">
            <v>164.3</v>
          </cell>
          <cell r="G384">
            <v>96</v>
          </cell>
          <cell r="H384">
            <v>96</v>
          </cell>
          <cell r="P384">
            <v>14.333333333333332</v>
          </cell>
          <cell r="S384">
            <v>14.333333333333332</v>
          </cell>
          <cell r="X384">
            <v>182</v>
          </cell>
          <cell r="Y384">
            <v>129</v>
          </cell>
          <cell r="Z384">
            <v>129</v>
          </cell>
          <cell r="AC384">
            <v>323.66666666666674</v>
          </cell>
          <cell r="AD384">
            <v>170</v>
          </cell>
          <cell r="AE384">
            <v>169</v>
          </cell>
          <cell r="AI384">
            <v>735.30000000000018</v>
          </cell>
          <cell r="AJ384">
            <v>564.33333333333326</v>
          </cell>
          <cell r="AK384">
            <v>421.33333333333331</v>
          </cell>
        </row>
        <row r="385">
          <cell r="F385">
            <v>29</v>
          </cell>
          <cell r="G385">
            <v>17</v>
          </cell>
          <cell r="P385">
            <v>0</v>
          </cell>
          <cell r="X385">
            <v>0</v>
          </cell>
          <cell r="Y385">
            <v>0</v>
          </cell>
          <cell r="AC385">
            <v>3.6666666666666665</v>
          </cell>
          <cell r="AD385">
            <v>2</v>
          </cell>
          <cell r="AI385">
            <v>46</v>
          </cell>
          <cell r="AJ385">
            <v>22</v>
          </cell>
        </row>
        <row r="386">
          <cell r="F386">
            <v>0</v>
          </cell>
          <cell r="G386">
            <v>0</v>
          </cell>
          <cell r="P386">
            <v>0.66666666666666663</v>
          </cell>
          <cell r="X386">
            <v>146.66666666666666</v>
          </cell>
          <cell r="Y386">
            <v>104</v>
          </cell>
          <cell r="AC386">
            <v>280.66666666666669</v>
          </cell>
          <cell r="AD386">
            <v>147</v>
          </cell>
          <cell r="AI386">
            <v>428</v>
          </cell>
          <cell r="AJ386">
            <v>251.66666666666669</v>
          </cell>
          <cell r="AK386" t="str">
            <v>АК "КЕ"</v>
          </cell>
          <cell r="AL386" t="str">
            <v>Е/Е</v>
          </cell>
        </row>
        <row r="387">
          <cell r="F387">
            <v>0</v>
          </cell>
          <cell r="G387">
            <v>0</v>
          </cell>
          <cell r="P387">
            <v>2</v>
          </cell>
          <cell r="X387">
            <v>0</v>
          </cell>
          <cell r="Y387">
            <v>0</v>
          </cell>
          <cell r="AC387">
            <v>25</v>
          </cell>
          <cell r="AD387">
            <v>13</v>
          </cell>
          <cell r="AI387">
            <v>33.666666666666671</v>
          </cell>
          <cell r="AJ387">
            <v>18</v>
          </cell>
          <cell r="AK387" t="str">
            <v>ПЛАН</v>
          </cell>
          <cell r="AL387" t="str">
            <v>ПЛАН</v>
          </cell>
        </row>
        <row r="388">
          <cell r="F388">
            <v>0</v>
          </cell>
          <cell r="G388">
            <v>0</v>
          </cell>
          <cell r="H388">
            <v>56</v>
          </cell>
          <cell r="P388">
            <v>0</v>
          </cell>
          <cell r="S388">
            <v>14.333333333333332</v>
          </cell>
          <cell r="X388">
            <v>25.333333333333332</v>
          </cell>
          <cell r="Y388">
            <v>18</v>
          </cell>
          <cell r="Z388">
            <v>97</v>
          </cell>
          <cell r="AC388">
            <v>0.66666666666666663</v>
          </cell>
          <cell r="AD388">
            <v>0</v>
          </cell>
          <cell r="AE388">
            <v>130</v>
          </cell>
          <cell r="AI388">
            <v>26</v>
          </cell>
          <cell r="AJ388">
            <v>18</v>
          </cell>
          <cell r="AK388">
            <v>735.30000000000018</v>
          </cell>
          <cell r="AL388">
            <v>469.33333333333337</v>
          </cell>
          <cell r="AM388">
            <v>312.33333333333331</v>
          </cell>
        </row>
        <row r="389">
          <cell r="F389">
            <v>120.63333333333333</v>
          </cell>
          <cell r="G389">
            <v>71</v>
          </cell>
          <cell r="P389">
            <v>0</v>
          </cell>
          <cell r="X389">
            <v>0</v>
          </cell>
          <cell r="Y389">
            <v>0</v>
          </cell>
          <cell r="AC389">
            <v>0</v>
          </cell>
          <cell r="AD389">
            <v>0</v>
          </cell>
          <cell r="AI389">
            <v>120.63333333333333</v>
          </cell>
          <cell r="AJ389">
            <v>73</v>
          </cell>
          <cell r="AK389">
            <v>46</v>
          </cell>
          <cell r="AL389">
            <v>14</v>
          </cell>
        </row>
        <row r="390">
          <cell r="F390">
            <v>8.6666666666666661</v>
          </cell>
          <cell r="G390">
            <v>5</v>
          </cell>
          <cell r="P390">
            <v>0</v>
          </cell>
          <cell r="X390">
            <v>0</v>
          </cell>
          <cell r="Y390">
            <v>0</v>
          </cell>
          <cell r="AC390">
            <v>0</v>
          </cell>
          <cell r="AD390">
            <v>0</v>
          </cell>
          <cell r="AI390">
            <v>8.6666666666666661</v>
          </cell>
          <cell r="AJ390">
            <v>0</v>
          </cell>
          <cell r="AK390">
            <v>428</v>
          </cell>
          <cell r="AL390">
            <v>191.66666666666669</v>
          </cell>
        </row>
        <row r="391">
          <cell r="F391">
            <v>0</v>
          </cell>
          <cell r="G391">
            <v>0</v>
          </cell>
          <cell r="P391">
            <v>5.333333333333333</v>
          </cell>
          <cell r="X391">
            <v>0</v>
          </cell>
          <cell r="Y391">
            <v>0</v>
          </cell>
          <cell r="AC391">
            <v>0</v>
          </cell>
          <cell r="AD391">
            <v>0</v>
          </cell>
          <cell r="AI391">
            <v>22</v>
          </cell>
          <cell r="AJ391">
            <v>15.333333333333332</v>
          </cell>
          <cell r="AK391">
            <v>33.666666666666671</v>
          </cell>
          <cell r="AL391">
            <v>15</v>
          </cell>
        </row>
        <row r="392">
          <cell r="F392">
            <v>5.333333333333333</v>
          </cell>
          <cell r="G392">
            <v>3</v>
          </cell>
          <cell r="P392">
            <v>0</v>
          </cell>
          <cell r="X392">
            <v>0</v>
          </cell>
          <cell r="Y392">
            <v>0</v>
          </cell>
          <cell r="AC392">
            <v>0</v>
          </cell>
          <cell r="AD392">
            <v>0</v>
          </cell>
          <cell r="AI392">
            <v>5.333333333333333</v>
          </cell>
          <cell r="AJ392">
            <v>3</v>
          </cell>
          <cell r="AK392">
            <v>26</v>
          </cell>
          <cell r="AL392">
            <v>14</v>
          </cell>
        </row>
        <row r="393">
          <cell r="F393">
            <v>0.33333333333333331</v>
          </cell>
          <cell r="G393">
            <v>0</v>
          </cell>
          <cell r="P393">
            <v>4.333333333333333</v>
          </cell>
          <cell r="X393">
            <v>0</v>
          </cell>
          <cell r="Y393">
            <v>0</v>
          </cell>
          <cell r="AC393">
            <v>0</v>
          </cell>
          <cell r="AD393">
            <v>0</v>
          </cell>
          <cell r="AI393">
            <v>4.6666666666666661</v>
          </cell>
          <cell r="AJ393">
            <v>4.333333333333333</v>
          </cell>
          <cell r="AK393">
            <v>120.63333333333333</v>
          </cell>
          <cell r="AL393">
            <v>43</v>
          </cell>
        </row>
        <row r="394">
          <cell r="F394">
            <v>0.33333333333333331</v>
          </cell>
          <cell r="G394">
            <v>0</v>
          </cell>
          <cell r="P394">
            <v>2</v>
          </cell>
          <cell r="X394">
            <v>10</v>
          </cell>
          <cell r="Y394">
            <v>7</v>
          </cell>
          <cell r="AC394">
            <v>13.666666666666666</v>
          </cell>
          <cell r="AD394">
            <v>7</v>
          </cell>
          <cell r="AI394">
            <v>26</v>
          </cell>
          <cell r="AJ394">
            <v>16</v>
          </cell>
          <cell r="AK394">
            <v>8.6666666666666661</v>
          </cell>
          <cell r="AL394">
            <v>0</v>
          </cell>
        </row>
        <row r="395">
          <cell r="F395">
            <v>0</v>
          </cell>
          <cell r="G395">
            <v>0</v>
          </cell>
          <cell r="P395">
            <v>0</v>
          </cell>
          <cell r="X395">
            <v>0</v>
          </cell>
          <cell r="Y395">
            <v>0</v>
          </cell>
          <cell r="AC395">
            <v>0</v>
          </cell>
          <cell r="AD395">
            <v>0</v>
          </cell>
          <cell r="AI395">
            <v>0</v>
          </cell>
          <cell r="AK395">
            <v>22</v>
          </cell>
          <cell r="AL395">
            <v>15.333333333333332</v>
          </cell>
        </row>
        <row r="396">
          <cell r="F396">
            <v>1.1666666666666667</v>
          </cell>
          <cell r="G396">
            <v>1</v>
          </cell>
          <cell r="P396">
            <v>20.5</v>
          </cell>
          <cell r="X396">
            <v>522.33333333333337</v>
          </cell>
          <cell r="Y396">
            <v>370</v>
          </cell>
          <cell r="AC396">
            <v>43</v>
          </cell>
          <cell r="AD396">
            <v>23</v>
          </cell>
          <cell r="AI396">
            <v>587.33333333333337</v>
          </cell>
          <cell r="AJ396">
            <v>414.5</v>
          </cell>
          <cell r="AK396">
            <v>415.83333333333337</v>
          </cell>
          <cell r="AL396">
            <v>2</v>
          </cell>
        </row>
        <row r="397">
          <cell r="F397">
            <v>0</v>
          </cell>
          <cell r="G397">
            <v>0</v>
          </cell>
          <cell r="P397">
            <v>0</v>
          </cell>
          <cell r="X397">
            <v>0</v>
          </cell>
          <cell r="Y397">
            <v>0</v>
          </cell>
          <cell r="AC397">
            <v>0</v>
          </cell>
          <cell r="AD397">
            <v>0</v>
          </cell>
          <cell r="AI397">
            <v>0</v>
          </cell>
          <cell r="AJ397">
            <v>0</v>
          </cell>
          <cell r="AK397">
            <v>4.6666666666666661</v>
          </cell>
          <cell r="AL397">
            <v>4.333333333333333</v>
          </cell>
        </row>
        <row r="398">
          <cell r="F398">
            <v>0</v>
          </cell>
          <cell r="G398">
            <v>0</v>
          </cell>
          <cell r="P398">
            <v>0</v>
          </cell>
          <cell r="X398">
            <v>480.66666666666669</v>
          </cell>
          <cell r="Y398">
            <v>341</v>
          </cell>
          <cell r="AC398">
            <v>11</v>
          </cell>
          <cell r="AD398">
            <v>6</v>
          </cell>
          <cell r="AI398">
            <v>491.66666666666669</v>
          </cell>
          <cell r="AJ398">
            <v>347</v>
          </cell>
          <cell r="AK398">
            <v>26</v>
          </cell>
          <cell r="AL398">
            <v>13</v>
          </cell>
        </row>
        <row r="399">
          <cell r="F399">
            <v>0</v>
          </cell>
          <cell r="G399">
            <v>0</v>
          </cell>
          <cell r="P399">
            <v>0</v>
          </cell>
          <cell r="X399">
            <v>0</v>
          </cell>
          <cell r="Y399">
            <v>0</v>
          </cell>
          <cell r="AC399">
            <v>0</v>
          </cell>
          <cell r="AD399">
            <v>0</v>
          </cell>
          <cell r="AI399">
            <v>0</v>
          </cell>
          <cell r="AJ399">
            <v>0</v>
          </cell>
          <cell r="AK399">
            <v>0</v>
          </cell>
        </row>
        <row r="400">
          <cell r="F400">
            <v>1.1666666666666667</v>
          </cell>
          <cell r="G400">
            <v>1</v>
          </cell>
          <cell r="P400">
            <v>15.833333333333334</v>
          </cell>
          <cell r="X400">
            <v>41.666666666666664</v>
          </cell>
          <cell r="Y400">
            <v>30</v>
          </cell>
          <cell r="AC400">
            <v>32</v>
          </cell>
          <cell r="AD400">
            <v>17</v>
          </cell>
          <cell r="AI400">
            <v>91</v>
          </cell>
          <cell r="AJ400">
            <v>68.833333333333343</v>
          </cell>
          <cell r="AK400">
            <v>587.33333333333337</v>
          </cell>
          <cell r="AL400">
            <v>316.5</v>
          </cell>
          <cell r="AM400">
            <v>316.83333333333331</v>
          </cell>
        </row>
        <row r="401">
          <cell r="F401">
            <v>0</v>
          </cell>
          <cell r="G401">
            <v>0</v>
          </cell>
          <cell r="P401">
            <v>4.666666666666667</v>
          </cell>
          <cell r="X401">
            <v>0</v>
          </cell>
          <cell r="Y401">
            <v>0</v>
          </cell>
          <cell r="AC401">
            <v>0</v>
          </cell>
          <cell r="AD401">
            <v>0</v>
          </cell>
          <cell r="AI401">
            <v>4.666666666666667</v>
          </cell>
          <cell r="AJ401">
            <v>0</v>
          </cell>
          <cell r="AK401">
            <v>0</v>
          </cell>
          <cell r="AL401">
            <v>0</v>
          </cell>
        </row>
        <row r="402">
          <cell r="F402">
            <v>0</v>
          </cell>
          <cell r="G402">
            <v>0</v>
          </cell>
          <cell r="P402">
            <v>0</v>
          </cell>
          <cell r="X402">
            <v>0</v>
          </cell>
          <cell r="Y402">
            <v>0</v>
          </cell>
          <cell r="AC402">
            <v>0</v>
          </cell>
          <cell r="AD402">
            <v>0</v>
          </cell>
          <cell r="AI402">
            <v>0</v>
          </cell>
          <cell r="AK402">
            <v>491.66666666666669</v>
          </cell>
          <cell r="AL402">
            <v>261</v>
          </cell>
        </row>
        <row r="403">
          <cell r="F403">
            <v>10</v>
          </cell>
          <cell r="G403">
            <v>6</v>
          </cell>
          <cell r="P403">
            <v>39</v>
          </cell>
          <cell r="X403">
            <v>0</v>
          </cell>
          <cell r="Y403">
            <v>0</v>
          </cell>
          <cell r="AC403">
            <v>0</v>
          </cell>
          <cell r="AD403">
            <v>0</v>
          </cell>
          <cell r="AI403">
            <v>49</v>
          </cell>
          <cell r="AJ403">
            <v>45</v>
          </cell>
          <cell r="AK403">
            <v>45</v>
          </cell>
          <cell r="AL403">
            <v>0</v>
          </cell>
        </row>
        <row r="404">
          <cell r="F404">
            <v>2.6666666666666665</v>
          </cell>
          <cell r="G404">
            <v>2</v>
          </cell>
          <cell r="P404">
            <v>3.3333333333333335</v>
          </cell>
          <cell r="X404">
            <v>0</v>
          </cell>
          <cell r="Y404">
            <v>0</v>
          </cell>
          <cell r="AC404">
            <v>0</v>
          </cell>
          <cell r="AD404">
            <v>0</v>
          </cell>
          <cell r="AI404">
            <v>6</v>
          </cell>
          <cell r="AJ404">
            <v>5.3333333333333339</v>
          </cell>
          <cell r="AK404">
            <v>91</v>
          </cell>
          <cell r="AL404">
            <v>55.833333333333336</v>
          </cell>
        </row>
        <row r="405">
          <cell r="F405">
            <v>7.333333333333333</v>
          </cell>
          <cell r="G405">
            <v>4</v>
          </cell>
          <cell r="P405">
            <v>35.666666666666664</v>
          </cell>
          <cell r="X405">
            <v>0</v>
          </cell>
          <cell r="Y405">
            <v>0</v>
          </cell>
          <cell r="AC405">
            <v>0</v>
          </cell>
          <cell r="AD405">
            <v>0</v>
          </cell>
          <cell r="AI405">
            <v>43</v>
          </cell>
          <cell r="AJ405">
            <v>39.666666666666664</v>
          </cell>
          <cell r="AK405">
            <v>4.666666666666667</v>
          </cell>
          <cell r="AL405">
            <v>0</v>
          </cell>
        </row>
        <row r="406">
          <cell r="F406">
            <v>0</v>
          </cell>
          <cell r="G406">
            <v>0</v>
          </cell>
          <cell r="P406">
            <v>0</v>
          </cell>
          <cell r="X406">
            <v>0</v>
          </cell>
          <cell r="Y406">
            <v>0</v>
          </cell>
          <cell r="AC406">
            <v>0</v>
          </cell>
          <cell r="AD406">
            <v>0</v>
          </cell>
          <cell r="AI406">
            <v>0</v>
          </cell>
          <cell r="AK406">
            <v>0</v>
          </cell>
        </row>
        <row r="407">
          <cell r="F407">
            <v>206.33333333333329</v>
          </cell>
          <cell r="G407">
            <v>121</v>
          </cell>
          <cell r="H407">
            <v>122</v>
          </cell>
          <cell r="P407">
            <v>50.166666666666671</v>
          </cell>
          <cell r="S407">
            <v>50.166666666666671</v>
          </cell>
          <cell r="X407">
            <v>37.833333333333343</v>
          </cell>
          <cell r="Y407">
            <v>27</v>
          </cell>
          <cell r="AC407">
            <v>26.000000000000004</v>
          </cell>
          <cell r="AD407">
            <v>14</v>
          </cell>
          <cell r="AI407">
            <v>1965.0000000000002</v>
          </cell>
          <cell r="AJ407">
            <v>471.16666666666663</v>
          </cell>
          <cell r="AK407">
            <v>471.16666666666663</v>
          </cell>
          <cell r="AL407">
            <v>42</v>
          </cell>
          <cell r="AM407">
            <v>43</v>
          </cell>
        </row>
        <row r="408">
          <cell r="F408">
            <v>0</v>
          </cell>
          <cell r="G408">
            <v>0</v>
          </cell>
          <cell r="P408">
            <v>0</v>
          </cell>
          <cell r="X408">
            <v>0</v>
          </cell>
          <cell r="Y408">
            <v>0</v>
          </cell>
          <cell r="AC408">
            <v>0</v>
          </cell>
          <cell r="AD408">
            <v>0</v>
          </cell>
          <cell r="AI408">
            <v>1350</v>
          </cell>
          <cell r="AJ408">
            <v>0</v>
          </cell>
          <cell r="AK408">
            <v>6</v>
          </cell>
          <cell r="AL408">
            <v>4.3333333333333339</v>
          </cell>
        </row>
        <row r="409">
          <cell r="F409">
            <v>0</v>
          </cell>
          <cell r="G409">
            <v>0</v>
          </cell>
          <cell r="P409">
            <v>0</v>
          </cell>
          <cell r="X409">
            <v>0</v>
          </cell>
          <cell r="Y409">
            <v>0</v>
          </cell>
          <cell r="AC409">
            <v>0</v>
          </cell>
          <cell r="AD409">
            <v>0</v>
          </cell>
          <cell r="AI409">
            <v>95</v>
          </cell>
          <cell r="AJ409">
            <v>95</v>
          </cell>
          <cell r="AK409">
            <v>43</v>
          </cell>
          <cell r="AL409">
            <v>38.666666666666664</v>
          </cell>
        </row>
        <row r="410">
          <cell r="F410">
            <v>0</v>
          </cell>
          <cell r="G410">
            <v>0</v>
          </cell>
          <cell r="P410">
            <v>0</v>
          </cell>
          <cell r="X410">
            <v>0</v>
          </cell>
          <cell r="Y410">
            <v>0</v>
          </cell>
          <cell r="AC410">
            <v>0</v>
          </cell>
          <cell r="AD410">
            <v>0</v>
          </cell>
          <cell r="AI410">
            <v>0</v>
          </cell>
          <cell r="AJ410">
            <v>0</v>
          </cell>
          <cell r="AK410">
            <v>0</v>
          </cell>
        </row>
        <row r="411">
          <cell r="F411">
            <v>0</v>
          </cell>
          <cell r="G411">
            <v>0</v>
          </cell>
          <cell r="H411">
            <v>71</v>
          </cell>
          <cell r="P411">
            <v>12.333333333333334</v>
          </cell>
          <cell r="S411">
            <v>50.166666666666671</v>
          </cell>
          <cell r="X411">
            <v>0</v>
          </cell>
          <cell r="Y411">
            <v>0</v>
          </cell>
          <cell r="AC411">
            <v>0</v>
          </cell>
          <cell r="AD411">
            <v>0</v>
          </cell>
          <cell r="AI411">
            <v>12.333333333333334</v>
          </cell>
          <cell r="AJ411">
            <v>12.333333333333334</v>
          </cell>
          <cell r="AK411">
            <v>1965.0000000000002</v>
          </cell>
          <cell r="AL411">
            <v>412.16666666666663</v>
          </cell>
          <cell r="AM411">
            <v>412.16666666666663</v>
          </cell>
        </row>
        <row r="412">
          <cell r="F412">
            <v>0</v>
          </cell>
          <cell r="G412">
            <v>0</v>
          </cell>
          <cell r="P412">
            <v>0</v>
          </cell>
          <cell r="X412">
            <v>0</v>
          </cell>
          <cell r="Y412">
            <v>0</v>
          </cell>
          <cell r="AC412">
            <v>0</v>
          </cell>
          <cell r="AD412">
            <v>0</v>
          </cell>
          <cell r="AI412">
            <v>0</v>
          </cell>
          <cell r="AJ412">
            <v>0</v>
          </cell>
          <cell r="AK412">
            <v>1350</v>
          </cell>
          <cell r="AL412">
            <v>0</v>
          </cell>
        </row>
        <row r="413">
          <cell r="F413">
            <v>1.6666666666666667</v>
          </cell>
          <cell r="G413">
            <v>1</v>
          </cell>
          <cell r="P413">
            <v>5</v>
          </cell>
          <cell r="X413">
            <v>3</v>
          </cell>
          <cell r="Y413">
            <v>2</v>
          </cell>
          <cell r="AC413">
            <v>3</v>
          </cell>
          <cell r="AD413">
            <v>2</v>
          </cell>
          <cell r="AI413">
            <v>57.666666666666664</v>
          </cell>
          <cell r="AJ413">
            <v>50</v>
          </cell>
          <cell r="AK413">
            <v>95</v>
          </cell>
          <cell r="AL413">
            <v>95</v>
          </cell>
        </row>
        <row r="414">
          <cell r="F414">
            <v>0</v>
          </cell>
          <cell r="G414">
            <v>0</v>
          </cell>
          <cell r="P414">
            <v>0</v>
          </cell>
          <cell r="X414">
            <v>0</v>
          </cell>
          <cell r="Y414">
            <v>0</v>
          </cell>
          <cell r="AC414">
            <v>0</v>
          </cell>
          <cell r="AD414">
            <v>0</v>
          </cell>
          <cell r="AI414">
            <v>4</v>
          </cell>
          <cell r="AJ414">
            <v>0</v>
          </cell>
          <cell r="AK414">
            <v>0</v>
          </cell>
          <cell r="AL414">
            <v>0</v>
          </cell>
        </row>
        <row r="415">
          <cell r="F415">
            <v>0</v>
          </cell>
          <cell r="G415">
            <v>0</v>
          </cell>
          <cell r="P415">
            <v>0</v>
          </cell>
          <cell r="X415">
            <v>0</v>
          </cell>
          <cell r="Y415">
            <v>0</v>
          </cell>
          <cell r="AC415">
            <v>0</v>
          </cell>
          <cell r="AD415">
            <v>0</v>
          </cell>
          <cell r="AI415">
            <v>0</v>
          </cell>
          <cell r="AJ415">
            <v>0</v>
          </cell>
          <cell r="AK415">
            <v>12.333333333333334</v>
          </cell>
          <cell r="AL415">
            <v>12.333333333333334</v>
          </cell>
        </row>
        <row r="416">
          <cell r="F416">
            <v>0</v>
          </cell>
          <cell r="G416">
            <v>0</v>
          </cell>
          <cell r="P416">
            <v>18.5</v>
          </cell>
          <cell r="X416">
            <v>4.5</v>
          </cell>
          <cell r="Y416">
            <v>3</v>
          </cell>
          <cell r="AC416">
            <v>1.3333333333333333</v>
          </cell>
          <cell r="AD416">
            <v>1</v>
          </cell>
          <cell r="AI416">
            <v>28.5</v>
          </cell>
          <cell r="AJ416">
            <v>26.5</v>
          </cell>
          <cell r="AK416">
            <v>0</v>
          </cell>
          <cell r="AL416">
            <v>0</v>
          </cell>
        </row>
        <row r="417">
          <cell r="F417">
            <v>0</v>
          </cell>
          <cell r="G417">
            <v>0</v>
          </cell>
          <cell r="P417">
            <v>1.3333333333333333</v>
          </cell>
          <cell r="X417">
            <v>0</v>
          </cell>
          <cell r="Y417">
            <v>0</v>
          </cell>
          <cell r="AC417">
            <v>1.6666666666666667</v>
          </cell>
          <cell r="AD417">
            <v>1</v>
          </cell>
          <cell r="AI417">
            <v>69</v>
          </cell>
          <cell r="AJ417">
            <v>52.333333333333336</v>
          </cell>
          <cell r="AK417">
            <v>57.666666666666664</v>
          </cell>
          <cell r="AL417">
            <v>49</v>
          </cell>
        </row>
        <row r="418">
          <cell r="F418">
            <v>177</v>
          </cell>
          <cell r="G418">
            <v>104</v>
          </cell>
          <cell r="P418">
            <v>0</v>
          </cell>
          <cell r="X418">
            <v>0</v>
          </cell>
          <cell r="Y418">
            <v>0</v>
          </cell>
          <cell r="AC418">
            <v>0</v>
          </cell>
          <cell r="AD418">
            <v>0</v>
          </cell>
          <cell r="AI418">
            <v>177</v>
          </cell>
          <cell r="AJ418">
            <v>104</v>
          </cell>
          <cell r="AK418">
            <v>4</v>
          </cell>
          <cell r="AL418">
            <v>0</v>
          </cell>
        </row>
        <row r="419">
          <cell r="F419">
            <v>0</v>
          </cell>
          <cell r="G419">
            <v>0</v>
          </cell>
          <cell r="P419">
            <v>0</v>
          </cell>
          <cell r="X419">
            <v>10</v>
          </cell>
          <cell r="Y419">
            <v>7</v>
          </cell>
          <cell r="AC419">
            <v>7.666666666666667</v>
          </cell>
          <cell r="AD419">
            <v>4</v>
          </cell>
          <cell r="AI419">
            <v>17.666666666666668</v>
          </cell>
          <cell r="AJ419">
            <v>11</v>
          </cell>
          <cell r="AK419">
            <v>0</v>
          </cell>
          <cell r="AL419">
            <v>0</v>
          </cell>
        </row>
        <row r="420">
          <cell r="F420">
            <v>0.66666666666666663</v>
          </cell>
          <cell r="G420">
            <v>0</v>
          </cell>
          <cell r="P420">
            <v>2</v>
          </cell>
          <cell r="X420">
            <v>1.3333333333333333</v>
          </cell>
          <cell r="Y420">
            <v>1</v>
          </cell>
          <cell r="AC420">
            <v>1</v>
          </cell>
          <cell r="AD420">
            <v>1</v>
          </cell>
          <cell r="AI420">
            <v>6</v>
          </cell>
          <cell r="AJ420">
            <v>4</v>
          </cell>
          <cell r="AK420">
            <v>28.5</v>
          </cell>
          <cell r="AL420">
            <v>25.5</v>
          </cell>
        </row>
        <row r="421">
          <cell r="F421">
            <v>2.6666666666666665</v>
          </cell>
          <cell r="G421">
            <v>2</v>
          </cell>
          <cell r="P421">
            <v>0.33333333333333331</v>
          </cell>
          <cell r="X421">
            <v>1</v>
          </cell>
          <cell r="Y421">
            <v>1</v>
          </cell>
          <cell r="AC421">
            <v>0.66666666666666663</v>
          </cell>
          <cell r="AD421">
            <v>0</v>
          </cell>
          <cell r="AI421">
            <v>9.3333333333333339</v>
          </cell>
          <cell r="AJ421">
            <v>5.333333333333333</v>
          </cell>
          <cell r="AK421">
            <v>69</v>
          </cell>
          <cell r="AL421">
            <v>52.333333333333336</v>
          </cell>
        </row>
        <row r="422">
          <cell r="F422">
            <v>0</v>
          </cell>
          <cell r="G422">
            <v>0</v>
          </cell>
          <cell r="P422">
            <v>2.3333333333333335</v>
          </cell>
          <cell r="X422">
            <v>6</v>
          </cell>
          <cell r="Y422">
            <v>4</v>
          </cell>
          <cell r="AC422">
            <v>5</v>
          </cell>
          <cell r="AD422">
            <v>3</v>
          </cell>
          <cell r="AI422">
            <v>13.333333333333334</v>
          </cell>
          <cell r="AJ422">
            <v>9.3333333333333339</v>
          </cell>
          <cell r="AK422">
            <v>177</v>
          </cell>
          <cell r="AL422">
            <v>61</v>
          </cell>
        </row>
        <row r="423">
          <cell r="F423">
            <v>0</v>
          </cell>
          <cell r="G423">
            <v>0</v>
          </cell>
          <cell r="P423">
            <v>0</v>
          </cell>
          <cell r="X423">
            <v>0</v>
          </cell>
          <cell r="Y423">
            <v>0</v>
          </cell>
          <cell r="AC423">
            <v>0</v>
          </cell>
          <cell r="AD423">
            <v>0</v>
          </cell>
          <cell r="AI423">
            <v>0</v>
          </cell>
          <cell r="AJ423">
            <v>0</v>
          </cell>
          <cell r="AK423">
            <v>17.666666666666668</v>
          </cell>
          <cell r="AL423">
            <v>8</v>
          </cell>
        </row>
        <row r="424">
          <cell r="F424">
            <v>0</v>
          </cell>
          <cell r="G424">
            <v>0</v>
          </cell>
          <cell r="P424">
            <v>0</v>
          </cell>
          <cell r="X424">
            <v>0</v>
          </cell>
          <cell r="Y424">
            <v>0</v>
          </cell>
          <cell r="AC424">
            <v>0</v>
          </cell>
          <cell r="AD424">
            <v>0</v>
          </cell>
          <cell r="AI424">
            <v>0</v>
          </cell>
          <cell r="AJ424">
            <v>0</v>
          </cell>
          <cell r="AK424">
            <v>6</v>
          </cell>
          <cell r="AL424">
            <v>3</v>
          </cell>
        </row>
        <row r="425">
          <cell r="F425">
            <v>9.6666666666666661</v>
          </cell>
          <cell r="G425">
            <v>6</v>
          </cell>
          <cell r="P425">
            <v>1</v>
          </cell>
          <cell r="X425">
            <v>0</v>
          </cell>
          <cell r="Y425">
            <v>0</v>
          </cell>
          <cell r="AC425">
            <v>0</v>
          </cell>
          <cell r="AD425">
            <v>0</v>
          </cell>
          <cell r="AI425">
            <v>12</v>
          </cell>
          <cell r="AJ425">
            <v>8</v>
          </cell>
          <cell r="AK425">
            <v>9.3333333333333339</v>
          </cell>
          <cell r="AL425">
            <v>4.3333333333333339</v>
          </cell>
        </row>
        <row r="426">
          <cell r="F426">
            <v>0</v>
          </cell>
          <cell r="G426">
            <v>0</v>
          </cell>
          <cell r="P426">
            <v>0</v>
          </cell>
          <cell r="X426">
            <v>0</v>
          </cell>
          <cell r="Y426">
            <v>0</v>
          </cell>
          <cell r="AC426">
            <v>0</v>
          </cell>
          <cell r="AD426">
            <v>0</v>
          </cell>
          <cell r="AI426">
            <v>0</v>
          </cell>
          <cell r="AJ426">
            <v>0</v>
          </cell>
          <cell r="AK426">
            <v>13.333333333333334</v>
          </cell>
          <cell r="AL426">
            <v>7.3333333333333339</v>
          </cell>
        </row>
        <row r="427">
          <cell r="F427">
            <v>2.3333333333333335</v>
          </cell>
          <cell r="G427">
            <v>1</v>
          </cell>
          <cell r="P427">
            <v>0.66666666666666663</v>
          </cell>
          <cell r="X427">
            <v>0.66666666666666663</v>
          </cell>
          <cell r="Y427">
            <v>0</v>
          </cell>
          <cell r="AC427">
            <v>0.66666666666666663</v>
          </cell>
          <cell r="AD427">
            <v>0</v>
          </cell>
          <cell r="AI427">
            <v>4.333333333333333</v>
          </cell>
          <cell r="AJ427">
            <v>1.6666666666666665</v>
          </cell>
          <cell r="AK427">
            <v>0</v>
          </cell>
          <cell r="AL427">
            <v>0</v>
          </cell>
        </row>
        <row r="428">
          <cell r="F428">
            <v>1.6666666666666667</v>
          </cell>
          <cell r="G428">
            <v>1</v>
          </cell>
          <cell r="P428">
            <v>0.66666666666666663</v>
          </cell>
          <cell r="X428">
            <v>0.66666666666666663</v>
          </cell>
          <cell r="Y428">
            <v>0</v>
          </cell>
          <cell r="AC428">
            <v>0.66666666666666663</v>
          </cell>
          <cell r="AD428">
            <v>0</v>
          </cell>
          <cell r="AI428">
            <v>3.6666666666666665</v>
          </cell>
          <cell r="AJ428">
            <v>1.6666666666666665</v>
          </cell>
          <cell r="AK428">
            <v>0</v>
          </cell>
          <cell r="AL428">
            <v>0</v>
          </cell>
        </row>
        <row r="429">
          <cell r="F429">
            <v>6.666666666666667</v>
          </cell>
          <cell r="G429">
            <v>4</v>
          </cell>
          <cell r="P429">
            <v>4.666666666666667</v>
          </cell>
          <cell r="X429">
            <v>3</v>
          </cell>
          <cell r="Y429">
            <v>2</v>
          </cell>
          <cell r="AC429">
            <v>2</v>
          </cell>
          <cell r="AD429">
            <v>1</v>
          </cell>
          <cell r="AI429">
            <v>33</v>
          </cell>
          <cell r="AJ429">
            <v>21.666666666666668</v>
          </cell>
          <cell r="AK429">
            <v>12</v>
          </cell>
          <cell r="AL429">
            <v>5</v>
          </cell>
        </row>
        <row r="430">
          <cell r="F430">
            <v>0</v>
          </cell>
          <cell r="G430">
            <v>0</v>
          </cell>
          <cell r="P430">
            <v>0</v>
          </cell>
          <cell r="X430">
            <v>0</v>
          </cell>
          <cell r="Y430">
            <v>0</v>
          </cell>
          <cell r="AC430">
            <v>0</v>
          </cell>
          <cell r="AD430">
            <v>0</v>
          </cell>
          <cell r="AI430">
            <v>0</v>
          </cell>
          <cell r="AJ430">
            <v>0</v>
          </cell>
          <cell r="AK430">
            <v>0</v>
          </cell>
          <cell r="AL430">
            <v>0</v>
          </cell>
        </row>
        <row r="431">
          <cell r="F431">
            <v>0</v>
          </cell>
          <cell r="G431">
            <v>0</v>
          </cell>
          <cell r="P431">
            <v>0</v>
          </cell>
          <cell r="X431">
            <v>0</v>
          </cell>
          <cell r="Y431">
            <v>0</v>
          </cell>
          <cell r="AC431">
            <v>0</v>
          </cell>
          <cell r="AD431">
            <v>0</v>
          </cell>
          <cell r="AI431">
            <v>0</v>
          </cell>
          <cell r="AJ431">
            <v>53</v>
          </cell>
          <cell r="AK431">
            <v>4.333333333333333</v>
          </cell>
          <cell r="AL431">
            <v>1.6666666666666665</v>
          </cell>
        </row>
        <row r="432">
          <cell r="F432">
            <v>1</v>
          </cell>
          <cell r="G432">
            <v>1</v>
          </cell>
          <cell r="P432">
            <v>0</v>
          </cell>
          <cell r="X432">
            <v>0</v>
          </cell>
          <cell r="Y432">
            <v>0</v>
          </cell>
          <cell r="AC432">
            <v>0</v>
          </cell>
          <cell r="AD432">
            <v>0</v>
          </cell>
          <cell r="AI432">
            <v>1</v>
          </cell>
          <cell r="AJ432">
            <v>1</v>
          </cell>
          <cell r="AK432">
            <v>3.6666666666666665</v>
          </cell>
          <cell r="AL432">
            <v>1.6666666666666665</v>
          </cell>
        </row>
        <row r="433">
          <cell r="F433">
            <v>0</v>
          </cell>
          <cell r="G433">
            <v>0</v>
          </cell>
          <cell r="P433">
            <v>0</v>
          </cell>
          <cell r="X433">
            <v>0</v>
          </cell>
          <cell r="Y433">
            <v>0</v>
          </cell>
          <cell r="AC433">
            <v>0</v>
          </cell>
          <cell r="AD433">
            <v>0</v>
          </cell>
          <cell r="AI433">
            <v>0</v>
          </cell>
          <cell r="AJ433">
            <v>0</v>
          </cell>
          <cell r="AK433">
            <v>33</v>
          </cell>
          <cell r="AL433">
            <v>19.666666666666668</v>
          </cell>
        </row>
        <row r="434">
          <cell r="F434">
            <v>0</v>
          </cell>
          <cell r="G434">
            <v>0</v>
          </cell>
          <cell r="P434">
            <v>0</v>
          </cell>
          <cell r="X434">
            <v>0</v>
          </cell>
          <cell r="Y434">
            <v>0</v>
          </cell>
          <cell r="AC434">
            <v>0</v>
          </cell>
          <cell r="AD434">
            <v>0</v>
          </cell>
          <cell r="AI434">
            <v>0</v>
          </cell>
          <cell r="AJ434">
            <v>0</v>
          </cell>
          <cell r="AK434">
            <v>0</v>
          </cell>
          <cell r="AL434">
            <v>0</v>
          </cell>
        </row>
        <row r="435">
          <cell r="F435">
            <v>2.6666666666666665</v>
          </cell>
          <cell r="G435">
            <v>2</v>
          </cell>
          <cell r="P435">
            <v>1</v>
          </cell>
          <cell r="X435">
            <v>4</v>
          </cell>
          <cell r="Y435">
            <v>3</v>
          </cell>
          <cell r="AC435">
            <v>2</v>
          </cell>
          <cell r="AD435">
            <v>1</v>
          </cell>
          <cell r="AI435">
            <v>15.666666666666666</v>
          </cell>
          <cell r="AJ435">
            <v>10</v>
          </cell>
          <cell r="AK435">
            <v>0</v>
          </cell>
          <cell r="AL435">
            <v>53</v>
          </cell>
        </row>
        <row r="436">
          <cell r="F436">
            <v>0</v>
          </cell>
          <cell r="G436">
            <v>0</v>
          </cell>
          <cell r="P436">
            <v>0</v>
          </cell>
          <cell r="X436">
            <v>0</v>
          </cell>
          <cell r="Y436">
            <v>0</v>
          </cell>
          <cell r="AC436">
            <v>0</v>
          </cell>
          <cell r="AD436">
            <v>0</v>
          </cell>
          <cell r="AI436">
            <v>0</v>
          </cell>
          <cell r="AJ436">
            <v>0</v>
          </cell>
          <cell r="AK436">
            <v>1</v>
          </cell>
          <cell r="AL436">
            <v>1</v>
          </cell>
        </row>
        <row r="437">
          <cell r="F437">
            <v>0</v>
          </cell>
          <cell r="G437">
            <v>0</v>
          </cell>
          <cell r="P437">
            <v>0</v>
          </cell>
          <cell r="X437">
            <v>3.3333333333333335</v>
          </cell>
          <cell r="Y437">
            <v>2</v>
          </cell>
          <cell r="AC437">
            <v>0</v>
          </cell>
          <cell r="AD437">
            <v>0</v>
          </cell>
          <cell r="AI437">
            <v>3.3333333333333335</v>
          </cell>
          <cell r="AJ437">
            <v>2</v>
          </cell>
          <cell r="AK437">
            <v>0</v>
          </cell>
          <cell r="AL437">
            <v>0</v>
          </cell>
        </row>
        <row r="438">
          <cell r="F438">
            <v>0.33333333333333331</v>
          </cell>
          <cell r="G438">
            <v>0</v>
          </cell>
          <cell r="P438">
            <v>0.33333333333333331</v>
          </cell>
          <cell r="X438">
            <v>0.33333333333333331</v>
          </cell>
          <cell r="Y438">
            <v>0</v>
          </cell>
          <cell r="AC438">
            <v>0.33333333333333331</v>
          </cell>
          <cell r="AD438">
            <v>0</v>
          </cell>
          <cell r="AI438">
            <v>1.9999999999999998</v>
          </cell>
          <cell r="AJ438">
            <v>0.33333333333333331</v>
          </cell>
          <cell r="AK438">
            <v>0</v>
          </cell>
          <cell r="AL438">
            <v>0</v>
          </cell>
        </row>
        <row r="439">
          <cell r="F439">
            <v>0</v>
          </cell>
          <cell r="G439">
            <v>0</v>
          </cell>
          <cell r="P439">
            <v>0</v>
          </cell>
          <cell r="X439">
            <v>0</v>
          </cell>
          <cell r="Y439">
            <v>0</v>
          </cell>
          <cell r="AC439">
            <v>0</v>
          </cell>
          <cell r="AD439">
            <v>0</v>
          </cell>
          <cell r="AI439">
            <v>0</v>
          </cell>
          <cell r="AJ439">
            <v>0</v>
          </cell>
          <cell r="AK439">
            <v>15.666666666666666</v>
          </cell>
          <cell r="AL439">
            <v>8</v>
          </cell>
        </row>
        <row r="440">
          <cell r="F440">
            <v>0</v>
          </cell>
          <cell r="G440">
            <v>0</v>
          </cell>
          <cell r="P440">
            <v>0</v>
          </cell>
          <cell r="X440">
            <v>0</v>
          </cell>
          <cell r="Y440">
            <v>0</v>
          </cell>
          <cell r="AC440">
            <v>0</v>
          </cell>
          <cell r="AD440">
            <v>0</v>
          </cell>
          <cell r="AI440">
            <v>0</v>
          </cell>
          <cell r="AJ440">
            <v>0</v>
          </cell>
          <cell r="AK440">
            <v>0</v>
          </cell>
          <cell r="AL440">
            <v>0</v>
          </cell>
        </row>
        <row r="441">
          <cell r="F441">
            <v>0</v>
          </cell>
          <cell r="G441">
            <v>0</v>
          </cell>
          <cell r="P441">
            <v>0</v>
          </cell>
          <cell r="X441">
            <v>0</v>
          </cell>
          <cell r="Y441">
            <v>0</v>
          </cell>
          <cell r="AC441">
            <v>0</v>
          </cell>
          <cell r="AD441">
            <v>0</v>
          </cell>
          <cell r="AI441">
            <v>0</v>
          </cell>
          <cell r="AJ441">
            <v>0</v>
          </cell>
          <cell r="AK441">
            <v>3.3333333333333335</v>
          </cell>
          <cell r="AL441">
            <v>2</v>
          </cell>
        </row>
        <row r="442">
          <cell r="F442">
            <v>0</v>
          </cell>
          <cell r="G442">
            <v>0</v>
          </cell>
          <cell r="P442">
            <v>0</v>
          </cell>
          <cell r="X442">
            <v>0</v>
          </cell>
          <cell r="Y442">
            <v>0</v>
          </cell>
          <cell r="AC442">
            <v>0</v>
          </cell>
          <cell r="AD442">
            <v>0</v>
          </cell>
          <cell r="AI442">
            <v>0</v>
          </cell>
          <cell r="AJ442">
            <v>0</v>
          </cell>
          <cell r="AK442">
            <v>1.9999999999999998</v>
          </cell>
          <cell r="AL442">
            <v>0.33333333333333331</v>
          </cell>
        </row>
        <row r="443">
          <cell r="F443">
            <v>0</v>
          </cell>
          <cell r="G443">
            <v>0</v>
          </cell>
          <cell r="P443">
            <v>0</v>
          </cell>
          <cell r="X443">
            <v>0</v>
          </cell>
          <cell r="Y443">
            <v>0</v>
          </cell>
          <cell r="AC443">
            <v>0</v>
          </cell>
          <cell r="AD443">
            <v>0</v>
          </cell>
          <cell r="AI443">
            <v>0</v>
          </cell>
          <cell r="AJ443">
            <v>0</v>
          </cell>
          <cell r="AK443">
            <v>0</v>
          </cell>
          <cell r="AL443">
            <v>0</v>
          </cell>
        </row>
        <row r="444">
          <cell r="F444">
            <v>0</v>
          </cell>
          <cell r="G444">
            <v>0</v>
          </cell>
          <cell r="P444">
            <v>0</v>
          </cell>
          <cell r="X444">
            <v>0</v>
          </cell>
          <cell r="Y444">
            <v>0</v>
          </cell>
          <cell r="AC444">
            <v>0</v>
          </cell>
          <cell r="AD444">
            <v>0</v>
          </cell>
          <cell r="AI444">
            <v>0</v>
          </cell>
          <cell r="AJ444">
            <v>0</v>
          </cell>
          <cell r="AK444">
            <v>0</v>
          </cell>
          <cell r="AL444">
            <v>0</v>
          </cell>
        </row>
        <row r="445">
          <cell r="F445">
            <v>0</v>
          </cell>
          <cell r="G445">
            <v>0</v>
          </cell>
          <cell r="P445">
            <v>0</v>
          </cell>
          <cell r="X445">
            <v>0</v>
          </cell>
          <cell r="Y445">
            <v>0</v>
          </cell>
          <cell r="AC445">
            <v>0</v>
          </cell>
          <cell r="AD445">
            <v>0</v>
          </cell>
          <cell r="AI445">
            <v>0</v>
          </cell>
          <cell r="AJ445">
            <v>2</v>
          </cell>
          <cell r="AK445">
            <v>0</v>
          </cell>
          <cell r="AL445">
            <v>0</v>
          </cell>
        </row>
        <row r="446">
          <cell r="F446">
            <v>0</v>
          </cell>
          <cell r="G446">
            <v>0</v>
          </cell>
          <cell r="P446">
            <v>0</v>
          </cell>
          <cell r="X446">
            <v>0</v>
          </cell>
          <cell r="Y446">
            <v>0</v>
          </cell>
          <cell r="AC446">
            <v>0</v>
          </cell>
          <cell r="AD446">
            <v>0</v>
          </cell>
          <cell r="AI446">
            <v>0</v>
          </cell>
          <cell r="AJ446">
            <v>0</v>
          </cell>
          <cell r="AK446">
            <v>0</v>
          </cell>
          <cell r="AL446">
            <v>0</v>
          </cell>
        </row>
        <row r="447">
          <cell r="F447">
            <v>0</v>
          </cell>
          <cell r="G447">
            <v>0</v>
          </cell>
          <cell r="P447">
            <v>0</v>
          </cell>
          <cell r="X447">
            <v>0</v>
          </cell>
          <cell r="Y447">
            <v>0</v>
          </cell>
          <cell r="AC447">
            <v>0</v>
          </cell>
          <cell r="AD447">
            <v>0</v>
          </cell>
          <cell r="AK447">
            <v>0</v>
          </cell>
          <cell r="AL447">
            <v>0</v>
          </cell>
        </row>
        <row r="448">
          <cell r="F448">
            <v>0</v>
          </cell>
          <cell r="G448">
            <v>0</v>
          </cell>
          <cell r="P448">
            <v>0</v>
          </cell>
          <cell r="X448">
            <v>0</v>
          </cell>
          <cell r="Y448">
            <v>0</v>
          </cell>
          <cell r="AC448">
            <v>0</v>
          </cell>
          <cell r="AD448">
            <v>0</v>
          </cell>
          <cell r="AK448">
            <v>0</v>
          </cell>
          <cell r="AL448">
            <v>0</v>
          </cell>
        </row>
        <row r="449">
          <cell r="G449">
            <v>0</v>
          </cell>
          <cell r="P449">
            <v>0</v>
          </cell>
          <cell r="X449">
            <v>0</v>
          </cell>
          <cell r="Y449">
            <v>0</v>
          </cell>
          <cell r="AC449">
            <v>0</v>
          </cell>
          <cell r="AD449">
            <v>0</v>
          </cell>
          <cell r="AK449">
            <v>0</v>
          </cell>
          <cell r="AL449">
            <v>2</v>
          </cell>
        </row>
        <row r="450">
          <cell r="P450">
            <v>0</v>
          </cell>
          <cell r="X450">
            <v>0</v>
          </cell>
          <cell r="Y450">
            <v>0</v>
          </cell>
          <cell r="AC450">
            <v>0</v>
          </cell>
          <cell r="AD450">
            <v>0</v>
          </cell>
          <cell r="AK450">
            <v>0</v>
          </cell>
          <cell r="AL450">
            <v>0</v>
          </cell>
        </row>
      </sheetData>
      <sheetData sheetId="19" refreshError="1">
        <row r="1">
          <cell r="AE1" t="str">
            <v>'9 міс.'!</v>
          </cell>
        </row>
        <row r="8">
          <cell r="S8" t="str">
            <v>ЗАТВЕРДЖУЮ</v>
          </cell>
        </row>
        <row r="22">
          <cell r="U22" t="str">
            <v>ЗАТВЕРДЖУЮ</v>
          </cell>
        </row>
        <row r="25">
          <cell r="F25">
            <v>3472</v>
          </cell>
          <cell r="G25">
            <v>949</v>
          </cell>
          <cell r="H25">
            <v>2523</v>
          </cell>
          <cell r="P25">
            <v>478.66666666666669</v>
          </cell>
          <cell r="Q25">
            <v>0</v>
          </cell>
          <cell r="R25">
            <v>0</v>
          </cell>
          <cell r="S25">
            <v>4090.333333333333</v>
          </cell>
          <cell r="T25">
            <v>3373.48</v>
          </cell>
          <cell r="U25">
            <v>716.85333333333324</v>
          </cell>
          <cell r="V25">
            <v>0</v>
          </cell>
          <cell r="W25">
            <v>0</v>
          </cell>
          <cell r="X25">
            <v>1181.3333333333333</v>
          </cell>
          <cell r="Y25">
            <v>631</v>
          </cell>
          <cell r="Z25">
            <v>550.33333333333326</v>
          </cell>
          <cell r="AA25">
            <v>0</v>
          </cell>
          <cell r="AB25">
            <v>0</v>
          </cell>
          <cell r="AC25">
            <v>567.66666666666663</v>
          </cell>
          <cell r="AD25">
            <v>230</v>
          </cell>
          <cell r="AE25">
            <v>337.66666666666663</v>
          </cell>
          <cell r="AF25">
            <v>1866.3333333333333</v>
          </cell>
          <cell r="AG25">
            <v>1056.4000000000001</v>
          </cell>
          <cell r="AH25">
            <v>809.93333333333328</v>
          </cell>
          <cell r="AJ25">
            <v>0</v>
          </cell>
          <cell r="AK25">
            <v>11678.4</v>
          </cell>
          <cell r="AL25">
            <v>2889.666666666667</v>
          </cell>
          <cell r="AM25">
            <v>8788.7333333333336</v>
          </cell>
          <cell r="AN25">
            <v>8788.7333333333336</v>
          </cell>
          <cell r="AO25">
            <v>861</v>
          </cell>
          <cell r="AP25">
            <v>2279</v>
          </cell>
          <cell r="AQ25">
            <v>2028.6666666666665</v>
          </cell>
          <cell r="AR25">
            <v>6509.7333333333336</v>
          </cell>
        </row>
        <row r="27">
          <cell r="U27" t="str">
            <v>ГЕНЕРАЛЬНИЙ ДИРЕКТОР -</v>
          </cell>
        </row>
        <row r="28">
          <cell r="U28" t="str">
            <v>ГОЛОВА ПРАВЛІННЯ КЕ</v>
          </cell>
          <cell r="X28" t="str">
            <v>ВЕРЕСЕНЬ очІк.</v>
          </cell>
          <cell r="Y28" t="str">
            <v>8 мес звіт</v>
          </cell>
          <cell r="Z28" t="str">
            <v>9 мес.очІк.</v>
          </cell>
          <cell r="AA28" t="str">
            <v>4 кв. план</v>
          </cell>
          <cell r="AB28" t="str">
            <v>1998 рік очІк.</v>
          </cell>
        </row>
        <row r="30">
          <cell r="U30" t="str">
            <v>ЗАТВЕРДЖУЮ</v>
          </cell>
        </row>
        <row r="31">
          <cell r="S31" t="str">
            <v>ЗАТВЕРДЖУЮ</v>
          </cell>
        </row>
        <row r="32">
          <cell r="Q32" t="str">
            <v>КТМ</v>
          </cell>
          <cell r="S32" t="str">
            <v>ГОЛОВА ПРАЛІННЯ  КЕ</v>
          </cell>
          <cell r="V32" t="str">
            <v xml:space="preserve">ТЕЦ-5 </v>
          </cell>
          <cell r="AA32" t="str">
            <v xml:space="preserve">ТЕЦ-6 </v>
          </cell>
        </row>
        <row r="33">
          <cell r="P33">
            <v>25148</v>
          </cell>
          <cell r="AC33">
            <v>14429</v>
          </cell>
          <cell r="AF33">
            <v>31349</v>
          </cell>
        </row>
        <row r="34">
          <cell r="F34" t="str">
            <v>ВИКОН.ДИР.</v>
          </cell>
          <cell r="G34" t="str">
            <v>Е/Е</v>
          </cell>
          <cell r="H34" t="str">
            <v xml:space="preserve"> Т/Е</v>
          </cell>
          <cell r="P34" t="str">
            <v xml:space="preserve">КМ </v>
          </cell>
          <cell r="Q34" t="str">
            <v>КТМ</v>
          </cell>
          <cell r="S34" t="str">
            <v xml:space="preserve">ТМ </v>
          </cell>
          <cell r="T34" t="str">
            <v>ВИРОБН</v>
          </cell>
          <cell r="U34" t="str">
            <v>ПЕРЕД</v>
          </cell>
          <cell r="V34" t="str">
            <v xml:space="preserve">ТЕЦ-5 </v>
          </cell>
          <cell r="X34" t="str">
            <v>ТЕЦ-5 ВСЬОГО</v>
          </cell>
          <cell r="Y34" t="str">
            <v>Е/Е</v>
          </cell>
          <cell r="Z34" t="str">
            <v xml:space="preserve"> Т/Е</v>
          </cell>
          <cell r="AA34" t="str">
            <v xml:space="preserve">ТЕЦ-6 </v>
          </cell>
          <cell r="AC34" t="str">
            <v>ТЕЦ-6 ВСЬОГО</v>
          </cell>
          <cell r="AD34" t="str">
            <v>Е/Е</v>
          </cell>
          <cell r="AE34" t="str">
            <v xml:space="preserve"> Т/Е</v>
          </cell>
          <cell r="AF34" t="str">
            <v>ТРМ ВСЬОГО</v>
          </cell>
          <cell r="AG34" t="str">
            <v>ТРМ  АК КЕ</v>
          </cell>
          <cell r="AH34" t="str">
            <v>ТРМ СТОР</v>
          </cell>
          <cell r="AJ34" t="str">
            <v>ДОП.ВИР. СТ.ОРГ.</v>
          </cell>
          <cell r="AK34" t="str">
            <v>АК КЕ ВСЬОГО</v>
          </cell>
          <cell r="AL34" t="str">
            <v xml:space="preserve"> Е/Е</v>
          </cell>
          <cell r="AM34" t="str">
            <v xml:space="preserve"> Т/Е</v>
          </cell>
          <cell r="AO34" t="str">
            <v>СТАНЦІї ЕЛЕКТРО</v>
          </cell>
          <cell r="AP34" t="str">
            <v>СТАНЦІІ ТЕПЛОВІ</v>
          </cell>
          <cell r="AQ34" t="str">
            <v>МЕРЕЖІ ЕЛЕКТРО</v>
          </cell>
          <cell r="AR34" t="str">
            <v>МЕРЕЖІ ТЕПЛОВІ</v>
          </cell>
        </row>
        <row r="35">
          <cell r="S35" t="str">
            <v xml:space="preserve">                   ПЛАЧКОВ І.В.</v>
          </cell>
          <cell r="T35" t="str">
            <v>І.В.ПЛАЧКОВ</v>
          </cell>
          <cell r="AL35">
            <v>395</v>
          </cell>
        </row>
        <row r="36">
          <cell r="F36" t="str">
            <v>ВИКОН.ДИР.</v>
          </cell>
          <cell r="G36" t="str">
            <v>Е/Е</v>
          </cell>
          <cell r="H36" t="str">
            <v xml:space="preserve"> Т/Е</v>
          </cell>
          <cell r="P36" t="str">
            <v xml:space="preserve">КМ </v>
          </cell>
          <cell r="S36" t="str">
            <v xml:space="preserve">ТМ </v>
          </cell>
          <cell r="T36" t="str">
            <v>ВИРОБН</v>
          </cell>
          <cell r="U36" t="str">
            <v>ПЕРЕД</v>
          </cell>
          <cell r="X36" t="str">
            <v>ТЕЦ-5 ВСЬОГО</v>
          </cell>
          <cell r="Y36" t="str">
            <v>Е/Е</v>
          </cell>
          <cell r="Z36" t="str">
            <v xml:space="preserve"> Т/Е</v>
          </cell>
          <cell r="AC36" t="str">
            <v>ТЕЦ-6 ВСЬОГО</v>
          </cell>
          <cell r="AD36" t="str">
            <v>Е/Е</v>
          </cell>
          <cell r="AE36" t="str">
            <v xml:space="preserve"> Т/Е</v>
          </cell>
          <cell r="AF36" t="str">
            <v>ТРМ ВСЬОГО</v>
          </cell>
          <cell r="AG36" t="str">
            <v>ТРМ  АК КЕ</v>
          </cell>
          <cell r="AH36" t="str">
            <v>ТРМ СТОР</v>
          </cell>
          <cell r="AI36" t="str">
            <v>АК КЕ ВСЬОГО</v>
          </cell>
          <cell r="AJ36" t="str">
            <v xml:space="preserve"> Е/Е</v>
          </cell>
          <cell r="AK36" t="str">
            <v xml:space="preserve"> Т/Е</v>
          </cell>
          <cell r="AL36">
            <v>336</v>
          </cell>
          <cell r="AM36" t="str">
            <v>СТАНЦІї ЕЛЕКТРО</v>
          </cell>
          <cell r="AN36" t="str">
            <v>СТАНЦІІ ТЕПЛОВІ</v>
          </cell>
          <cell r="AO36" t="str">
            <v>МЕРЕЖІ ЕЛЕКТРО</v>
          </cell>
          <cell r="AP36" t="str">
            <v>МЕРЕЖІ ТЕПЛОВІ</v>
          </cell>
        </row>
        <row r="37">
          <cell r="U37" t="str">
            <v xml:space="preserve">                      ПЛАЧКОВ І.В.</v>
          </cell>
          <cell r="AJ37">
            <v>395</v>
          </cell>
          <cell r="AL37">
            <v>0</v>
          </cell>
        </row>
        <row r="38">
          <cell r="P38" t="str">
            <v>ТЕЦ-6 ВСЬОГО</v>
          </cell>
          <cell r="Q38" t="str">
            <v>Е/Е</v>
          </cell>
          <cell r="R38" t="str">
            <v xml:space="preserve"> Т/Е</v>
          </cell>
          <cell r="S38" t="str">
            <v xml:space="preserve">ДОП.ВИР. </v>
          </cell>
          <cell r="T38" t="str">
            <v>ДОП.ВИР. СТ.ОРГ.</v>
          </cell>
          <cell r="U38" t="str">
            <v>АК КЕ ВСЬОГО</v>
          </cell>
          <cell r="V38" t="str">
            <v>Е/Е</v>
          </cell>
          <cell r="W38" t="str">
            <v xml:space="preserve"> Т/Е</v>
          </cell>
          <cell r="X38" t="str">
            <v xml:space="preserve"> Т/Е</v>
          </cell>
          <cell r="Y38" t="str">
            <v xml:space="preserve"> Т/Е</v>
          </cell>
          <cell r="Z38" t="str">
            <v xml:space="preserve"> Т/Е</v>
          </cell>
          <cell r="AB38" t="str">
            <v xml:space="preserve"> Т/Е</v>
          </cell>
          <cell r="AC38" t="str">
            <v>СТАНЦІї ЕЛЕКТРО</v>
          </cell>
          <cell r="AD38" t="str">
            <v>СТАНЦІІ ТЕПЛОВІ</v>
          </cell>
          <cell r="AE38" t="str">
            <v>МЕРЕЖІ ЕЛЕКТРО</v>
          </cell>
          <cell r="AF38" t="str">
            <v>МЕРЕЖІ ТЕПЛОВІ</v>
          </cell>
          <cell r="AJ38">
            <v>336</v>
          </cell>
        </row>
        <row r="39">
          <cell r="Q39">
            <v>160</v>
          </cell>
          <cell r="V39">
            <v>380</v>
          </cell>
          <cell r="AJ39">
            <v>0</v>
          </cell>
          <cell r="AL39">
            <v>0</v>
          </cell>
        </row>
        <row r="40">
          <cell r="Q40">
            <v>145</v>
          </cell>
          <cell r="V40">
            <v>347.3</v>
          </cell>
          <cell r="AL40">
            <v>0</v>
          </cell>
        </row>
        <row r="41">
          <cell r="V41">
            <v>0</v>
          </cell>
          <cell r="AJ41">
            <v>0</v>
          </cell>
          <cell r="AL41">
            <v>395.6</v>
          </cell>
        </row>
        <row r="42">
          <cell r="P42">
            <v>0</v>
          </cell>
          <cell r="V42">
            <v>33</v>
          </cell>
          <cell r="AJ42">
            <v>0</v>
          </cell>
          <cell r="AL42">
            <v>395.6</v>
          </cell>
        </row>
        <row r="43">
          <cell r="V43">
            <v>0</v>
          </cell>
          <cell r="AJ43">
            <v>395.6</v>
          </cell>
          <cell r="AM43">
            <v>1580</v>
          </cell>
        </row>
        <row r="44">
          <cell r="P44">
            <v>0</v>
          </cell>
          <cell r="V44">
            <v>0</v>
          </cell>
          <cell r="AJ44">
            <v>395.6</v>
          </cell>
          <cell r="AM44">
            <v>0</v>
          </cell>
        </row>
        <row r="45">
          <cell r="V45">
            <v>350</v>
          </cell>
          <cell r="AK45">
            <v>1580</v>
          </cell>
          <cell r="AM45">
            <v>1580</v>
          </cell>
        </row>
        <row r="46">
          <cell r="F46">
            <v>8678</v>
          </cell>
          <cell r="P46">
            <v>5528.9166666666661</v>
          </cell>
          <cell r="S46">
            <v>11148.516969696972</v>
          </cell>
          <cell r="T46">
            <v>4612.7199818181807</v>
          </cell>
          <cell r="U46">
            <v>3068.7969878787876</v>
          </cell>
          <cell r="V46">
            <v>350</v>
          </cell>
          <cell r="X46">
            <v>3572.9196969697005</v>
          </cell>
          <cell r="AC46">
            <v>1815.6175757575729</v>
          </cell>
          <cell r="AF46">
            <v>5288.3842424242421</v>
          </cell>
          <cell r="AG46">
            <v>4487.3999999999996</v>
          </cell>
          <cell r="AH46">
            <v>801.98424242424232</v>
          </cell>
          <cell r="AK46">
            <v>0</v>
          </cell>
        </row>
        <row r="47">
          <cell r="F47">
            <v>0.8</v>
          </cell>
          <cell r="R47">
            <v>145</v>
          </cell>
          <cell r="W47">
            <v>385</v>
          </cell>
          <cell r="AK47">
            <v>1580</v>
          </cell>
        </row>
        <row r="48">
          <cell r="F48">
            <v>15953.197</v>
          </cell>
          <cell r="P48">
            <v>3631.1559999999999</v>
          </cell>
          <cell r="S48">
            <v>9526.8578787878778</v>
          </cell>
          <cell r="T48">
            <v>2010.6708606060602</v>
          </cell>
          <cell r="U48">
            <v>2621.0370181818184</v>
          </cell>
          <cell r="W48">
            <v>0</v>
          </cell>
          <cell r="X48">
            <v>2672.4863636363625</v>
          </cell>
          <cell r="AC48">
            <v>1389.1963636363635</v>
          </cell>
          <cell r="AF48">
            <v>4185.9539393939394</v>
          </cell>
          <cell r="AG48">
            <v>3391.2</v>
          </cell>
          <cell r="AH48">
            <v>794.7539393939395</v>
          </cell>
        </row>
        <row r="49">
          <cell r="F49">
            <v>726</v>
          </cell>
          <cell r="G49">
            <v>201</v>
          </cell>
          <cell r="H49">
            <v>525</v>
          </cell>
          <cell r="P49">
            <v>273</v>
          </cell>
          <cell r="R49">
            <v>145</v>
          </cell>
          <cell r="S49">
            <v>890</v>
          </cell>
          <cell r="T49">
            <v>445</v>
          </cell>
          <cell r="U49">
            <v>445</v>
          </cell>
          <cell r="W49">
            <v>285</v>
          </cell>
          <cell r="X49">
            <v>274.66666666666663</v>
          </cell>
          <cell r="Y49">
            <v>147</v>
          </cell>
          <cell r="Z49">
            <v>127.66666666666663</v>
          </cell>
          <cell r="AC49">
            <v>264</v>
          </cell>
          <cell r="AD49">
            <v>107</v>
          </cell>
          <cell r="AE49">
            <v>157</v>
          </cell>
          <cell r="AF49">
            <v>536</v>
          </cell>
          <cell r="AG49">
            <v>493</v>
          </cell>
          <cell r="AH49">
            <v>43</v>
          </cell>
          <cell r="AK49">
            <v>3111.6666666666665</v>
          </cell>
          <cell r="AL49">
            <v>899</v>
          </cell>
          <cell r="AM49">
            <v>2212.6666666666665</v>
          </cell>
          <cell r="AN49">
            <v>2212.6666666666665</v>
          </cell>
          <cell r="AO49">
            <v>254</v>
          </cell>
          <cell r="AP49">
            <v>587</v>
          </cell>
          <cell r="AQ49">
            <v>645</v>
          </cell>
          <cell r="AR49">
            <v>1625.6666666666665</v>
          </cell>
        </row>
        <row r="50">
          <cell r="F50">
            <v>159</v>
          </cell>
          <cell r="G50">
            <v>44</v>
          </cell>
          <cell r="H50">
            <v>115</v>
          </cell>
          <cell r="P50">
            <v>260</v>
          </cell>
          <cell r="S50">
            <v>650</v>
          </cell>
          <cell r="X50">
            <v>132</v>
          </cell>
          <cell r="Y50">
            <v>70</v>
          </cell>
          <cell r="Z50">
            <v>62</v>
          </cell>
          <cell r="AC50">
            <v>105</v>
          </cell>
          <cell r="AD50">
            <v>42</v>
          </cell>
          <cell r="AE50">
            <v>63</v>
          </cell>
          <cell r="AF50">
            <v>520</v>
          </cell>
          <cell r="AG50">
            <v>482</v>
          </cell>
          <cell r="AH50">
            <v>38</v>
          </cell>
          <cell r="AK50">
            <v>1822</v>
          </cell>
          <cell r="AL50">
            <v>447</v>
          </cell>
          <cell r="AM50">
            <v>1375</v>
          </cell>
          <cell r="AN50">
            <v>1392</v>
          </cell>
        </row>
        <row r="51">
          <cell r="F51">
            <v>712</v>
          </cell>
          <cell r="G51">
            <v>0</v>
          </cell>
          <cell r="H51">
            <v>433</v>
          </cell>
          <cell r="P51">
            <v>0</v>
          </cell>
          <cell r="Q51">
            <v>144</v>
          </cell>
          <cell r="R51">
            <v>80</v>
          </cell>
          <cell r="S51">
            <v>760.26666666666688</v>
          </cell>
          <cell r="T51">
            <v>380.13333333333344</v>
          </cell>
          <cell r="U51">
            <v>380.13333333333344</v>
          </cell>
          <cell r="V51">
            <v>433</v>
          </cell>
          <cell r="W51">
            <v>613.33333333333348</v>
          </cell>
          <cell r="X51">
            <v>20</v>
          </cell>
          <cell r="Y51">
            <v>11</v>
          </cell>
          <cell r="Z51">
            <v>9</v>
          </cell>
          <cell r="AA51">
            <v>2319</v>
          </cell>
          <cell r="AB51">
            <v>7435.3333333333339</v>
          </cell>
          <cell r="AC51">
            <v>0</v>
          </cell>
          <cell r="AD51">
            <v>0</v>
          </cell>
          <cell r="AE51">
            <v>0</v>
          </cell>
          <cell r="AF51">
            <v>398.13333333333344</v>
          </cell>
          <cell r="AG51">
            <v>300</v>
          </cell>
          <cell r="AH51">
            <v>0</v>
          </cell>
          <cell r="AI51">
            <v>2554.3026666666669</v>
          </cell>
          <cell r="AJ51">
            <v>931.23599999999999</v>
          </cell>
          <cell r="AK51">
            <v>20</v>
          </cell>
          <cell r="AL51">
            <v>11</v>
          </cell>
          <cell r="AM51">
            <v>9</v>
          </cell>
          <cell r="AN51">
            <v>9</v>
          </cell>
          <cell r="AO51">
            <v>738.23599999999999</v>
          </cell>
          <cell r="AP51">
            <v>1257.0666666666671</v>
          </cell>
        </row>
        <row r="52">
          <cell r="F52">
            <v>565</v>
          </cell>
          <cell r="G52">
            <v>156</v>
          </cell>
          <cell r="H52">
            <v>409</v>
          </cell>
          <cell r="P52">
            <v>13</v>
          </cell>
          <cell r="Q52">
            <v>4</v>
          </cell>
          <cell r="R52">
            <v>2</v>
          </cell>
          <cell r="S52">
            <v>21</v>
          </cell>
          <cell r="U52">
            <v>331</v>
          </cell>
          <cell r="X52">
            <v>29</v>
          </cell>
          <cell r="Y52">
            <v>15</v>
          </cell>
          <cell r="Z52">
            <v>14</v>
          </cell>
          <cell r="AC52">
            <v>66</v>
          </cell>
          <cell r="AD52">
            <v>27</v>
          </cell>
          <cell r="AE52">
            <v>39</v>
          </cell>
          <cell r="AF52">
            <v>16</v>
          </cell>
          <cell r="AG52">
            <v>11</v>
          </cell>
          <cell r="AH52">
            <v>5</v>
          </cell>
          <cell r="AI52">
            <v>1279</v>
          </cell>
          <cell r="AJ52">
            <v>511</v>
          </cell>
          <cell r="AK52">
            <v>828</v>
          </cell>
          <cell r="AL52">
            <v>334</v>
          </cell>
          <cell r="AM52">
            <v>494</v>
          </cell>
          <cell r="AN52">
            <v>494</v>
          </cell>
        </row>
        <row r="53">
          <cell r="F53">
            <v>2</v>
          </cell>
          <cell r="G53">
            <v>1</v>
          </cell>
          <cell r="H53">
            <v>1</v>
          </cell>
          <cell r="P53">
            <v>41.333333333333336</v>
          </cell>
          <cell r="Q53">
            <v>32</v>
          </cell>
          <cell r="R53">
            <v>18</v>
          </cell>
          <cell r="S53">
            <v>587.66666666666663</v>
          </cell>
          <cell r="T53">
            <v>458.38</v>
          </cell>
          <cell r="U53">
            <v>129.28666666666663</v>
          </cell>
          <cell r="X53">
            <v>818</v>
          </cell>
          <cell r="Y53">
            <v>437</v>
          </cell>
          <cell r="Z53">
            <v>381</v>
          </cell>
          <cell r="AC53">
            <v>234.33333333333331</v>
          </cell>
          <cell r="AD53">
            <v>95</v>
          </cell>
          <cell r="AE53">
            <v>139.33333333333331</v>
          </cell>
          <cell r="AF53">
            <v>179.33333333333334</v>
          </cell>
          <cell r="AG53">
            <v>110</v>
          </cell>
          <cell r="AH53">
            <v>69.333333333333343</v>
          </cell>
          <cell r="AI53">
            <v>4</v>
          </cell>
          <cell r="AJ53">
            <v>3</v>
          </cell>
          <cell r="AK53">
            <v>1793.3333333333333</v>
          </cell>
          <cell r="AL53">
            <v>574.33333333333326</v>
          </cell>
          <cell r="AM53">
            <v>1219</v>
          </cell>
          <cell r="AN53">
            <v>1219</v>
          </cell>
          <cell r="AO53">
            <v>532</v>
          </cell>
          <cell r="AP53">
            <v>720</v>
          </cell>
          <cell r="AQ53">
            <v>42.333333333333258</v>
          </cell>
          <cell r="AR53">
            <v>499</v>
          </cell>
        </row>
        <row r="54">
          <cell r="F54">
            <v>0</v>
          </cell>
          <cell r="G54">
            <v>0</v>
          </cell>
          <cell r="H54">
            <v>0</v>
          </cell>
          <cell r="P54">
            <v>4</v>
          </cell>
          <cell r="S54">
            <v>13.666666666666666</v>
          </cell>
          <cell r="T54">
            <v>13.666666666666666</v>
          </cell>
          <cell r="U54">
            <v>0</v>
          </cell>
          <cell r="X54">
            <v>647</v>
          </cell>
          <cell r="Y54">
            <v>345</v>
          </cell>
          <cell r="Z54">
            <v>302</v>
          </cell>
          <cell r="AC54">
            <v>13.333333333333334</v>
          </cell>
          <cell r="AD54">
            <v>5</v>
          </cell>
          <cell r="AE54">
            <v>8.3333333333333339</v>
          </cell>
          <cell r="AF54">
            <v>0.3</v>
          </cell>
          <cell r="AG54">
            <v>15</v>
          </cell>
          <cell r="AH54">
            <v>0.3</v>
          </cell>
          <cell r="AI54">
            <v>752</v>
          </cell>
          <cell r="AJ54">
            <v>362</v>
          </cell>
          <cell r="AK54">
            <v>674</v>
          </cell>
          <cell r="AL54">
            <v>350</v>
          </cell>
          <cell r="AM54">
            <v>324</v>
          </cell>
          <cell r="AN54">
            <v>324</v>
          </cell>
          <cell r="AO54">
            <v>350</v>
          </cell>
          <cell r="AP54">
            <v>315</v>
          </cell>
          <cell r="AQ54">
            <v>0</v>
          </cell>
          <cell r="AR54">
            <v>9</v>
          </cell>
        </row>
        <row r="55">
          <cell r="F55">
            <v>0</v>
          </cell>
          <cell r="G55">
            <v>0</v>
          </cell>
          <cell r="H55">
            <v>0</v>
          </cell>
          <cell r="P55">
            <v>40.800000000000004</v>
          </cell>
          <cell r="Q55">
            <v>58</v>
          </cell>
          <cell r="R55">
            <v>32</v>
          </cell>
          <cell r="S55">
            <v>10414</v>
          </cell>
          <cell r="T55">
            <v>10414</v>
          </cell>
          <cell r="U55">
            <v>0</v>
          </cell>
          <cell r="V55">
            <v>552</v>
          </cell>
          <cell r="W55">
            <v>532</v>
          </cell>
          <cell r="X55">
            <v>15982</v>
          </cell>
          <cell r="Y55">
            <v>9385</v>
          </cell>
          <cell r="Z55">
            <v>6597</v>
          </cell>
          <cell r="AA55">
            <v>2526</v>
          </cell>
          <cell r="AB55">
            <v>7785</v>
          </cell>
          <cell r="AC55">
            <v>15481</v>
          </cell>
          <cell r="AD55">
            <v>7344</v>
          </cell>
          <cell r="AE55">
            <v>8137</v>
          </cell>
          <cell r="AF55">
            <v>157.33333333333334</v>
          </cell>
          <cell r="AG55">
            <v>108</v>
          </cell>
          <cell r="AH55">
            <v>0</v>
          </cell>
          <cell r="AI55">
            <v>1268.4000000000001</v>
          </cell>
          <cell r="AJ55">
            <v>635.79999999999995</v>
          </cell>
          <cell r="AK55">
            <v>41877</v>
          </cell>
          <cell r="AL55">
            <v>16729</v>
          </cell>
          <cell r="AM55">
            <v>25148</v>
          </cell>
          <cell r="AN55">
            <v>25148</v>
          </cell>
          <cell r="AO55">
            <v>16729</v>
          </cell>
          <cell r="AP55">
            <v>25148</v>
          </cell>
          <cell r="AQ55">
            <v>0</v>
          </cell>
          <cell r="AR55">
            <v>0</v>
          </cell>
        </row>
        <row r="56">
          <cell r="F56">
            <v>0</v>
          </cell>
          <cell r="G56">
            <v>0</v>
          </cell>
          <cell r="H56">
            <v>0</v>
          </cell>
          <cell r="P56">
            <v>0</v>
          </cell>
          <cell r="Q56">
            <v>8</v>
          </cell>
          <cell r="R56">
            <v>4</v>
          </cell>
          <cell r="S56">
            <v>10414</v>
          </cell>
          <cell r="T56">
            <v>10414</v>
          </cell>
          <cell r="U56">
            <v>0</v>
          </cell>
          <cell r="V56">
            <v>410</v>
          </cell>
          <cell r="W56">
            <v>179</v>
          </cell>
          <cell r="X56">
            <v>15982</v>
          </cell>
          <cell r="Y56">
            <v>9385</v>
          </cell>
          <cell r="Z56">
            <v>6597</v>
          </cell>
          <cell r="AA56">
            <v>902</v>
          </cell>
          <cell r="AB56">
            <v>2722</v>
          </cell>
          <cell r="AC56">
            <v>15481</v>
          </cell>
          <cell r="AD56">
            <v>7344</v>
          </cell>
          <cell r="AE56">
            <v>8137</v>
          </cell>
          <cell r="AF56">
            <v>0</v>
          </cell>
          <cell r="AG56">
            <v>0</v>
          </cell>
          <cell r="AH56">
            <v>0</v>
          </cell>
          <cell r="AI56">
            <v>735.80000000000007</v>
          </cell>
          <cell r="AJ56">
            <v>509</v>
          </cell>
          <cell r="AK56">
            <v>41877</v>
          </cell>
          <cell r="AL56">
            <v>16729</v>
          </cell>
          <cell r="AM56">
            <v>25148</v>
          </cell>
          <cell r="AN56">
            <v>25148</v>
          </cell>
          <cell r="AO56">
            <v>16729</v>
          </cell>
          <cell r="AP56">
            <v>25148</v>
          </cell>
          <cell r="AQ56">
            <v>0</v>
          </cell>
          <cell r="AR56">
            <v>0</v>
          </cell>
        </row>
        <row r="57">
          <cell r="F57">
            <v>0</v>
          </cell>
          <cell r="G57">
            <v>0</v>
          </cell>
          <cell r="H57">
            <v>0</v>
          </cell>
          <cell r="P57">
            <v>8271</v>
          </cell>
          <cell r="Q57">
            <v>5299</v>
          </cell>
          <cell r="R57">
            <v>2972</v>
          </cell>
          <cell r="S57">
            <v>1598</v>
          </cell>
          <cell r="T57">
            <v>0</v>
          </cell>
          <cell r="U57">
            <v>0</v>
          </cell>
          <cell r="V57">
            <v>12874</v>
          </cell>
          <cell r="W57">
            <v>7771</v>
          </cell>
          <cell r="X57">
            <v>13610</v>
          </cell>
          <cell r="Y57">
            <v>9645</v>
          </cell>
          <cell r="Z57">
            <v>3965</v>
          </cell>
          <cell r="AA57">
            <v>146826</v>
          </cell>
          <cell r="AB57">
            <v>294840</v>
          </cell>
          <cell r="AC57">
            <v>11589</v>
          </cell>
          <cell r="AD57">
            <v>6072</v>
          </cell>
          <cell r="AE57">
            <v>5517</v>
          </cell>
          <cell r="AF57">
            <v>0</v>
          </cell>
          <cell r="AH57">
            <v>0</v>
          </cell>
          <cell r="AI57">
            <v>26797</v>
          </cell>
          <cell r="AJ57">
            <v>15717</v>
          </cell>
          <cell r="AK57">
            <v>0</v>
          </cell>
          <cell r="AL57">
            <v>0</v>
          </cell>
          <cell r="AM57">
            <v>0</v>
          </cell>
          <cell r="AN57">
            <v>0</v>
          </cell>
          <cell r="AO57">
            <v>0</v>
          </cell>
          <cell r="AP57">
            <v>0</v>
          </cell>
        </row>
        <row r="58">
          <cell r="F58">
            <v>5</v>
          </cell>
          <cell r="G58">
            <v>1</v>
          </cell>
          <cell r="H58">
            <v>4</v>
          </cell>
          <cell r="P58">
            <v>58.666666666666664</v>
          </cell>
          <cell r="Q58">
            <v>5299</v>
          </cell>
          <cell r="R58">
            <v>2972</v>
          </cell>
          <cell r="S58">
            <v>2370</v>
          </cell>
          <cell r="T58">
            <v>2370</v>
          </cell>
          <cell r="U58">
            <v>0</v>
          </cell>
          <cell r="V58">
            <v>12849</v>
          </cell>
          <cell r="W58">
            <v>7771</v>
          </cell>
          <cell r="X58">
            <v>0</v>
          </cell>
          <cell r="Y58">
            <v>0</v>
          </cell>
          <cell r="Z58">
            <v>0</v>
          </cell>
          <cell r="AA58">
            <v>146826</v>
          </cell>
          <cell r="AB58">
            <v>294840</v>
          </cell>
          <cell r="AC58">
            <v>0</v>
          </cell>
          <cell r="AD58">
            <v>0</v>
          </cell>
          <cell r="AE58">
            <v>0</v>
          </cell>
          <cell r="AF58">
            <v>900.66666666666663</v>
          </cell>
          <cell r="AG58">
            <v>270</v>
          </cell>
          <cell r="AH58">
            <v>630.66666666666663</v>
          </cell>
          <cell r="AI58">
            <v>26797</v>
          </cell>
          <cell r="AJ58">
            <v>15717</v>
          </cell>
          <cell r="AK58">
            <v>2703.6666666666665</v>
          </cell>
          <cell r="AL58">
            <v>59.666666666666664</v>
          </cell>
          <cell r="AM58">
            <v>2644</v>
          </cell>
          <cell r="AN58">
            <v>2644</v>
          </cell>
          <cell r="AO58">
            <v>0</v>
          </cell>
          <cell r="AP58">
            <v>806</v>
          </cell>
          <cell r="AQ58">
            <v>59.666666666666664</v>
          </cell>
          <cell r="AR58">
            <v>1838</v>
          </cell>
        </row>
        <row r="59">
          <cell r="F59">
            <v>427</v>
          </cell>
          <cell r="G59">
            <v>118</v>
          </cell>
          <cell r="H59">
            <v>309</v>
          </cell>
          <cell r="P59">
            <v>562.25</v>
          </cell>
          <cell r="Q59">
            <v>0</v>
          </cell>
          <cell r="R59">
            <v>0</v>
          </cell>
          <cell r="S59">
            <v>1035.1836363636362</v>
          </cell>
          <cell r="T59">
            <v>507.23998181818172</v>
          </cell>
          <cell r="U59">
            <v>527.94365454545448</v>
          </cell>
          <cell r="V59">
            <v>0</v>
          </cell>
          <cell r="W59">
            <v>0</v>
          </cell>
          <cell r="X59">
            <v>277.58636363636367</v>
          </cell>
          <cell r="Y59">
            <v>148</v>
          </cell>
          <cell r="Z59">
            <v>129.58636363636367</v>
          </cell>
          <cell r="AA59">
            <v>0</v>
          </cell>
          <cell r="AB59">
            <v>-20749</v>
          </cell>
          <cell r="AC59">
            <v>257.95090909090914</v>
          </cell>
          <cell r="AD59">
            <v>104</v>
          </cell>
          <cell r="AE59">
            <v>153.95090909090914</v>
          </cell>
          <cell r="AF59">
            <v>1165.050909090909</v>
          </cell>
          <cell r="AG59">
            <v>1165</v>
          </cell>
          <cell r="AH59">
            <v>5.0909090909044608E-2</v>
          </cell>
          <cell r="AI59">
            <v>0</v>
          </cell>
          <cell r="AJ59">
            <v>0</v>
          </cell>
          <cell r="AK59">
            <v>3987.9709090909091</v>
          </cell>
          <cell r="AL59">
            <v>1112.25</v>
          </cell>
          <cell r="AM59">
            <v>2875.7209090909091</v>
          </cell>
          <cell r="AN59">
            <v>2875.7209090909091</v>
          </cell>
          <cell r="AO59">
            <v>252</v>
          </cell>
          <cell r="AP59">
            <v>635</v>
          </cell>
          <cell r="AQ59">
            <v>860.25</v>
          </cell>
          <cell r="AR59">
            <v>2240.7209090909091</v>
          </cell>
        </row>
        <row r="60">
          <cell r="F60">
            <v>23</v>
          </cell>
          <cell r="G60">
            <v>6</v>
          </cell>
          <cell r="H60">
            <v>17</v>
          </cell>
          <cell r="P60">
            <v>31</v>
          </cell>
          <cell r="Q60">
            <v>0</v>
          </cell>
          <cell r="R60">
            <v>0</v>
          </cell>
          <cell r="S60">
            <v>57</v>
          </cell>
          <cell r="T60">
            <v>28</v>
          </cell>
          <cell r="U60">
            <v>29</v>
          </cell>
          <cell r="V60">
            <v>16</v>
          </cell>
          <cell r="W60">
            <v>350</v>
          </cell>
          <cell r="X60">
            <v>15</v>
          </cell>
          <cell r="Y60">
            <v>8</v>
          </cell>
          <cell r="Z60">
            <v>7</v>
          </cell>
          <cell r="AA60">
            <v>4344</v>
          </cell>
          <cell r="AB60">
            <v>11898</v>
          </cell>
          <cell r="AC60">
            <v>14</v>
          </cell>
          <cell r="AD60">
            <v>6</v>
          </cell>
          <cell r="AE60">
            <v>8</v>
          </cell>
          <cell r="AF60">
            <v>64</v>
          </cell>
          <cell r="AG60">
            <v>64</v>
          </cell>
          <cell r="AH60">
            <v>0</v>
          </cell>
          <cell r="AI60">
            <v>498.4</v>
          </cell>
          <cell r="AJ60">
            <v>11.200000000000001</v>
          </cell>
          <cell r="AK60">
            <v>219</v>
          </cell>
          <cell r="AL60">
            <v>61</v>
          </cell>
          <cell r="AM60">
            <v>158</v>
          </cell>
          <cell r="AN60">
            <v>158</v>
          </cell>
          <cell r="AO60">
            <v>14</v>
          </cell>
          <cell r="AP60">
            <v>26</v>
          </cell>
          <cell r="AQ60">
            <v>47</v>
          </cell>
          <cell r="AR60">
            <v>132</v>
          </cell>
        </row>
        <row r="61">
          <cell r="F61">
            <v>137</v>
          </cell>
          <cell r="G61">
            <v>38</v>
          </cell>
          <cell r="H61">
            <v>99</v>
          </cell>
          <cell r="P61">
            <v>180</v>
          </cell>
          <cell r="Q61">
            <v>40</v>
          </cell>
          <cell r="R61">
            <v>22.423728813559308</v>
          </cell>
          <cell r="S61">
            <v>331</v>
          </cell>
          <cell r="T61">
            <v>162</v>
          </cell>
          <cell r="U61">
            <v>169</v>
          </cell>
          <cell r="V61">
            <v>748.3098245614035</v>
          </cell>
          <cell r="W61">
            <v>618.1254831995243</v>
          </cell>
          <cell r="X61">
            <v>89</v>
          </cell>
          <cell r="Y61">
            <v>48</v>
          </cell>
          <cell r="Z61">
            <v>41</v>
          </cell>
          <cell r="AA61">
            <v>2580</v>
          </cell>
          <cell r="AB61">
            <v>8244.1254831995248</v>
          </cell>
          <cell r="AC61">
            <v>83</v>
          </cell>
          <cell r="AD61">
            <v>34</v>
          </cell>
          <cell r="AE61">
            <v>49</v>
          </cell>
          <cell r="AF61">
            <v>373</v>
          </cell>
          <cell r="AG61">
            <v>373</v>
          </cell>
          <cell r="AH61">
            <v>0</v>
          </cell>
          <cell r="AI61">
            <v>3532.6742727272731</v>
          </cell>
          <cell r="AJ61">
            <v>1273.3200000000002</v>
          </cell>
          <cell r="AK61">
            <v>1278</v>
          </cell>
          <cell r="AL61">
            <v>356</v>
          </cell>
          <cell r="AM61">
            <v>922</v>
          </cell>
          <cell r="AN61">
            <v>920</v>
          </cell>
          <cell r="AO61">
            <v>0</v>
          </cell>
          <cell r="AP61">
            <v>0</v>
          </cell>
          <cell r="AQ61">
            <v>0</v>
          </cell>
          <cell r="AR61">
            <v>0</v>
          </cell>
        </row>
        <row r="62">
          <cell r="F62">
            <v>0</v>
          </cell>
          <cell r="G62">
            <v>0</v>
          </cell>
          <cell r="H62">
            <v>13</v>
          </cell>
          <cell r="P62">
            <v>0</v>
          </cell>
          <cell r="Q62">
            <v>2</v>
          </cell>
          <cell r="R62">
            <v>1</v>
          </cell>
          <cell r="S62">
            <v>49</v>
          </cell>
          <cell r="T62">
            <v>24</v>
          </cell>
          <cell r="U62">
            <v>25</v>
          </cell>
          <cell r="V62">
            <v>41</v>
          </cell>
          <cell r="W62">
            <v>34</v>
          </cell>
          <cell r="X62">
            <v>0</v>
          </cell>
          <cell r="Y62">
            <v>11</v>
          </cell>
          <cell r="Z62">
            <v>5</v>
          </cell>
          <cell r="AA62">
            <v>143</v>
          </cell>
          <cell r="AB62">
            <v>460</v>
          </cell>
          <cell r="AC62">
            <v>15</v>
          </cell>
          <cell r="AD62">
            <v>8</v>
          </cell>
          <cell r="AE62">
            <v>7</v>
          </cell>
          <cell r="AF62">
            <v>57</v>
          </cell>
          <cell r="AG62">
            <v>45</v>
          </cell>
          <cell r="AH62">
            <v>0</v>
          </cell>
          <cell r="AI62">
            <v>194</v>
          </cell>
          <cell r="AJ62">
            <v>70</v>
          </cell>
          <cell r="AK62">
            <v>0</v>
          </cell>
          <cell r="AL62">
            <v>124</v>
          </cell>
          <cell r="AM62">
            <v>19</v>
          </cell>
          <cell r="AN62">
            <v>0</v>
          </cell>
          <cell r="AO62">
            <v>51</v>
          </cell>
          <cell r="AP62">
            <v>102</v>
          </cell>
        </row>
        <row r="63">
          <cell r="F63">
            <v>88</v>
          </cell>
          <cell r="G63">
            <v>24</v>
          </cell>
          <cell r="H63">
            <v>64</v>
          </cell>
          <cell r="P63">
            <v>470</v>
          </cell>
          <cell r="Q63">
            <v>13</v>
          </cell>
          <cell r="R63">
            <v>8</v>
          </cell>
          <cell r="S63">
            <v>1018</v>
          </cell>
          <cell r="T63">
            <v>162.88</v>
          </cell>
          <cell r="U63">
            <v>855.12</v>
          </cell>
          <cell r="V63">
            <v>240</v>
          </cell>
          <cell r="W63">
            <v>198</v>
          </cell>
          <cell r="X63">
            <v>569</v>
          </cell>
          <cell r="Y63">
            <v>304</v>
          </cell>
          <cell r="Z63">
            <v>265</v>
          </cell>
          <cell r="AA63">
            <v>825</v>
          </cell>
          <cell r="AB63">
            <v>2637</v>
          </cell>
          <cell r="AC63">
            <v>527</v>
          </cell>
          <cell r="AD63">
            <v>213</v>
          </cell>
          <cell r="AE63">
            <v>314</v>
          </cell>
          <cell r="AF63">
            <v>526</v>
          </cell>
          <cell r="AG63">
            <v>526</v>
          </cell>
          <cell r="AH63">
            <v>0</v>
          </cell>
          <cell r="AI63">
            <v>1131</v>
          </cell>
          <cell r="AJ63">
            <v>407</v>
          </cell>
          <cell r="AK63">
            <v>3222</v>
          </cell>
          <cell r="AL63">
            <v>1031</v>
          </cell>
          <cell r="AM63">
            <v>2191</v>
          </cell>
          <cell r="AN63">
            <v>2191</v>
          </cell>
          <cell r="AO63">
            <v>517</v>
          </cell>
          <cell r="AP63">
            <v>925</v>
          </cell>
          <cell r="AQ63">
            <v>514</v>
          </cell>
          <cell r="AR63">
            <v>1266</v>
          </cell>
        </row>
        <row r="64">
          <cell r="F64">
            <v>0</v>
          </cell>
          <cell r="G64">
            <v>0</v>
          </cell>
          <cell r="P64">
            <v>0</v>
          </cell>
          <cell r="Q64">
            <v>8</v>
          </cell>
          <cell r="R64">
            <v>4</v>
          </cell>
          <cell r="T64">
            <v>16</v>
          </cell>
          <cell r="U64">
            <v>86</v>
          </cell>
          <cell r="V64">
            <v>58</v>
          </cell>
          <cell r="W64">
            <v>48</v>
          </cell>
          <cell r="X64">
            <v>0</v>
          </cell>
          <cell r="Y64">
            <v>757</v>
          </cell>
          <cell r="Z64">
            <v>805</v>
          </cell>
          <cell r="AA64">
            <v>184</v>
          </cell>
          <cell r="AB64">
            <v>989</v>
          </cell>
          <cell r="AC64">
            <v>16</v>
          </cell>
          <cell r="AD64">
            <v>19</v>
          </cell>
          <cell r="AE64">
            <v>42</v>
          </cell>
          <cell r="AF64">
            <v>29</v>
          </cell>
          <cell r="AH64">
            <v>0</v>
          </cell>
          <cell r="AI64">
            <v>0</v>
          </cell>
          <cell r="AJ64">
            <v>0</v>
          </cell>
          <cell r="AK64">
            <v>0</v>
          </cell>
          <cell r="AL64">
            <v>0</v>
          </cell>
          <cell r="AN64">
            <v>0</v>
          </cell>
          <cell r="AO64">
            <v>52</v>
          </cell>
          <cell r="AP64">
            <v>93</v>
          </cell>
          <cell r="AQ64">
            <v>51</v>
          </cell>
          <cell r="AR64">
            <v>127</v>
          </cell>
        </row>
        <row r="65">
          <cell r="F65">
            <v>0</v>
          </cell>
          <cell r="G65">
            <v>0</v>
          </cell>
          <cell r="H65">
            <v>0</v>
          </cell>
          <cell r="P65">
            <v>470</v>
          </cell>
          <cell r="Q65">
            <v>285</v>
          </cell>
          <cell r="R65">
            <v>160</v>
          </cell>
          <cell r="S65">
            <v>1018</v>
          </cell>
          <cell r="T65">
            <v>162.88</v>
          </cell>
          <cell r="U65">
            <v>855.12</v>
          </cell>
          <cell r="V65">
            <v>973</v>
          </cell>
          <cell r="W65">
            <v>1131</v>
          </cell>
          <cell r="X65">
            <v>225</v>
          </cell>
          <cell r="Y65">
            <v>404</v>
          </cell>
          <cell r="Z65">
            <v>166</v>
          </cell>
          <cell r="AA65">
            <v>3962</v>
          </cell>
          <cell r="AB65">
            <v>14646</v>
          </cell>
          <cell r="AC65">
            <v>170</v>
          </cell>
          <cell r="AD65">
            <v>336</v>
          </cell>
          <cell r="AE65">
            <v>305</v>
          </cell>
          <cell r="AF65">
            <v>861</v>
          </cell>
          <cell r="AG65">
            <v>861</v>
          </cell>
          <cell r="AH65">
            <v>0</v>
          </cell>
          <cell r="AI65">
            <v>3313</v>
          </cell>
          <cell r="AJ65">
            <v>1298</v>
          </cell>
          <cell r="AK65">
            <v>2759</v>
          </cell>
          <cell r="AL65">
            <v>480</v>
          </cell>
          <cell r="AM65">
            <v>2279</v>
          </cell>
          <cell r="AN65">
            <v>1884</v>
          </cell>
          <cell r="AO65">
            <v>558</v>
          </cell>
          <cell r="AP65">
            <v>280</v>
          </cell>
        </row>
        <row r="66">
          <cell r="F66">
            <v>0</v>
          </cell>
          <cell r="G66">
            <v>0</v>
          </cell>
          <cell r="P66">
            <v>0</v>
          </cell>
          <cell r="Q66">
            <v>285</v>
          </cell>
          <cell r="R66">
            <v>160</v>
          </cell>
          <cell r="S66">
            <v>0</v>
          </cell>
          <cell r="T66">
            <v>16</v>
          </cell>
          <cell r="U66">
            <v>86</v>
          </cell>
          <cell r="V66">
            <v>914</v>
          </cell>
          <cell r="W66">
            <v>832</v>
          </cell>
          <cell r="X66">
            <v>0</v>
          </cell>
          <cell r="Z66">
            <v>832</v>
          </cell>
          <cell r="AB66">
            <v>832</v>
          </cell>
          <cell r="AC66">
            <v>0</v>
          </cell>
          <cell r="AD66">
            <v>0</v>
          </cell>
          <cell r="AH66">
            <v>0</v>
          </cell>
          <cell r="AI66">
            <v>0</v>
          </cell>
          <cell r="AK66">
            <v>0</v>
          </cell>
          <cell r="AL66">
            <v>0</v>
          </cell>
          <cell r="AM66">
            <v>0</v>
          </cell>
          <cell r="AN66">
            <v>0</v>
          </cell>
          <cell r="AO66">
            <v>56</v>
          </cell>
          <cell r="AP66">
            <v>0</v>
          </cell>
        </row>
        <row r="67">
          <cell r="F67">
            <v>84</v>
          </cell>
          <cell r="G67">
            <v>0</v>
          </cell>
          <cell r="H67">
            <v>64</v>
          </cell>
          <cell r="P67">
            <v>0</v>
          </cell>
          <cell r="Q67">
            <v>0</v>
          </cell>
          <cell r="R67">
            <v>0</v>
          </cell>
          <cell r="S67">
            <v>0</v>
          </cell>
          <cell r="T67">
            <v>146.88</v>
          </cell>
          <cell r="U67">
            <v>769.12</v>
          </cell>
          <cell r="V67">
            <v>54</v>
          </cell>
          <cell r="W67">
            <v>293</v>
          </cell>
          <cell r="X67">
            <v>344</v>
          </cell>
          <cell r="Y67">
            <v>304</v>
          </cell>
          <cell r="Z67">
            <v>265</v>
          </cell>
          <cell r="AB67">
            <v>293</v>
          </cell>
          <cell r="AC67">
            <v>357</v>
          </cell>
          <cell r="AD67">
            <v>213</v>
          </cell>
          <cell r="AE67">
            <v>314</v>
          </cell>
          <cell r="AF67">
            <v>-335</v>
          </cell>
          <cell r="AG67">
            <v>-335</v>
          </cell>
          <cell r="AH67">
            <v>0</v>
          </cell>
          <cell r="AI67">
            <v>6650</v>
          </cell>
          <cell r="AJ67">
            <v>0</v>
          </cell>
          <cell r="AK67">
            <v>375</v>
          </cell>
          <cell r="AL67">
            <v>4951</v>
          </cell>
          <cell r="AN67">
            <v>308</v>
          </cell>
          <cell r="AO67">
            <v>465</v>
          </cell>
          <cell r="AP67">
            <v>552</v>
          </cell>
          <cell r="AQ67">
            <v>463</v>
          </cell>
          <cell r="AR67">
            <v>1139</v>
          </cell>
        </row>
        <row r="68">
          <cell r="F68">
            <v>130</v>
          </cell>
          <cell r="G68">
            <v>36</v>
          </cell>
          <cell r="H68">
            <v>94</v>
          </cell>
          <cell r="P68">
            <v>730</v>
          </cell>
          <cell r="Q68">
            <v>852</v>
          </cell>
          <cell r="R68">
            <v>478</v>
          </cell>
          <cell r="S68">
            <v>2168</v>
          </cell>
          <cell r="T68">
            <v>542</v>
          </cell>
          <cell r="U68">
            <v>1626</v>
          </cell>
          <cell r="V68">
            <v>2249</v>
          </cell>
          <cell r="W68">
            <v>2344</v>
          </cell>
          <cell r="X68">
            <v>1785</v>
          </cell>
          <cell r="Y68">
            <v>953</v>
          </cell>
          <cell r="Z68">
            <v>832</v>
          </cell>
          <cell r="AA68">
            <v>3910</v>
          </cell>
          <cell r="AB68">
            <v>15937</v>
          </cell>
          <cell r="AC68">
            <v>723</v>
          </cell>
          <cell r="AD68">
            <v>292</v>
          </cell>
          <cell r="AE68">
            <v>431</v>
          </cell>
          <cell r="AF68">
            <v>963</v>
          </cell>
          <cell r="AG68">
            <v>963</v>
          </cell>
          <cell r="AH68">
            <v>0</v>
          </cell>
          <cell r="AI68">
            <v>0</v>
          </cell>
          <cell r="AJ68">
            <v>0</v>
          </cell>
          <cell r="AK68">
            <v>6499</v>
          </cell>
          <cell r="AL68">
            <v>2011</v>
          </cell>
          <cell r="AM68">
            <v>4488</v>
          </cell>
          <cell r="AN68">
            <v>4488</v>
          </cell>
          <cell r="AO68">
            <v>1245</v>
          </cell>
          <cell r="AP68">
            <v>2000</v>
          </cell>
          <cell r="AQ68">
            <v>766</v>
          </cell>
          <cell r="AR68">
            <v>2488</v>
          </cell>
        </row>
        <row r="69">
          <cell r="F69">
            <v>0</v>
          </cell>
          <cell r="G69">
            <v>0</v>
          </cell>
          <cell r="H69">
            <v>0</v>
          </cell>
          <cell r="P69">
            <v>65</v>
          </cell>
          <cell r="Q69">
            <v>40</v>
          </cell>
          <cell r="R69">
            <v>23.192982456140342</v>
          </cell>
          <cell r="S69">
            <v>363.63636363636363</v>
          </cell>
          <cell r="T69">
            <v>146.88</v>
          </cell>
          <cell r="U69">
            <v>769.12</v>
          </cell>
          <cell r="V69">
            <v>158.07017543859649</v>
          </cell>
          <cell r="W69">
            <v>252.4912280701754</v>
          </cell>
          <cell r="X69">
            <v>188.36363636363637</v>
          </cell>
          <cell r="Y69">
            <v>101</v>
          </cell>
          <cell r="Z69">
            <v>87.363636363636374</v>
          </cell>
          <cell r="AA69">
            <v>948</v>
          </cell>
          <cell r="AB69">
            <v>3117.4912280701756</v>
          </cell>
          <cell r="AC69">
            <v>130.90909090909091</v>
          </cell>
          <cell r="AD69">
            <v>53</v>
          </cell>
          <cell r="AE69">
            <v>77.909090909090907</v>
          </cell>
          <cell r="AF69">
            <v>114.90909090909091</v>
          </cell>
          <cell r="AG69">
            <v>114.90909090909091</v>
          </cell>
          <cell r="AH69">
            <v>0</v>
          </cell>
          <cell r="AI69">
            <v>-3332</v>
          </cell>
          <cell r="AK69">
            <v>862.81818181818176</v>
          </cell>
          <cell r="AL69">
            <v>219</v>
          </cell>
          <cell r="AM69">
            <v>643.81818181818176</v>
          </cell>
          <cell r="AN69">
            <v>643.81818181818176</v>
          </cell>
          <cell r="AO69">
            <v>502</v>
          </cell>
          <cell r="AP69">
            <v>1078</v>
          </cell>
        </row>
        <row r="70">
          <cell r="F70">
            <v>0</v>
          </cell>
          <cell r="G70">
            <v>0</v>
          </cell>
          <cell r="H70">
            <v>0</v>
          </cell>
          <cell r="P70">
            <v>4</v>
          </cell>
          <cell r="Q70">
            <v>2</v>
          </cell>
          <cell r="R70">
            <v>1</v>
          </cell>
          <cell r="S70">
            <v>20</v>
          </cell>
          <cell r="T70">
            <v>479.6</v>
          </cell>
          <cell r="U70">
            <v>1438.8000000000002</v>
          </cell>
          <cell r="V70">
            <v>9</v>
          </cell>
          <cell r="W70">
            <v>13</v>
          </cell>
          <cell r="X70">
            <v>10</v>
          </cell>
          <cell r="Y70">
            <v>5</v>
          </cell>
          <cell r="Z70">
            <v>5</v>
          </cell>
          <cell r="AA70">
            <v>51</v>
          </cell>
          <cell r="AB70">
            <v>188</v>
          </cell>
          <cell r="AC70">
            <v>7</v>
          </cell>
          <cell r="AD70">
            <v>3</v>
          </cell>
          <cell r="AE70">
            <v>4</v>
          </cell>
          <cell r="AF70">
            <v>6</v>
          </cell>
          <cell r="AG70">
            <v>6</v>
          </cell>
          <cell r="AH70">
            <v>0</v>
          </cell>
          <cell r="AI70">
            <v>6117.4</v>
          </cell>
          <cell r="AJ70">
            <v>1964.4</v>
          </cell>
          <cell r="AK70">
            <v>47</v>
          </cell>
          <cell r="AL70">
            <v>12</v>
          </cell>
          <cell r="AM70">
            <v>35</v>
          </cell>
          <cell r="AN70">
            <v>35</v>
          </cell>
          <cell r="AO70">
            <v>998.40000000000009</v>
          </cell>
          <cell r="AP70">
            <v>2941</v>
          </cell>
        </row>
        <row r="71">
          <cell r="F71">
            <v>0</v>
          </cell>
          <cell r="G71">
            <v>0</v>
          </cell>
          <cell r="H71">
            <v>0</v>
          </cell>
          <cell r="P71">
            <v>21</v>
          </cell>
          <cell r="Q71">
            <v>13</v>
          </cell>
          <cell r="R71">
            <v>7</v>
          </cell>
          <cell r="S71">
            <v>115</v>
          </cell>
          <cell r="U71">
            <v>133</v>
          </cell>
          <cell r="V71">
            <v>51</v>
          </cell>
          <cell r="W71">
            <v>82</v>
          </cell>
          <cell r="X71">
            <v>60</v>
          </cell>
          <cell r="Y71">
            <v>32</v>
          </cell>
          <cell r="Z71">
            <v>28</v>
          </cell>
          <cell r="AA71">
            <v>303</v>
          </cell>
          <cell r="AB71">
            <v>978</v>
          </cell>
          <cell r="AC71">
            <v>43</v>
          </cell>
          <cell r="AD71">
            <v>17</v>
          </cell>
          <cell r="AE71">
            <v>26</v>
          </cell>
          <cell r="AF71">
            <v>37</v>
          </cell>
          <cell r="AG71">
            <v>37</v>
          </cell>
          <cell r="AH71">
            <v>0</v>
          </cell>
          <cell r="AI71">
            <v>1063.2727272727273</v>
          </cell>
          <cell r="AJ71">
            <v>248</v>
          </cell>
          <cell r="AK71">
            <v>276</v>
          </cell>
          <cell r="AL71">
            <v>70</v>
          </cell>
          <cell r="AM71">
            <v>206</v>
          </cell>
          <cell r="AN71">
            <v>206</v>
          </cell>
        </row>
        <row r="72">
          <cell r="F72">
            <v>0</v>
          </cell>
          <cell r="G72">
            <v>0</v>
          </cell>
          <cell r="H72">
            <v>0</v>
          </cell>
          <cell r="P72">
            <v>90</v>
          </cell>
          <cell r="Q72">
            <v>2</v>
          </cell>
          <cell r="R72">
            <v>1</v>
          </cell>
          <cell r="S72">
            <v>27</v>
          </cell>
          <cell r="U72">
            <v>19</v>
          </cell>
          <cell r="V72">
            <v>7</v>
          </cell>
          <cell r="W72">
            <v>12</v>
          </cell>
          <cell r="X72">
            <v>0</v>
          </cell>
          <cell r="Y72">
            <v>6</v>
          </cell>
          <cell r="Z72">
            <v>3</v>
          </cell>
          <cell r="AA72">
            <v>48</v>
          </cell>
          <cell r="AB72">
            <v>232</v>
          </cell>
          <cell r="AC72">
            <v>0</v>
          </cell>
          <cell r="AD72">
            <v>3</v>
          </cell>
          <cell r="AE72">
            <v>3</v>
          </cell>
          <cell r="AF72">
            <v>0</v>
          </cell>
          <cell r="AG72">
            <v>0</v>
          </cell>
          <cell r="AH72">
            <v>0</v>
          </cell>
          <cell r="AI72">
            <v>58</v>
          </cell>
          <cell r="AJ72">
            <v>13</v>
          </cell>
          <cell r="AK72">
            <v>90</v>
          </cell>
          <cell r="AL72">
            <v>90</v>
          </cell>
          <cell r="AM72">
            <v>0</v>
          </cell>
          <cell r="AN72">
            <v>0</v>
          </cell>
        </row>
        <row r="73">
          <cell r="F73">
            <v>0</v>
          </cell>
          <cell r="G73">
            <v>0</v>
          </cell>
          <cell r="H73">
            <v>0</v>
          </cell>
          <cell r="P73">
            <v>21</v>
          </cell>
          <cell r="Q73">
            <v>849</v>
          </cell>
          <cell r="R73">
            <v>476</v>
          </cell>
          <cell r="S73">
            <v>1558</v>
          </cell>
          <cell r="U73">
            <v>4085</v>
          </cell>
          <cell r="V73">
            <v>1841</v>
          </cell>
          <cell r="W73">
            <v>2244</v>
          </cell>
          <cell r="X73">
            <v>1785</v>
          </cell>
          <cell r="Y73">
            <v>953</v>
          </cell>
          <cell r="Z73">
            <v>832</v>
          </cell>
          <cell r="AB73">
            <v>2244</v>
          </cell>
          <cell r="AC73">
            <v>633</v>
          </cell>
          <cell r="AD73">
            <v>256</v>
          </cell>
          <cell r="AE73">
            <v>377</v>
          </cell>
          <cell r="AF73">
            <v>530</v>
          </cell>
          <cell r="AG73">
            <v>530</v>
          </cell>
          <cell r="AH73">
            <v>0</v>
          </cell>
          <cell r="AI73">
            <v>340</v>
          </cell>
          <cell r="AJ73">
            <v>79</v>
          </cell>
          <cell r="AK73">
            <v>4506</v>
          </cell>
          <cell r="AL73">
            <v>1209</v>
          </cell>
          <cell r="AM73">
            <v>3297</v>
          </cell>
          <cell r="AN73">
            <v>3297</v>
          </cell>
        </row>
        <row r="74">
          <cell r="F74">
            <v>0</v>
          </cell>
          <cell r="G74">
            <v>0</v>
          </cell>
          <cell r="P74">
            <v>63</v>
          </cell>
          <cell r="Q74">
            <v>3</v>
          </cell>
          <cell r="R74">
            <v>2</v>
          </cell>
          <cell r="S74">
            <v>0</v>
          </cell>
          <cell r="U74">
            <v>494</v>
          </cell>
          <cell r="V74">
            <v>3</v>
          </cell>
          <cell r="W74">
            <v>491</v>
          </cell>
          <cell r="X74">
            <v>0</v>
          </cell>
          <cell r="Z74">
            <v>0</v>
          </cell>
          <cell r="AB74">
            <v>491</v>
          </cell>
          <cell r="AC74">
            <v>0</v>
          </cell>
          <cell r="AD74">
            <v>0</v>
          </cell>
          <cell r="AE74">
            <v>0</v>
          </cell>
          <cell r="AF74">
            <v>0</v>
          </cell>
          <cell r="AG74">
            <v>0</v>
          </cell>
          <cell r="AH74">
            <v>0</v>
          </cell>
          <cell r="AI74">
            <v>63</v>
          </cell>
          <cell r="AJ74">
            <v>63</v>
          </cell>
          <cell r="AK74">
            <v>0</v>
          </cell>
          <cell r="AL74">
            <v>0</v>
          </cell>
          <cell r="AM74">
            <v>0</v>
          </cell>
          <cell r="AN74">
            <v>0</v>
          </cell>
        </row>
        <row r="75">
          <cell r="F75">
            <v>2739</v>
          </cell>
          <cell r="G75">
            <v>746</v>
          </cell>
          <cell r="H75">
            <v>1993</v>
          </cell>
          <cell r="P75">
            <v>105.66666666666667</v>
          </cell>
          <cell r="Q75">
            <v>20</v>
          </cell>
          <cell r="R75">
            <v>11</v>
          </cell>
          <cell r="S75">
            <v>242.66666666666666</v>
          </cell>
          <cell r="T75">
            <v>100.1</v>
          </cell>
          <cell r="U75">
            <v>142.56666666666666</v>
          </cell>
          <cell r="V75">
            <v>635</v>
          </cell>
          <cell r="W75">
            <v>2284.666666666667</v>
          </cell>
          <cell r="X75">
            <v>88.666666666666671</v>
          </cell>
          <cell r="Y75">
            <v>47</v>
          </cell>
          <cell r="Z75">
            <v>41.666666666666671</v>
          </cell>
          <cell r="AA75">
            <v>5795</v>
          </cell>
          <cell r="AB75">
            <v>23945.666666666668</v>
          </cell>
          <cell r="AC75">
            <v>69.333333333333343</v>
          </cell>
          <cell r="AD75">
            <v>28</v>
          </cell>
          <cell r="AE75">
            <v>41.333333333333343</v>
          </cell>
          <cell r="AF75">
            <v>250.33333333333331</v>
          </cell>
          <cell r="AG75">
            <v>183.4</v>
          </cell>
          <cell r="AH75">
            <v>66.933333333333309</v>
          </cell>
          <cell r="AI75">
            <v>870.40000000000009</v>
          </cell>
          <cell r="AJ75">
            <v>870.40000000000009</v>
          </cell>
          <cell r="AK75">
            <v>4069.7333333333331</v>
          </cell>
          <cell r="AL75">
            <v>1356.6666666666667</v>
          </cell>
          <cell r="AM75">
            <v>2713.0666666666666</v>
          </cell>
          <cell r="AN75">
            <v>2713.0666666666666</v>
          </cell>
          <cell r="AO75">
            <v>75</v>
          </cell>
          <cell r="AP75">
            <v>166</v>
          </cell>
          <cell r="AQ75">
            <v>1281.6666666666667</v>
          </cell>
          <cell r="AR75">
            <v>2547.0666666666666</v>
          </cell>
        </row>
        <row r="76">
          <cell r="F76">
            <v>193</v>
          </cell>
          <cell r="G76">
            <v>53</v>
          </cell>
          <cell r="H76">
            <v>140</v>
          </cell>
          <cell r="P76">
            <v>935</v>
          </cell>
          <cell r="S76">
            <v>4732.8</v>
          </cell>
          <cell r="T76">
            <v>0</v>
          </cell>
          <cell r="U76">
            <v>0</v>
          </cell>
          <cell r="V76">
            <v>0</v>
          </cell>
          <cell r="W76">
            <v>0</v>
          </cell>
          <cell r="X76">
            <v>80</v>
          </cell>
          <cell r="Y76">
            <v>0</v>
          </cell>
          <cell r="Z76">
            <v>0</v>
          </cell>
          <cell r="AA76">
            <v>0</v>
          </cell>
          <cell r="AB76">
            <v>401</v>
          </cell>
          <cell r="AC76">
            <v>85</v>
          </cell>
          <cell r="AD76">
            <v>45</v>
          </cell>
          <cell r="AE76">
            <v>0</v>
          </cell>
          <cell r="AF76">
            <v>0</v>
          </cell>
          <cell r="AH76">
            <v>0</v>
          </cell>
          <cell r="AI76">
            <v>5832.8</v>
          </cell>
          <cell r="AJ76">
            <v>980</v>
          </cell>
          <cell r="AK76">
            <v>193</v>
          </cell>
          <cell r="AL76">
            <v>53</v>
          </cell>
          <cell r="AM76">
            <v>140</v>
          </cell>
          <cell r="AN76">
            <v>140</v>
          </cell>
          <cell r="AO76">
            <v>0</v>
          </cell>
          <cell r="AP76">
            <v>0</v>
          </cell>
          <cell r="AQ76">
            <v>53</v>
          </cell>
          <cell r="AR76">
            <v>140</v>
          </cell>
        </row>
        <row r="77">
          <cell r="F77">
            <v>2506</v>
          </cell>
          <cell r="G77">
            <v>693</v>
          </cell>
          <cell r="H77">
            <v>1813</v>
          </cell>
          <cell r="P77">
            <v>105.66666666666667</v>
          </cell>
          <cell r="Q77">
            <v>20</v>
          </cell>
          <cell r="R77">
            <v>11</v>
          </cell>
          <cell r="S77">
            <v>242.66666666666666</v>
          </cell>
          <cell r="T77">
            <v>100.1</v>
          </cell>
          <cell r="U77">
            <v>142.56666666666666</v>
          </cell>
          <cell r="V77">
            <v>635</v>
          </cell>
          <cell r="W77">
            <v>2284.666666666667</v>
          </cell>
          <cell r="X77">
            <v>88.666666666666671</v>
          </cell>
          <cell r="Y77">
            <v>47</v>
          </cell>
          <cell r="Z77">
            <v>41.666666666666671</v>
          </cell>
          <cell r="AA77">
            <v>5796</v>
          </cell>
          <cell r="AB77">
            <v>23529.666666666668</v>
          </cell>
          <cell r="AC77">
            <v>69.333333333333343</v>
          </cell>
          <cell r="AD77">
            <v>28</v>
          </cell>
          <cell r="AE77">
            <v>41.333333333333343</v>
          </cell>
          <cell r="AF77">
            <v>250.33333333333331</v>
          </cell>
          <cell r="AG77">
            <v>183.4</v>
          </cell>
          <cell r="AH77">
            <v>66.933333333333309</v>
          </cell>
          <cell r="AI77">
            <v>5147.7666666666664</v>
          </cell>
          <cell r="AJ77">
            <v>2074.1999999999998</v>
          </cell>
          <cell r="AK77">
            <v>3836.7333333333331</v>
          </cell>
          <cell r="AL77">
            <v>1303.6666666666667</v>
          </cell>
          <cell r="AM77">
            <v>2533.0666666666666</v>
          </cell>
          <cell r="AN77">
            <v>2533.0666666666666</v>
          </cell>
          <cell r="AO77">
            <v>75</v>
          </cell>
          <cell r="AP77">
            <v>166</v>
          </cell>
          <cell r="AQ77">
            <v>1228.6666666666667</v>
          </cell>
          <cell r="AR77">
            <v>2367.0666666666666</v>
          </cell>
        </row>
        <row r="78">
          <cell r="F78">
            <v>1695</v>
          </cell>
          <cell r="G78">
            <v>469</v>
          </cell>
          <cell r="H78">
            <v>1226</v>
          </cell>
          <cell r="P78">
            <v>72.666666666666671</v>
          </cell>
          <cell r="Q78">
            <v>20</v>
          </cell>
          <cell r="R78">
            <v>11</v>
          </cell>
          <cell r="S78">
            <v>151.66666666666666</v>
          </cell>
          <cell r="T78">
            <v>100.1</v>
          </cell>
          <cell r="U78">
            <v>51.566666666666663</v>
          </cell>
          <cell r="V78">
            <v>373</v>
          </cell>
          <cell r="W78">
            <v>330</v>
          </cell>
          <cell r="X78">
            <v>57</v>
          </cell>
          <cell r="Y78">
            <v>30</v>
          </cell>
          <cell r="Z78">
            <v>27</v>
          </cell>
          <cell r="AB78">
            <v>330</v>
          </cell>
          <cell r="AC78">
            <v>37</v>
          </cell>
          <cell r="AD78">
            <v>28</v>
          </cell>
          <cell r="AE78">
            <v>9</v>
          </cell>
          <cell r="AF78">
            <v>136.66666666666666</v>
          </cell>
          <cell r="AG78">
            <v>119</v>
          </cell>
          <cell r="AH78">
            <v>17.666666666666657</v>
          </cell>
          <cell r="AI78" t="e">
            <v>#REF!</v>
          </cell>
          <cell r="AJ78">
            <v>115</v>
          </cell>
          <cell r="AK78">
            <v>2132.3333333333335</v>
          </cell>
          <cell r="AL78">
            <v>599.66666666666663</v>
          </cell>
          <cell r="AM78">
            <v>1532.666666666667</v>
          </cell>
          <cell r="AN78">
            <v>1532.6666666666667</v>
          </cell>
          <cell r="AO78">
            <v>115</v>
          </cell>
          <cell r="AP78" t="e">
            <v>#REF!</v>
          </cell>
          <cell r="AR78">
            <v>1532.666666666667</v>
          </cell>
        </row>
        <row r="79">
          <cell r="F79">
            <v>3690.5</v>
          </cell>
          <cell r="G79">
            <v>0</v>
          </cell>
          <cell r="H79">
            <v>0</v>
          </cell>
          <cell r="P79">
            <v>0</v>
          </cell>
          <cell r="S79">
            <v>0</v>
          </cell>
          <cell r="T79">
            <v>80.431999999999974</v>
          </cell>
          <cell r="U79">
            <v>121.43466666666664</v>
          </cell>
          <cell r="V79">
            <v>262</v>
          </cell>
          <cell r="W79">
            <v>1955</v>
          </cell>
          <cell r="X79">
            <v>84.800000000000011</v>
          </cell>
          <cell r="Y79">
            <v>60</v>
          </cell>
          <cell r="Z79">
            <v>24.800000000000011</v>
          </cell>
          <cell r="AB79">
            <v>1955</v>
          </cell>
          <cell r="AC79">
            <v>135.4</v>
          </cell>
          <cell r="AD79">
            <v>71</v>
          </cell>
          <cell r="AE79">
            <v>64.400000000000006</v>
          </cell>
          <cell r="AF79">
            <v>168</v>
          </cell>
          <cell r="AG79">
            <v>140</v>
          </cell>
          <cell r="AH79">
            <v>28</v>
          </cell>
          <cell r="AI79">
            <v>4852.7666666666664</v>
          </cell>
          <cell r="AJ79">
            <v>1959.2</v>
          </cell>
          <cell r="AK79">
            <v>358</v>
          </cell>
          <cell r="AL79">
            <v>158</v>
          </cell>
          <cell r="AM79">
            <v>200</v>
          </cell>
          <cell r="AN79">
            <v>200</v>
          </cell>
          <cell r="AO79">
            <v>1828.2</v>
          </cell>
          <cell r="AP79">
            <v>2735.5666666666666</v>
          </cell>
          <cell r="AR79">
            <v>200</v>
          </cell>
        </row>
        <row r="80">
          <cell r="F80">
            <v>315</v>
          </cell>
          <cell r="G80">
            <v>87</v>
          </cell>
          <cell r="H80">
            <v>228</v>
          </cell>
          <cell r="P80">
            <v>10.333333333333334</v>
          </cell>
          <cell r="S80">
            <v>38.333333333333336</v>
          </cell>
          <cell r="T80">
            <v>80.431999999999974</v>
          </cell>
          <cell r="U80">
            <v>41.434666666666658</v>
          </cell>
          <cell r="V80">
            <v>0</v>
          </cell>
          <cell r="W80">
            <v>0</v>
          </cell>
          <cell r="X80">
            <v>6.333333333333333</v>
          </cell>
          <cell r="Y80">
            <v>3</v>
          </cell>
          <cell r="Z80">
            <v>3.333333333333333</v>
          </cell>
          <cell r="AC80">
            <v>7.333333333333333</v>
          </cell>
          <cell r="AD80">
            <v>3</v>
          </cell>
          <cell r="AE80">
            <v>4.333333333333333</v>
          </cell>
          <cell r="AF80">
            <v>55.666666666666664</v>
          </cell>
          <cell r="AG80">
            <v>33.4</v>
          </cell>
          <cell r="AH80">
            <v>22.266666666666666</v>
          </cell>
          <cell r="AI80">
            <v>1201.8666666666668</v>
          </cell>
          <cell r="AJ80">
            <v>525.20000000000005</v>
          </cell>
          <cell r="AK80">
            <v>413.73333333333323</v>
          </cell>
          <cell r="AL80">
            <v>105.33333333333333</v>
          </cell>
          <cell r="AM80">
            <v>308.39999999999992</v>
          </cell>
          <cell r="AN80">
            <v>308.39999999999992</v>
          </cell>
          <cell r="AP80">
            <v>676.66666666666674</v>
          </cell>
        </row>
        <row r="81">
          <cell r="F81">
            <v>496</v>
          </cell>
          <cell r="G81">
            <v>137</v>
          </cell>
          <cell r="H81">
            <v>359</v>
          </cell>
          <cell r="P81">
            <v>22.666666666666668</v>
          </cell>
          <cell r="S81">
            <v>52.666666666666664</v>
          </cell>
          <cell r="U81">
            <v>65</v>
          </cell>
          <cell r="V81">
            <v>30</v>
          </cell>
          <cell r="W81">
            <v>35</v>
          </cell>
          <cell r="X81">
            <v>25.333333333333332</v>
          </cell>
          <cell r="Y81">
            <v>14</v>
          </cell>
          <cell r="Z81">
            <v>11.333333333333332</v>
          </cell>
          <cell r="AC81">
            <v>25</v>
          </cell>
          <cell r="AD81">
            <v>10</v>
          </cell>
          <cell r="AE81">
            <v>15</v>
          </cell>
          <cell r="AF81">
            <v>53</v>
          </cell>
          <cell r="AG81">
            <v>26</v>
          </cell>
          <cell r="AH81">
            <v>27</v>
          </cell>
          <cell r="AI81">
            <v>389</v>
          </cell>
          <cell r="AJ81">
            <v>156</v>
          </cell>
          <cell r="AK81">
            <v>656.66666666666663</v>
          </cell>
          <cell r="AL81">
            <v>188.66666666666666</v>
          </cell>
          <cell r="AM81">
            <v>468</v>
          </cell>
          <cell r="AN81">
            <v>468</v>
          </cell>
          <cell r="AP81">
            <v>233</v>
          </cell>
        </row>
        <row r="82">
          <cell r="F82">
            <v>239</v>
          </cell>
          <cell r="G82">
            <v>0</v>
          </cell>
          <cell r="H82">
            <v>0</v>
          </cell>
          <cell r="P82">
            <v>5</v>
          </cell>
          <cell r="Q82">
            <v>6721</v>
          </cell>
          <cell r="R82">
            <v>3768.4237288135591</v>
          </cell>
          <cell r="S82">
            <v>40</v>
          </cell>
          <cell r="T82">
            <v>1129</v>
          </cell>
          <cell r="U82">
            <v>34743.435307760927</v>
          </cell>
          <cell r="V82">
            <v>18819.309824561402</v>
          </cell>
          <cell r="W82">
            <v>15924.125483199525</v>
          </cell>
          <cell r="X82">
            <v>0</v>
          </cell>
          <cell r="Y82">
            <v>0</v>
          </cell>
          <cell r="Z82">
            <v>0</v>
          </cell>
          <cell r="AA82">
            <v>173414</v>
          </cell>
          <cell r="AB82">
            <v>368068.12548319955</v>
          </cell>
          <cell r="AC82">
            <v>27.200000000000003</v>
          </cell>
          <cell r="AD82">
            <v>14</v>
          </cell>
          <cell r="AE82">
            <v>13.200000000000003</v>
          </cell>
          <cell r="AF82">
            <v>25.6</v>
          </cell>
          <cell r="AG82">
            <v>20</v>
          </cell>
          <cell r="AH82">
            <v>5.6000000000000014</v>
          </cell>
          <cell r="AI82">
            <v>334.2</v>
          </cell>
          <cell r="AJ82">
            <v>114</v>
          </cell>
          <cell r="AK82">
            <v>0</v>
          </cell>
          <cell r="AL82">
            <v>0</v>
          </cell>
          <cell r="AM82">
            <v>0</v>
          </cell>
          <cell r="AN82">
            <v>0</v>
          </cell>
        </row>
        <row r="83">
          <cell r="F83">
            <v>0</v>
          </cell>
          <cell r="G83">
            <v>0</v>
          </cell>
          <cell r="H83">
            <v>0</v>
          </cell>
          <cell r="P83">
            <v>14</v>
          </cell>
          <cell r="S83">
            <v>0</v>
          </cell>
          <cell r="U83">
            <v>14098.435307760927</v>
          </cell>
          <cell r="V83">
            <v>5945.3098245614019</v>
          </cell>
          <cell r="W83">
            <v>8153.1254831995248</v>
          </cell>
          <cell r="X83">
            <v>0</v>
          </cell>
          <cell r="Y83">
            <v>14</v>
          </cell>
          <cell r="Z83">
            <v>5.2000000000000028</v>
          </cell>
          <cell r="AC83">
            <v>4</v>
          </cell>
          <cell r="AD83">
            <v>42</v>
          </cell>
          <cell r="AE83">
            <v>39</v>
          </cell>
          <cell r="AF83">
            <v>38</v>
          </cell>
          <cell r="AG83">
            <v>38</v>
          </cell>
          <cell r="AH83">
            <v>0</v>
          </cell>
          <cell r="AI83" t="e">
            <v>#REF!</v>
          </cell>
          <cell r="AJ83" t="e">
            <v>#REF!</v>
          </cell>
          <cell r="AK83">
            <v>56</v>
          </cell>
          <cell r="AL83">
            <v>14</v>
          </cell>
          <cell r="AM83">
            <v>42</v>
          </cell>
          <cell r="AN83">
            <v>38</v>
          </cell>
        </row>
        <row r="84">
          <cell r="F84">
            <v>4277</v>
          </cell>
          <cell r="G84">
            <v>1171</v>
          </cell>
          <cell r="H84">
            <v>3106</v>
          </cell>
          <cell r="P84">
            <v>2451.9166666666665</v>
          </cell>
          <cell r="Q84">
            <v>0</v>
          </cell>
          <cell r="R84">
            <v>0</v>
          </cell>
          <cell r="S84">
            <v>19113.516969696972</v>
          </cell>
          <cell r="T84">
            <v>15189.599981818181</v>
          </cell>
          <cell r="U84">
            <v>3923.9169878787875</v>
          </cell>
          <cell r="X84">
            <v>19898.9196969697</v>
          </cell>
          <cell r="Y84">
            <v>11477</v>
          </cell>
          <cell r="Z84">
            <v>8421.9196969696968</v>
          </cell>
          <cell r="AA84">
            <v>0</v>
          </cell>
          <cell r="AB84">
            <v>0</v>
          </cell>
          <cell r="AC84">
            <v>17653.617575757573</v>
          </cell>
          <cell r="AD84">
            <v>8223</v>
          </cell>
          <cell r="AE84">
            <v>9430.6175757575766</v>
          </cell>
          <cell r="AF84">
            <v>4956.3842424242421</v>
          </cell>
          <cell r="AG84">
            <v>4147.3999999999996</v>
          </cell>
          <cell r="AH84">
            <v>809.98424242424232</v>
          </cell>
          <cell r="AI84" t="e">
            <v>#REF!</v>
          </cell>
          <cell r="AJ84">
            <v>0</v>
          </cell>
          <cell r="AK84">
            <v>68761.370909090911</v>
          </cell>
          <cell r="AL84">
            <v>24189.916666666668</v>
          </cell>
          <cell r="AM84">
            <v>44571.454242424239</v>
          </cell>
          <cell r="AN84">
            <v>44569.454242424246</v>
          </cell>
          <cell r="AO84">
            <v>19618</v>
          </cell>
          <cell r="AP84">
            <v>31013</v>
          </cell>
          <cell r="AQ84">
            <v>4215.916666666667</v>
          </cell>
          <cell r="AR84">
            <v>12636.454242424243</v>
          </cell>
        </row>
        <row r="85">
          <cell r="F85">
            <v>587</v>
          </cell>
          <cell r="G85">
            <v>118</v>
          </cell>
          <cell r="H85">
            <v>309</v>
          </cell>
          <cell r="P85">
            <v>627.25</v>
          </cell>
          <cell r="Q85">
            <v>0</v>
          </cell>
          <cell r="R85">
            <v>0</v>
          </cell>
          <cell r="S85">
            <v>0</v>
          </cell>
          <cell r="T85">
            <v>507.23998181818172</v>
          </cell>
          <cell r="U85">
            <v>527.94365454545448</v>
          </cell>
          <cell r="V85">
            <v>0</v>
          </cell>
          <cell r="W85">
            <v>0</v>
          </cell>
          <cell r="X85">
            <v>0</v>
          </cell>
          <cell r="Y85">
            <v>249</v>
          </cell>
          <cell r="Z85">
            <v>216.95000000000005</v>
          </cell>
          <cell r="AA85">
            <v>0</v>
          </cell>
          <cell r="AB85">
            <v>0</v>
          </cell>
          <cell r="AC85">
            <v>2.4000000000000004</v>
          </cell>
          <cell r="AD85">
            <v>157</v>
          </cell>
          <cell r="AE85">
            <v>231.86000000000004</v>
          </cell>
          <cell r="AF85">
            <v>44</v>
          </cell>
          <cell r="AG85">
            <v>44</v>
          </cell>
          <cell r="AH85">
            <v>5.0909090909044608E-2</v>
          </cell>
          <cell r="AI85" t="e">
            <v>#REF!</v>
          </cell>
          <cell r="AJ85">
            <v>10.600000000000001</v>
          </cell>
          <cell r="AK85">
            <v>4850.7890909090911</v>
          </cell>
          <cell r="AL85">
            <v>1331.25</v>
          </cell>
          <cell r="AM85">
            <v>3519.5390909090911</v>
          </cell>
          <cell r="AN85">
            <v>840.81000000000006</v>
          </cell>
        </row>
        <row r="86">
          <cell r="F86">
            <v>5648.1970000000001</v>
          </cell>
          <cell r="G86">
            <v>2210</v>
          </cell>
          <cell r="H86">
            <v>3438.1970000000001</v>
          </cell>
          <cell r="P86">
            <v>2586.1559999999999</v>
          </cell>
          <cell r="Q86">
            <v>0</v>
          </cell>
          <cell r="R86">
            <v>0</v>
          </cell>
          <cell r="S86">
            <v>7247.7078787878781</v>
          </cell>
          <cell r="T86">
            <v>3771.5508606060603</v>
          </cell>
          <cell r="U86">
            <v>3476.1570181818183</v>
          </cell>
          <cell r="V86">
            <v>22489.309824561402</v>
          </cell>
          <cell r="W86">
            <v>15924.125483199525</v>
          </cell>
          <cell r="X86">
            <v>16562.486363636363</v>
          </cell>
          <cell r="Y86">
            <v>11736</v>
          </cell>
          <cell r="Z86">
            <v>4826.4863636363634</v>
          </cell>
          <cell r="AA86">
            <v>0</v>
          </cell>
          <cell r="AB86">
            <v>0</v>
          </cell>
          <cell r="AC86">
            <v>13534.196363636363</v>
          </cell>
          <cell r="AD86">
            <v>7091</v>
          </cell>
          <cell r="AE86">
            <v>6443.1963636363625</v>
          </cell>
          <cell r="AF86">
            <v>4694.9539393939394</v>
          </cell>
          <cell r="AG86">
            <v>3851.2</v>
          </cell>
          <cell r="AH86">
            <v>843.7539393939395</v>
          </cell>
          <cell r="AI86">
            <v>50553.943606060609</v>
          </cell>
          <cell r="AJ86">
            <v>24382.156000000003</v>
          </cell>
          <cell r="AK86">
            <v>26171.787606060607</v>
          </cell>
          <cell r="AL86">
            <v>24191.916666666664</v>
          </cell>
          <cell r="AM86">
            <v>18714</v>
          </cell>
          <cell r="AN86">
            <v>0</v>
          </cell>
          <cell r="AO86">
            <v>5261.1559999999999</v>
          </cell>
          <cell r="AP86">
            <v>10831.787606060607</v>
          </cell>
        </row>
        <row r="87">
          <cell r="F87">
            <v>21770</v>
          </cell>
          <cell r="G87">
            <v>21770</v>
          </cell>
          <cell r="H87">
            <v>239.697</v>
          </cell>
          <cell r="P87">
            <v>611.32000000000005</v>
          </cell>
          <cell r="Q87">
            <v>0</v>
          </cell>
          <cell r="R87">
            <v>0</v>
          </cell>
          <cell r="T87">
            <v>435.00952727272721</v>
          </cell>
          <cell r="U87">
            <v>452.76501818181811</v>
          </cell>
          <cell r="V87">
            <v>0</v>
          </cell>
          <cell r="W87">
            <v>0</v>
          </cell>
          <cell r="X87">
            <v>52.068000000000012</v>
          </cell>
          <cell r="Y87">
            <v>332</v>
          </cell>
          <cell r="Z87">
            <v>136.65000000000003</v>
          </cell>
          <cell r="AA87">
            <v>0</v>
          </cell>
          <cell r="AB87">
            <v>0</v>
          </cell>
          <cell r="AC87">
            <v>0</v>
          </cell>
          <cell r="AD87">
            <v>205</v>
          </cell>
          <cell r="AE87">
            <v>186.76000000000005</v>
          </cell>
          <cell r="AF87">
            <v>52.068000000000012</v>
          </cell>
          <cell r="AH87">
            <v>219.55999999999997</v>
          </cell>
          <cell r="AI87">
            <v>4595.9470000000001</v>
          </cell>
          <cell r="AJ87">
            <v>1521.3200000000002</v>
          </cell>
          <cell r="AK87">
            <v>15510</v>
          </cell>
          <cell r="AL87">
            <v>15510</v>
          </cell>
          <cell r="AM87">
            <v>0</v>
          </cell>
          <cell r="AN87">
            <v>0</v>
          </cell>
          <cell r="AO87">
            <v>0</v>
          </cell>
          <cell r="AP87">
            <v>0</v>
          </cell>
          <cell r="AQ87">
            <v>0</v>
          </cell>
          <cell r="AR87">
            <v>0</v>
          </cell>
        </row>
        <row r="88">
          <cell r="F88">
            <v>26047</v>
          </cell>
          <cell r="G88">
            <v>22941</v>
          </cell>
          <cell r="H88">
            <v>3106</v>
          </cell>
          <cell r="P88">
            <v>2451.9166666666665</v>
          </cell>
          <cell r="Q88">
            <v>0</v>
          </cell>
          <cell r="R88">
            <v>0</v>
          </cell>
          <cell r="S88">
            <v>19113.516969696972</v>
          </cell>
          <cell r="T88">
            <v>15189.599981818181</v>
          </cell>
          <cell r="U88">
            <v>3923.9169878787875</v>
          </cell>
          <cell r="V88">
            <v>0</v>
          </cell>
          <cell r="W88">
            <v>0</v>
          </cell>
          <cell r="X88">
            <v>19898.9196969697</v>
          </cell>
          <cell r="Y88">
            <v>11477</v>
          </cell>
          <cell r="Z88">
            <v>8421.9196969696968</v>
          </cell>
          <cell r="AA88">
            <v>0</v>
          </cell>
          <cell r="AB88">
            <v>0</v>
          </cell>
          <cell r="AC88">
            <v>17653.617575757573</v>
          </cell>
          <cell r="AD88">
            <v>8223</v>
          </cell>
          <cell r="AE88">
            <v>9430.6175757575766</v>
          </cell>
          <cell r="AF88">
            <v>4956.3842424242421</v>
          </cell>
          <cell r="AG88">
            <v>4147.3999999999996</v>
          </cell>
          <cell r="AH88">
            <v>809.98424242424232</v>
          </cell>
          <cell r="AJ88">
            <v>24382.156000000006</v>
          </cell>
          <cell r="AK88">
            <v>84271.370909090911</v>
          </cell>
          <cell r="AL88">
            <v>39699.916666666672</v>
          </cell>
          <cell r="AM88">
            <v>44571.454242424239</v>
          </cell>
          <cell r="AN88">
            <v>44569.454242424246</v>
          </cell>
          <cell r="AO88">
            <v>19618</v>
          </cell>
          <cell r="AP88">
            <v>31013</v>
          </cell>
          <cell r="AQ88">
            <v>4215.916666666667</v>
          </cell>
          <cell r="AR88">
            <v>12636.454242424243</v>
          </cell>
        </row>
        <row r="89">
          <cell r="F89">
            <v>0</v>
          </cell>
          <cell r="G89">
            <v>0</v>
          </cell>
          <cell r="H89">
            <v>0</v>
          </cell>
          <cell r="P89">
            <v>0</v>
          </cell>
          <cell r="Q89">
            <v>0</v>
          </cell>
          <cell r="R89">
            <v>0</v>
          </cell>
          <cell r="U89">
            <v>57.666666666666664</v>
          </cell>
          <cell r="V89">
            <v>36</v>
          </cell>
          <cell r="W89">
            <v>21.666666666666664</v>
          </cell>
          <cell r="X89">
            <v>21.666666666666664</v>
          </cell>
          <cell r="Y89">
            <v>1002</v>
          </cell>
          <cell r="Z89">
            <v>1023.6666666666666</v>
          </cell>
          <cell r="AA89">
            <v>1525</v>
          </cell>
          <cell r="AB89">
            <v>2548.6666666666665</v>
          </cell>
          <cell r="AC89">
            <v>0</v>
          </cell>
          <cell r="AD89">
            <v>0</v>
          </cell>
          <cell r="AE89">
            <v>36</v>
          </cell>
          <cell r="AF89">
            <v>21.666666666666664</v>
          </cell>
          <cell r="AH89">
            <v>0</v>
          </cell>
          <cell r="AI89">
            <v>5607</v>
          </cell>
          <cell r="AJ89">
            <v>5607</v>
          </cell>
          <cell r="AK89">
            <v>0</v>
          </cell>
          <cell r="AL89">
            <v>0</v>
          </cell>
          <cell r="AM89">
            <v>0</v>
          </cell>
          <cell r="AN89">
            <v>0</v>
          </cell>
          <cell r="AO89">
            <v>0</v>
          </cell>
          <cell r="AP89">
            <v>0</v>
          </cell>
          <cell r="AQ89">
            <v>0</v>
          </cell>
          <cell r="AR89">
            <v>-1</v>
          </cell>
        </row>
        <row r="90">
          <cell r="F90">
            <v>777</v>
          </cell>
          <cell r="G90">
            <v>494</v>
          </cell>
          <cell r="H90">
            <v>283</v>
          </cell>
          <cell r="P90">
            <v>2586.1559999999999</v>
          </cell>
          <cell r="Q90">
            <v>0</v>
          </cell>
          <cell r="R90">
            <v>0</v>
          </cell>
          <cell r="S90">
            <v>7247.7078787878781</v>
          </cell>
          <cell r="T90">
            <v>3771.5508606060603</v>
          </cell>
          <cell r="U90">
            <v>3476.1570181818183</v>
          </cell>
          <cell r="V90">
            <v>0</v>
          </cell>
          <cell r="W90">
            <v>0</v>
          </cell>
          <cell r="X90">
            <v>16562.486363636363</v>
          </cell>
          <cell r="Y90">
            <v>11736</v>
          </cell>
          <cell r="Z90">
            <v>4826.4863636363634</v>
          </cell>
          <cell r="AA90">
            <v>0</v>
          </cell>
          <cell r="AB90">
            <v>0</v>
          </cell>
          <cell r="AC90">
            <v>13534.196363636363</v>
          </cell>
          <cell r="AD90">
            <v>7091</v>
          </cell>
          <cell r="AE90">
            <v>6443.1963636363625</v>
          </cell>
          <cell r="AF90">
            <v>4694.9539393939394</v>
          </cell>
          <cell r="AG90">
            <v>3851.2</v>
          </cell>
          <cell r="AH90">
            <v>0</v>
          </cell>
          <cell r="AI90">
            <v>56160.943606060609</v>
          </cell>
          <cell r="AJ90">
            <v>29989.156000000003</v>
          </cell>
          <cell r="AK90">
            <v>777</v>
          </cell>
          <cell r="AL90">
            <v>494</v>
          </cell>
          <cell r="AM90">
            <v>283</v>
          </cell>
          <cell r="AN90">
            <v>283</v>
          </cell>
          <cell r="AO90">
            <v>0</v>
          </cell>
          <cell r="AP90">
            <v>0</v>
          </cell>
          <cell r="AQ90">
            <v>104.33477786811257</v>
          </cell>
          <cell r="AR90">
            <v>31.851225740501135</v>
          </cell>
        </row>
        <row r="91">
          <cell r="F91">
            <v>44</v>
          </cell>
          <cell r="G91">
            <v>15.040915090189173</v>
          </cell>
          <cell r="H91">
            <v>28.959084909810827</v>
          </cell>
          <cell r="P91">
            <v>10489.423728813559</v>
          </cell>
          <cell r="Q91">
            <v>6721</v>
          </cell>
          <cell r="R91">
            <v>3768.4237288135591</v>
          </cell>
          <cell r="S91">
            <v>0</v>
          </cell>
          <cell r="T91">
            <v>0</v>
          </cell>
          <cell r="U91">
            <v>0</v>
          </cell>
          <cell r="V91">
            <v>23000.665824561402</v>
          </cell>
          <cell r="W91">
            <v>16084.86014986619</v>
          </cell>
          <cell r="X91">
            <v>0</v>
          </cell>
          <cell r="Y91">
            <v>0</v>
          </cell>
          <cell r="Z91">
            <v>0</v>
          </cell>
          <cell r="AA91">
            <v>0</v>
          </cell>
          <cell r="AB91">
            <v>0</v>
          </cell>
          <cell r="AC91">
            <v>0</v>
          </cell>
          <cell r="AD91">
            <v>0</v>
          </cell>
          <cell r="AE91">
            <v>0</v>
          </cell>
          <cell r="AF91">
            <v>5197.8601498661919</v>
          </cell>
          <cell r="AH91">
            <v>0</v>
          </cell>
          <cell r="AK91">
            <v>44</v>
          </cell>
          <cell r="AL91">
            <v>15.040915090189173</v>
          </cell>
          <cell r="AM91">
            <v>28.959084909810827</v>
          </cell>
          <cell r="AN91">
            <v>28.959084909810827</v>
          </cell>
          <cell r="AO91">
            <v>0</v>
          </cell>
          <cell r="AP91">
            <v>0</v>
          </cell>
          <cell r="AQ91">
            <v>0</v>
          </cell>
          <cell r="AR91">
            <v>0</v>
          </cell>
        </row>
        <row r="92">
          <cell r="F92">
            <v>0</v>
          </cell>
          <cell r="G92">
            <v>0</v>
          </cell>
          <cell r="H92">
            <v>0</v>
          </cell>
          <cell r="P92">
            <v>0</v>
          </cell>
          <cell r="Q92">
            <v>1422</v>
          </cell>
          <cell r="R92">
            <v>796.42372881355914</v>
          </cell>
          <cell r="S92">
            <v>0</v>
          </cell>
          <cell r="T92">
            <v>1129</v>
          </cell>
          <cell r="U92">
            <v>14770.52597442759</v>
          </cell>
          <cell r="V92">
            <v>6456.6658245614017</v>
          </cell>
          <cell r="W92">
            <v>8313.8601498661901</v>
          </cell>
          <cell r="X92">
            <v>0</v>
          </cell>
          <cell r="Y92">
            <v>0</v>
          </cell>
          <cell r="Z92">
            <v>0</v>
          </cell>
          <cell r="AA92">
            <v>30183</v>
          </cell>
          <cell r="AB92">
            <v>103189.86014986626</v>
          </cell>
          <cell r="AC92">
            <v>0</v>
          </cell>
          <cell r="AD92">
            <v>0</v>
          </cell>
          <cell r="AE92">
            <v>0</v>
          </cell>
          <cell r="AF92">
            <v>-3</v>
          </cell>
          <cell r="AG92">
            <v>5</v>
          </cell>
          <cell r="AH92">
            <v>-8</v>
          </cell>
          <cell r="AI92">
            <v>497</v>
          </cell>
          <cell r="AJ92">
            <v>389</v>
          </cell>
          <cell r="AK92">
            <v>5</v>
          </cell>
          <cell r="AL92">
            <v>0</v>
          </cell>
          <cell r="AM92">
            <v>5</v>
          </cell>
          <cell r="AN92">
            <v>5</v>
          </cell>
          <cell r="AO92">
            <v>0</v>
          </cell>
          <cell r="AP92">
            <v>0</v>
          </cell>
          <cell r="AQ92">
            <v>0</v>
          </cell>
          <cell r="AR92">
            <v>5</v>
          </cell>
        </row>
        <row r="93">
          <cell r="F93">
            <v>41</v>
          </cell>
          <cell r="G93">
            <v>24</v>
          </cell>
          <cell r="H93">
            <v>17</v>
          </cell>
          <cell r="P93">
            <v>125.61671126969965</v>
          </cell>
          <cell r="Q93">
            <v>80</v>
          </cell>
          <cell r="R93">
            <v>45.61671126969965</v>
          </cell>
          <cell r="S93">
            <v>0</v>
          </cell>
          <cell r="T93">
            <v>0</v>
          </cell>
          <cell r="U93">
            <v>0</v>
          </cell>
          <cell r="V93">
            <v>906.38</v>
          </cell>
          <cell r="W93">
            <v>870.61671126969964</v>
          </cell>
          <cell r="X93">
            <v>0</v>
          </cell>
          <cell r="Y93">
            <v>0</v>
          </cell>
          <cell r="Z93">
            <v>0</v>
          </cell>
          <cell r="AA93">
            <v>0</v>
          </cell>
          <cell r="AB93">
            <v>0</v>
          </cell>
          <cell r="AC93">
            <v>0</v>
          </cell>
          <cell r="AD93">
            <v>0</v>
          </cell>
          <cell r="AE93">
            <v>0</v>
          </cell>
          <cell r="AF93">
            <v>385.1254831995243</v>
          </cell>
          <cell r="AH93">
            <v>0</v>
          </cell>
          <cell r="AI93">
            <v>41</v>
          </cell>
          <cell r="AJ93">
            <v>24</v>
          </cell>
          <cell r="AK93">
            <v>17</v>
          </cell>
          <cell r="AL93">
            <v>17</v>
          </cell>
          <cell r="AM93">
            <v>0</v>
          </cell>
          <cell r="AN93">
            <v>0</v>
          </cell>
          <cell r="AO93">
            <v>0</v>
          </cell>
          <cell r="AP93">
            <v>0</v>
          </cell>
        </row>
        <row r="94">
          <cell r="F94">
            <v>0</v>
          </cell>
          <cell r="G94">
            <v>0</v>
          </cell>
          <cell r="H94">
            <v>0</v>
          </cell>
          <cell r="P94">
            <v>0</v>
          </cell>
          <cell r="S94">
            <v>0</v>
          </cell>
          <cell r="T94">
            <v>0</v>
          </cell>
          <cell r="U94">
            <v>3306</v>
          </cell>
          <cell r="X94">
            <v>0</v>
          </cell>
          <cell r="Y94">
            <v>0</v>
          </cell>
          <cell r="Z94">
            <v>0</v>
          </cell>
          <cell r="AC94">
            <v>0</v>
          </cell>
          <cell r="AD94">
            <v>0</v>
          </cell>
          <cell r="AE94">
            <v>0</v>
          </cell>
          <cell r="AF94">
            <v>12</v>
          </cell>
          <cell r="AG94">
            <v>10</v>
          </cell>
          <cell r="AH94">
            <v>2</v>
          </cell>
          <cell r="AI94">
            <v>10</v>
          </cell>
          <cell r="AJ94">
            <v>0</v>
          </cell>
          <cell r="AK94">
            <v>10</v>
          </cell>
          <cell r="AL94">
            <v>10</v>
          </cell>
          <cell r="AM94">
            <v>0</v>
          </cell>
          <cell r="AN94">
            <v>0</v>
          </cell>
          <cell r="AO94">
            <v>0</v>
          </cell>
          <cell r="AP94">
            <v>10</v>
          </cell>
        </row>
        <row r="95">
          <cell r="F95">
            <v>26868</v>
          </cell>
          <cell r="G95">
            <v>23450.040915090191</v>
          </cell>
          <cell r="H95">
            <v>3417.9590849098108</v>
          </cell>
          <cell r="P95">
            <v>2451.9166666666665</v>
          </cell>
          <cell r="Q95">
            <v>0</v>
          </cell>
          <cell r="R95">
            <v>0</v>
          </cell>
          <cell r="S95">
            <v>19113.516969696972</v>
          </cell>
          <cell r="T95">
            <v>15189.599981818181</v>
          </cell>
          <cell r="U95">
            <v>3923.9169878787875</v>
          </cell>
          <cell r="V95">
            <v>0</v>
          </cell>
          <cell r="W95">
            <v>0</v>
          </cell>
          <cell r="X95">
            <v>19898.9196969697</v>
          </cell>
          <cell r="Y95">
            <v>11477</v>
          </cell>
          <cell r="Z95">
            <v>8421.9196969696968</v>
          </cell>
          <cell r="AA95">
            <v>0</v>
          </cell>
          <cell r="AB95">
            <v>0</v>
          </cell>
          <cell r="AC95">
            <v>17653.617575757573</v>
          </cell>
          <cell r="AD95">
            <v>8223</v>
          </cell>
          <cell r="AE95">
            <v>9430.6175757575766</v>
          </cell>
          <cell r="AF95">
            <v>4953.3842424242421</v>
          </cell>
          <cell r="AG95">
            <v>4152.3999999999996</v>
          </cell>
          <cell r="AH95">
            <v>801.98424242424232</v>
          </cell>
          <cell r="AJ95">
            <v>0</v>
          </cell>
          <cell r="AK95">
            <v>85097.370909090911</v>
          </cell>
          <cell r="AL95">
            <v>40208.957581756862</v>
          </cell>
          <cell r="AM95">
            <v>44888.413327334049</v>
          </cell>
          <cell r="AN95">
            <v>44886.413327334056</v>
          </cell>
          <cell r="AO95">
            <v>19618</v>
          </cell>
          <cell r="AP95">
            <v>31013</v>
          </cell>
          <cell r="AQ95">
            <v>4320.2514445347797</v>
          </cell>
          <cell r="AR95">
            <v>12672.305468164745</v>
          </cell>
        </row>
        <row r="96">
          <cell r="F96">
            <v>5098</v>
          </cell>
          <cell r="G96">
            <v>1680.0409150901905</v>
          </cell>
          <cell r="H96">
            <v>3417.9590849098108</v>
          </cell>
          <cell r="P96">
            <v>2451.9166666666665</v>
          </cell>
          <cell r="Q96">
            <v>0</v>
          </cell>
          <cell r="R96">
            <v>0</v>
          </cell>
          <cell r="S96">
            <v>8699.5169696969715</v>
          </cell>
          <cell r="T96">
            <v>4775.5999818181808</v>
          </cell>
          <cell r="U96">
            <v>3923.9169878787875</v>
          </cell>
          <cell r="V96">
            <v>0</v>
          </cell>
          <cell r="W96">
            <v>0</v>
          </cell>
          <cell r="X96">
            <v>3916.9196969697005</v>
          </cell>
          <cell r="Y96">
            <v>2092</v>
          </cell>
          <cell r="Z96">
            <v>1824.9196969696968</v>
          </cell>
          <cell r="AA96">
            <v>0</v>
          </cell>
          <cell r="AB96">
            <v>0</v>
          </cell>
          <cell r="AC96">
            <v>2172.6175757575729</v>
          </cell>
          <cell r="AD96">
            <v>879</v>
          </cell>
          <cell r="AE96">
            <v>1293.6175757575766</v>
          </cell>
          <cell r="AF96">
            <v>4953.3842424242421</v>
          </cell>
          <cell r="AG96">
            <v>4152.3999999999996</v>
          </cell>
          <cell r="AH96">
            <v>801.98424242424232</v>
          </cell>
          <cell r="AJ96">
            <v>0</v>
          </cell>
          <cell r="AK96">
            <v>27710.370909090911</v>
          </cell>
          <cell r="AL96">
            <v>7969.9575817568621</v>
          </cell>
          <cell r="AM96">
            <v>19740.413327334049</v>
          </cell>
          <cell r="AN96">
            <v>19738.413327334056</v>
          </cell>
          <cell r="AO96">
            <v>2889</v>
          </cell>
          <cell r="AP96">
            <v>5865</v>
          </cell>
          <cell r="AQ96">
            <v>4320.2514445347797</v>
          </cell>
          <cell r="AR96">
            <v>12672.305468164745</v>
          </cell>
        </row>
        <row r="97">
          <cell r="F97">
            <v>1758</v>
          </cell>
          <cell r="G97">
            <v>8221</v>
          </cell>
          <cell r="H97">
            <v>3572.1970000000001</v>
          </cell>
          <cell r="P97">
            <v>3547</v>
          </cell>
          <cell r="Q97">
            <v>0</v>
          </cell>
          <cell r="R97">
            <v>0</v>
          </cell>
          <cell r="S97">
            <v>3467</v>
          </cell>
          <cell r="T97">
            <v>3771.5508606060603</v>
          </cell>
          <cell r="U97">
            <v>3476.1570181818183</v>
          </cell>
          <cell r="V97">
            <v>0</v>
          </cell>
          <cell r="W97">
            <v>0</v>
          </cell>
          <cell r="X97">
            <v>225</v>
          </cell>
          <cell r="Y97">
            <v>11736</v>
          </cell>
          <cell r="Z97">
            <v>4826.4863636363634</v>
          </cell>
          <cell r="AA97">
            <v>0</v>
          </cell>
          <cell r="AB97">
            <v>0</v>
          </cell>
          <cell r="AC97">
            <v>170</v>
          </cell>
          <cell r="AD97">
            <v>17653.617575757577</v>
          </cell>
          <cell r="AE97">
            <v>6443.1963636363625</v>
          </cell>
          <cell r="AF97">
            <v>861</v>
          </cell>
          <cell r="AG97">
            <v>861</v>
          </cell>
          <cell r="AH97">
            <v>0</v>
          </cell>
          <cell r="AI97">
            <v>56708.943606060609</v>
          </cell>
          <cell r="AJ97">
            <v>0</v>
          </cell>
          <cell r="AK97">
            <v>10043</v>
          </cell>
          <cell r="AL97">
            <v>26314.787606060603</v>
          </cell>
          <cell r="AM97">
            <v>18714</v>
          </cell>
          <cell r="AN97">
            <v>14616</v>
          </cell>
          <cell r="AO97" t="e">
            <v>#REF!</v>
          </cell>
          <cell r="AP97" t="e">
            <v>#REF!</v>
          </cell>
        </row>
        <row r="98">
          <cell r="F98">
            <v>6186.1970000000001</v>
          </cell>
          <cell r="G98">
            <v>2614</v>
          </cell>
          <cell r="H98">
            <v>3572.1970000000001</v>
          </cell>
          <cell r="P98">
            <v>1878</v>
          </cell>
          <cell r="Q98">
            <v>0</v>
          </cell>
          <cell r="R98">
            <v>0</v>
          </cell>
          <cell r="S98">
            <v>3280</v>
          </cell>
          <cell r="T98">
            <v>2173.5508606060603</v>
          </cell>
          <cell r="U98">
            <v>3476.1570181818183</v>
          </cell>
          <cell r="V98">
            <v>0</v>
          </cell>
          <cell r="W98">
            <v>0</v>
          </cell>
          <cell r="X98">
            <v>170</v>
          </cell>
          <cell r="Y98">
            <v>2091</v>
          </cell>
          <cell r="Z98">
            <v>861.48636363636342</v>
          </cell>
          <cell r="AA98">
            <v>0</v>
          </cell>
          <cell r="AB98">
            <v>0</v>
          </cell>
          <cell r="AC98">
            <v>0</v>
          </cell>
          <cell r="AD98">
            <v>1019</v>
          </cell>
          <cell r="AE98">
            <v>926.19636363636255</v>
          </cell>
          <cell r="AF98">
            <v>4706.9539393939394</v>
          </cell>
          <cell r="AG98">
            <v>3861.2</v>
          </cell>
          <cell r="AH98">
            <v>845.7539393939395</v>
          </cell>
          <cell r="AI98">
            <v>24304.943606060609</v>
          </cell>
          <cell r="AJ98">
            <v>9078.1560000000027</v>
          </cell>
          <cell r="AK98">
            <v>15226.787606060607</v>
          </cell>
          <cell r="AL98">
            <v>15234.787606060603</v>
          </cell>
          <cell r="AM98">
            <v>2997</v>
          </cell>
          <cell r="AN98">
            <v>3536</v>
          </cell>
          <cell r="AO98" t="e">
            <v>#REF!</v>
          </cell>
          <cell r="AP98" t="e">
            <v>#REF!</v>
          </cell>
        </row>
        <row r="99">
          <cell r="F99">
            <v>35</v>
          </cell>
          <cell r="P99">
            <v>1669</v>
          </cell>
          <cell r="S99">
            <v>3362</v>
          </cell>
          <cell r="U99">
            <v>0</v>
          </cell>
          <cell r="X99">
            <v>115</v>
          </cell>
          <cell r="AC99">
            <v>40</v>
          </cell>
          <cell r="AF99">
            <v>454</v>
          </cell>
          <cell r="AG99">
            <v>454</v>
          </cell>
          <cell r="AH99">
            <v>0</v>
          </cell>
          <cell r="AI99" t="e">
            <v>#REF!</v>
          </cell>
          <cell r="AJ99" t="e">
            <v>#REF!</v>
          </cell>
          <cell r="AK99">
            <v>5737</v>
          </cell>
          <cell r="AL99">
            <v>109509.14393939395</v>
          </cell>
          <cell r="AM99">
            <v>46269.90741929959</v>
          </cell>
        </row>
        <row r="100">
          <cell r="F100">
            <v>0</v>
          </cell>
          <cell r="P100">
            <v>470</v>
          </cell>
          <cell r="S100">
            <v>1018</v>
          </cell>
          <cell r="U100">
            <v>1093</v>
          </cell>
          <cell r="X100">
            <v>225</v>
          </cell>
          <cell r="AC100">
            <v>170</v>
          </cell>
          <cell r="AF100">
            <v>861</v>
          </cell>
          <cell r="AG100">
            <v>861</v>
          </cell>
          <cell r="AH100">
            <v>0</v>
          </cell>
          <cell r="AI100" t="e">
            <v>#REF!</v>
          </cell>
          <cell r="AJ100">
            <v>56708.943606060609</v>
          </cell>
          <cell r="AK100">
            <v>2759</v>
          </cell>
          <cell r="AL100">
            <v>85097.370909090911</v>
          </cell>
          <cell r="AM100">
            <v>40210.957581756855</v>
          </cell>
        </row>
        <row r="101">
          <cell r="F101">
            <v>0</v>
          </cell>
          <cell r="P101">
            <v>813</v>
          </cell>
          <cell r="S101">
            <v>0</v>
          </cell>
          <cell r="U101">
            <v>913</v>
          </cell>
          <cell r="X101">
            <v>0</v>
          </cell>
          <cell r="AC101">
            <v>0</v>
          </cell>
          <cell r="AF101">
            <v>0</v>
          </cell>
          <cell r="AG101">
            <v>0</v>
          </cell>
          <cell r="AH101">
            <v>0</v>
          </cell>
          <cell r="AI101" t="e">
            <v>#REF!</v>
          </cell>
          <cell r="AK101">
            <v>0</v>
          </cell>
        </row>
        <row r="102">
          <cell r="F102">
            <v>1758</v>
          </cell>
          <cell r="P102">
            <v>3077</v>
          </cell>
          <cell r="S102">
            <v>2449</v>
          </cell>
          <cell r="U102">
            <v>50</v>
          </cell>
          <cell r="X102">
            <v>0</v>
          </cell>
          <cell r="AC102">
            <v>0</v>
          </cell>
          <cell r="AF102">
            <v>0</v>
          </cell>
          <cell r="AG102">
            <v>0</v>
          </cell>
          <cell r="AH102">
            <v>0</v>
          </cell>
          <cell r="AI102" t="e">
            <v>#REF!</v>
          </cell>
          <cell r="AK102">
            <v>7284</v>
          </cell>
        </row>
        <row r="103">
          <cell r="F103">
            <v>0</v>
          </cell>
          <cell r="P103">
            <v>1878</v>
          </cell>
          <cell r="S103">
            <v>0</v>
          </cell>
          <cell r="U103">
            <v>130</v>
          </cell>
          <cell r="X103">
            <v>0</v>
          </cell>
        </row>
        <row r="104">
          <cell r="F104">
            <v>0</v>
          </cell>
          <cell r="P104">
            <v>935</v>
          </cell>
          <cell r="S104">
            <v>0</v>
          </cell>
          <cell r="U104">
            <v>3922</v>
          </cell>
          <cell r="X104">
            <v>0</v>
          </cell>
          <cell r="AC104">
            <v>85</v>
          </cell>
        </row>
        <row r="105">
          <cell r="P105">
            <v>0</v>
          </cell>
          <cell r="S105">
            <v>0</v>
          </cell>
          <cell r="U105">
            <v>261</v>
          </cell>
          <cell r="X105">
            <v>0</v>
          </cell>
          <cell r="AK105">
            <v>0</v>
          </cell>
        </row>
        <row r="106">
          <cell r="P106">
            <v>935</v>
          </cell>
          <cell r="S106">
            <v>2100</v>
          </cell>
          <cell r="U106">
            <v>3661</v>
          </cell>
          <cell r="X106">
            <v>80</v>
          </cell>
          <cell r="AC106">
            <v>85</v>
          </cell>
          <cell r="AK106">
            <v>0</v>
          </cell>
        </row>
        <row r="107">
          <cell r="F107">
            <v>0</v>
          </cell>
          <cell r="P107">
            <v>0</v>
          </cell>
          <cell r="S107">
            <v>0</v>
          </cell>
          <cell r="U107">
            <v>-38.052597442759001</v>
          </cell>
          <cell r="V107">
            <v>-38.052597442759001</v>
          </cell>
          <cell r="W107">
            <v>0</v>
          </cell>
          <cell r="X107">
            <v>0</v>
          </cell>
          <cell r="AC107">
            <v>0</v>
          </cell>
          <cell r="AF107">
            <v>0</v>
          </cell>
          <cell r="AG107">
            <v>0</v>
          </cell>
          <cell r="AH107">
            <v>0</v>
          </cell>
          <cell r="AI107" t="e">
            <v>#REF!</v>
          </cell>
          <cell r="AK107">
            <v>0</v>
          </cell>
        </row>
        <row r="108">
          <cell r="F108">
            <v>0</v>
          </cell>
          <cell r="P108">
            <v>0</v>
          </cell>
          <cell r="S108">
            <v>0</v>
          </cell>
          <cell r="U108">
            <v>268</v>
          </cell>
          <cell r="X108">
            <v>0</v>
          </cell>
          <cell r="AC108">
            <v>0</v>
          </cell>
          <cell r="AF108">
            <v>0</v>
          </cell>
          <cell r="AG108">
            <v>0</v>
          </cell>
          <cell r="AH108">
            <v>0</v>
          </cell>
          <cell r="AI108" t="e">
            <v>#REF!</v>
          </cell>
          <cell r="AK108">
            <v>0</v>
          </cell>
        </row>
        <row r="109">
          <cell r="F109">
            <v>0</v>
          </cell>
          <cell r="P109">
            <v>0</v>
          </cell>
          <cell r="S109">
            <v>0</v>
          </cell>
          <cell r="U109">
            <v>0</v>
          </cell>
          <cell r="V109">
            <v>0</v>
          </cell>
          <cell r="W109">
            <v>0</v>
          </cell>
          <cell r="X109">
            <v>0</v>
          </cell>
          <cell r="AC109">
            <v>0</v>
          </cell>
          <cell r="AF109">
            <v>0</v>
          </cell>
          <cell r="AG109">
            <v>0</v>
          </cell>
          <cell r="AH109">
            <v>0</v>
          </cell>
          <cell r="AI109" t="e">
            <v>#REF!</v>
          </cell>
          <cell r="AK109">
            <v>0</v>
          </cell>
        </row>
        <row r="110">
          <cell r="F110">
            <v>0</v>
          </cell>
          <cell r="P110">
            <v>0</v>
          </cell>
          <cell r="S110">
            <v>0</v>
          </cell>
          <cell r="U110">
            <v>0</v>
          </cell>
          <cell r="X110">
            <v>0</v>
          </cell>
          <cell r="AC110">
            <v>0</v>
          </cell>
          <cell r="AF110">
            <v>0</v>
          </cell>
          <cell r="AG110">
            <v>0</v>
          </cell>
          <cell r="AH110">
            <v>0</v>
          </cell>
          <cell r="AI110" t="e">
            <v>#REF!</v>
          </cell>
          <cell r="AK110">
            <v>0</v>
          </cell>
        </row>
        <row r="111">
          <cell r="F111">
            <v>0</v>
          </cell>
          <cell r="P111">
            <v>0</v>
          </cell>
          <cell r="S111">
            <v>0</v>
          </cell>
          <cell r="U111">
            <v>1568.5</v>
          </cell>
          <cell r="X111">
            <v>0</v>
          </cell>
          <cell r="AC111">
            <v>0</v>
          </cell>
          <cell r="AF111">
            <v>0</v>
          </cell>
          <cell r="AG111">
            <v>0</v>
          </cell>
          <cell r="AH111">
            <v>0</v>
          </cell>
          <cell r="AI111" t="e">
            <v>#REF!</v>
          </cell>
          <cell r="AK111">
            <v>0</v>
          </cell>
        </row>
        <row r="112">
          <cell r="F112">
            <v>0</v>
          </cell>
          <cell r="P112">
            <v>0</v>
          </cell>
          <cell r="S112">
            <v>0</v>
          </cell>
          <cell r="U112">
            <v>53.583333333333336</v>
          </cell>
          <cell r="X112">
            <v>0</v>
          </cell>
          <cell r="AC112">
            <v>0</v>
          </cell>
          <cell r="AF112">
            <v>0</v>
          </cell>
          <cell r="AG112">
            <v>0</v>
          </cell>
          <cell r="AH112">
            <v>0</v>
          </cell>
          <cell r="AI112" t="e">
            <v>#REF!</v>
          </cell>
          <cell r="AK112">
            <v>0</v>
          </cell>
        </row>
        <row r="113">
          <cell r="F113">
            <v>0</v>
          </cell>
          <cell r="P113">
            <v>0</v>
          </cell>
          <cell r="S113">
            <v>0</v>
          </cell>
          <cell r="X113">
            <v>0</v>
          </cell>
          <cell r="AC113">
            <v>0</v>
          </cell>
          <cell r="AF113">
            <v>0</v>
          </cell>
          <cell r="AG113">
            <v>0</v>
          </cell>
          <cell r="AH113">
            <v>0</v>
          </cell>
          <cell r="AI113" t="e">
            <v>#REF!</v>
          </cell>
          <cell r="AK113">
            <v>0</v>
          </cell>
        </row>
        <row r="114">
          <cell r="F114">
            <v>0</v>
          </cell>
          <cell r="P114">
            <v>0</v>
          </cell>
          <cell r="S114">
            <v>0</v>
          </cell>
          <cell r="U114" t="e">
            <v>#REF!</v>
          </cell>
          <cell r="V114" t="e">
            <v>#REF!</v>
          </cell>
          <cell r="X114">
            <v>0</v>
          </cell>
          <cell r="AC114">
            <v>0</v>
          </cell>
          <cell r="AF114">
            <v>0</v>
          </cell>
          <cell r="AG114">
            <v>0</v>
          </cell>
          <cell r="AH114">
            <v>0</v>
          </cell>
          <cell r="AI114" t="e">
            <v>#REF!</v>
          </cell>
          <cell r="AK114">
            <v>0</v>
          </cell>
          <cell r="AM114">
            <v>0</v>
          </cell>
        </row>
        <row r="115">
          <cell r="F115">
            <v>0</v>
          </cell>
          <cell r="P115">
            <v>0</v>
          </cell>
          <cell r="S115">
            <v>0</v>
          </cell>
          <cell r="U115" t="e">
            <v>#REF!</v>
          </cell>
          <cell r="X115">
            <v>0</v>
          </cell>
          <cell r="AC115">
            <v>0</v>
          </cell>
          <cell r="AF115">
            <v>0</v>
          </cell>
          <cell r="AG115">
            <v>0</v>
          </cell>
          <cell r="AH115">
            <v>0</v>
          </cell>
          <cell r="AI115" t="e">
            <v>#REF!</v>
          </cell>
          <cell r="AK115">
            <v>0</v>
          </cell>
          <cell r="AM115">
            <v>0</v>
          </cell>
        </row>
        <row r="116">
          <cell r="F116">
            <v>0</v>
          </cell>
          <cell r="P116">
            <v>0</v>
          </cell>
          <cell r="Q116">
            <v>0</v>
          </cell>
          <cell r="R116">
            <v>0</v>
          </cell>
          <cell r="S116">
            <v>0</v>
          </cell>
          <cell r="T116">
            <v>0</v>
          </cell>
          <cell r="U116">
            <v>7512.0307358905739</v>
          </cell>
          <cell r="V116" t="e">
            <v>#REF!</v>
          </cell>
          <cell r="AC116">
            <v>0</v>
          </cell>
          <cell r="AD116">
            <v>0</v>
          </cell>
          <cell r="AE116">
            <v>0</v>
          </cell>
          <cell r="AF116">
            <v>0</v>
          </cell>
          <cell r="AG116">
            <v>0</v>
          </cell>
          <cell r="AH116">
            <v>0</v>
          </cell>
          <cell r="AI116" t="e">
            <v>#REF!</v>
          </cell>
          <cell r="AK116">
            <v>0</v>
          </cell>
          <cell r="AL116">
            <v>0</v>
          </cell>
          <cell r="AM116">
            <v>0</v>
          </cell>
        </row>
        <row r="117">
          <cell r="F117">
            <v>0</v>
          </cell>
          <cell r="P117">
            <v>0</v>
          </cell>
          <cell r="S117">
            <v>0</v>
          </cell>
          <cell r="T117">
            <v>0</v>
          </cell>
          <cell r="U117">
            <v>6599.0307358905739</v>
          </cell>
          <cell r="AC117">
            <v>0</v>
          </cell>
          <cell r="AG117">
            <v>0</v>
          </cell>
          <cell r="AH117">
            <v>0</v>
          </cell>
          <cell r="AI117" t="e">
            <v>#REF!</v>
          </cell>
          <cell r="AK117">
            <v>0</v>
          </cell>
          <cell r="AL117">
            <v>0</v>
          </cell>
          <cell r="AM117">
            <v>0</v>
          </cell>
        </row>
        <row r="118">
          <cell r="F118">
            <v>0</v>
          </cell>
          <cell r="P118">
            <v>0</v>
          </cell>
          <cell r="S118">
            <v>0</v>
          </cell>
          <cell r="U118" t="e">
            <v>#REF!</v>
          </cell>
          <cell r="AC118">
            <v>0</v>
          </cell>
          <cell r="AF118">
            <v>0</v>
          </cell>
          <cell r="AG118">
            <v>0</v>
          </cell>
          <cell r="AH118">
            <v>0</v>
          </cell>
          <cell r="AI118" t="e">
            <v>#REF!</v>
          </cell>
          <cell r="AJ118">
            <v>0</v>
          </cell>
          <cell r="AK118">
            <v>0</v>
          </cell>
        </row>
        <row r="119">
          <cell r="F119">
            <v>0</v>
          </cell>
          <cell r="P119">
            <v>0</v>
          </cell>
          <cell r="S119">
            <v>0</v>
          </cell>
          <cell r="U119">
            <v>-230.79318209931299</v>
          </cell>
          <cell r="X119">
            <v>0</v>
          </cell>
          <cell r="AC119">
            <v>0</v>
          </cell>
          <cell r="AF119">
            <v>0</v>
          </cell>
          <cell r="AG119">
            <v>0</v>
          </cell>
          <cell r="AH119">
            <v>0</v>
          </cell>
          <cell r="AI119" t="e">
            <v>#REF!</v>
          </cell>
          <cell r="AK119">
            <v>0</v>
          </cell>
        </row>
        <row r="120">
          <cell r="F120">
            <v>100</v>
          </cell>
          <cell r="P120">
            <v>0</v>
          </cell>
          <cell r="S120">
            <v>0</v>
          </cell>
          <cell r="U120">
            <v>-380.52597442758997</v>
          </cell>
          <cell r="V120">
            <v>6725.3341754385983</v>
          </cell>
          <cell r="W120">
            <v>-7406.8601498661901</v>
          </cell>
          <cell r="X120">
            <v>0</v>
          </cell>
          <cell r="AC120">
            <v>0</v>
          </cell>
          <cell r="AF120">
            <v>0</v>
          </cell>
          <cell r="AG120">
            <v>0</v>
          </cell>
          <cell r="AH120">
            <v>0</v>
          </cell>
          <cell r="AI120" t="e">
            <v>#REF!</v>
          </cell>
          <cell r="AK120">
            <v>0</v>
          </cell>
        </row>
        <row r="121">
          <cell r="F121">
            <v>100</v>
          </cell>
          <cell r="P121">
            <v>0</v>
          </cell>
          <cell r="S121">
            <v>0</v>
          </cell>
          <cell r="X121">
            <v>0</v>
          </cell>
          <cell r="AC121">
            <v>0</v>
          </cell>
          <cell r="AF121">
            <v>0</v>
          </cell>
          <cell r="AG121">
            <v>0</v>
          </cell>
          <cell r="AH121">
            <v>0</v>
          </cell>
          <cell r="AI121" t="e">
            <v>#REF!</v>
          </cell>
          <cell r="AK121">
            <v>100</v>
          </cell>
        </row>
        <row r="122">
          <cell r="F122">
            <v>4000</v>
          </cell>
          <cell r="S122">
            <v>0</v>
          </cell>
          <cell r="U122">
            <v>-149.73279232827699</v>
          </cell>
          <cell r="X122">
            <v>0</v>
          </cell>
          <cell r="AC122">
            <v>0</v>
          </cell>
          <cell r="AF122">
            <v>0</v>
          </cell>
          <cell r="AI122" t="e">
            <v>#REF!</v>
          </cell>
          <cell r="AK122">
            <v>0</v>
          </cell>
        </row>
        <row r="123">
          <cell r="F123">
            <v>3480</v>
          </cell>
          <cell r="S123">
            <v>0</v>
          </cell>
          <cell r="X123">
            <v>0</v>
          </cell>
          <cell r="AF123">
            <v>0</v>
          </cell>
          <cell r="AI123" t="e">
            <v>#REF!</v>
          </cell>
          <cell r="AK123">
            <v>3480</v>
          </cell>
        </row>
        <row r="124">
          <cell r="F124">
            <v>3609</v>
          </cell>
          <cell r="AI124" t="e">
            <v>#REF!</v>
          </cell>
          <cell r="AK124">
            <v>0</v>
          </cell>
          <cell r="AL124">
            <v>396.87424242423458</v>
          </cell>
        </row>
        <row r="125">
          <cell r="F125">
            <v>0</v>
          </cell>
          <cell r="U125">
            <v>8678</v>
          </cell>
          <cell r="W125">
            <v>8678</v>
          </cell>
          <cell r="AC125">
            <v>0</v>
          </cell>
          <cell r="AE125">
            <v>0</v>
          </cell>
          <cell r="AI125" t="e">
            <v>#REF!</v>
          </cell>
          <cell r="AK125">
            <v>0</v>
          </cell>
          <cell r="AL125">
            <v>-8132.8846363636376</v>
          </cell>
        </row>
        <row r="126">
          <cell r="F126">
            <v>0</v>
          </cell>
          <cell r="G126">
            <v>0</v>
          </cell>
          <cell r="H126">
            <v>0</v>
          </cell>
          <cell r="P126">
            <v>813</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t="e">
            <v>#REF!</v>
          </cell>
          <cell r="AJ126">
            <v>0</v>
          </cell>
          <cell r="AK126">
            <v>0</v>
          </cell>
          <cell r="AO126">
            <v>0</v>
          </cell>
          <cell r="AP126">
            <v>0</v>
          </cell>
          <cell r="AQ126">
            <v>0</v>
          </cell>
          <cell r="AR126">
            <v>0</v>
          </cell>
        </row>
        <row r="127">
          <cell r="F127">
            <v>3580</v>
          </cell>
          <cell r="G127">
            <v>0</v>
          </cell>
          <cell r="H127">
            <v>0</v>
          </cell>
          <cell r="P127">
            <v>3077</v>
          </cell>
          <cell r="Q127">
            <v>0</v>
          </cell>
          <cell r="R127">
            <v>0</v>
          </cell>
          <cell r="S127">
            <v>2449</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3580</v>
          </cell>
          <cell r="AO127">
            <v>0</v>
          </cell>
          <cell r="AP127">
            <v>0</v>
          </cell>
          <cell r="AQ127">
            <v>0</v>
          </cell>
          <cell r="AR127">
            <v>0</v>
          </cell>
        </row>
        <row r="128">
          <cell r="F128">
            <v>3580</v>
          </cell>
          <cell r="G128">
            <v>0</v>
          </cell>
          <cell r="H128">
            <v>0</v>
          </cell>
          <cell r="P128">
            <v>3077</v>
          </cell>
          <cell r="Q128">
            <v>0</v>
          </cell>
          <cell r="R128">
            <v>0</v>
          </cell>
          <cell r="S128">
            <v>2449</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t="e">
            <v>#REF!</v>
          </cell>
          <cell r="AJ128">
            <v>0</v>
          </cell>
          <cell r="AK128">
            <v>3580</v>
          </cell>
          <cell r="AL128">
            <v>5340</v>
          </cell>
          <cell r="AM128">
            <v>0</v>
          </cell>
          <cell r="AN128">
            <v>0</v>
          </cell>
          <cell r="AO128">
            <v>0</v>
          </cell>
          <cell r="AP128">
            <v>0</v>
          </cell>
        </row>
        <row r="129">
          <cell r="F129" t="e">
            <v>#REF!</v>
          </cell>
          <cell r="G129">
            <v>0</v>
          </cell>
          <cell r="H129">
            <v>0</v>
          </cell>
          <cell r="P129">
            <v>548</v>
          </cell>
          <cell r="S129">
            <v>0.2999999999992724</v>
          </cell>
          <cell r="U129">
            <v>0</v>
          </cell>
          <cell r="X129">
            <v>0</v>
          </cell>
          <cell r="Y129">
            <v>0</v>
          </cell>
          <cell r="Z129">
            <v>0</v>
          </cell>
          <cell r="AC129">
            <v>0</v>
          </cell>
          <cell r="AD129">
            <v>0</v>
          </cell>
          <cell r="AE129">
            <v>0</v>
          </cell>
          <cell r="AF129">
            <v>0</v>
          </cell>
          <cell r="AG129">
            <v>0</v>
          </cell>
          <cell r="AH129">
            <v>0</v>
          </cell>
          <cell r="AI129" t="e">
            <v>#REF!</v>
          </cell>
          <cell r="AK129">
            <v>-4552.8846363636376</v>
          </cell>
          <cell r="AL129">
            <v>9106</v>
          </cell>
        </row>
        <row r="130">
          <cell r="AI130" t="e">
            <v>#REF!</v>
          </cell>
          <cell r="AJ130" t="e">
            <v>#REF!</v>
          </cell>
          <cell r="AK130">
            <v>-4552.8846363636376</v>
          </cell>
          <cell r="AL130">
            <v>10691.092580700395</v>
          </cell>
          <cell r="AM130">
            <v>-5132.2365200943386</v>
          </cell>
        </row>
        <row r="131">
          <cell r="U131">
            <v>8.49</v>
          </cell>
          <cell r="AC131" t="e">
            <v>#DIV/0!</v>
          </cell>
          <cell r="AI131" t="e">
            <v>#REF!</v>
          </cell>
          <cell r="AK131">
            <v>-6504.1209090909106</v>
          </cell>
          <cell r="AL131">
            <v>9186.0424182431379</v>
          </cell>
          <cell r="AM131">
            <v>-16555.413327334049</v>
          </cell>
        </row>
        <row r="132">
          <cell r="U132">
            <v>0</v>
          </cell>
          <cell r="AI132">
            <v>-11929.693606060609</v>
          </cell>
          <cell r="AJ132">
            <v>2695.8439999999973</v>
          </cell>
          <cell r="AK132">
            <v>1927.2318181818146</v>
          </cell>
          <cell r="AO132">
            <v>0</v>
          </cell>
        </row>
        <row r="133">
          <cell r="T133">
            <v>0</v>
          </cell>
          <cell r="U133">
            <v>6.57</v>
          </cell>
          <cell r="AC133" t="e">
            <v>#DIV/0!</v>
          </cell>
          <cell r="AK133">
            <v>-1951.236272727273</v>
          </cell>
          <cell r="AO133">
            <v>0</v>
          </cell>
        </row>
        <row r="134">
          <cell r="U134">
            <v>29726</v>
          </cell>
          <cell r="V134">
            <v>29726</v>
          </cell>
          <cell r="AI134" t="e">
            <v>#REF!</v>
          </cell>
          <cell r="AM134">
            <v>0</v>
          </cell>
        </row>
        <row r="135">
          <cell r="AK135">
            <v>58108</v>
          </cell>
          <cell r="AM135">
            <v>58108</v>
          </cell>
          <cell r="AO135">
            <v>0</v>
          </cell>
          <cell r="AQ135">
            <v>0</v>
          </cell>
        </row>
        <row r="136">
          <cell r="T136">
            <v>300</v>
          </cell>
          <cell r="U136">
            <v>300</v>
          </cell>
          <cell r="AK136">
            <v>28333</v>
          </cell>
          <cell r="AM136">
            <v>28333</v>
          </cell>
          <cell r="AO136">
            <v>0</v>
          </cell>
          <cell r="AQ136">
            <v>0</v>
          </cell>
        </row>
        <row r="137">
          <cell r="U137">
            <v>1</v>
          </cell>
          <cell r="AI137">
            <v>10816</v>
          </cell>
          <cell r="AK137">
            <v>-16555.413327334049</v>
          </cell>
          <cell r="AM137">
            <v>0</v>
          </cell>
          <cell r="AO137">
            <v>0</v>
          </cell>
        </row>
        <row r="138">
          <cell r="AI138">
            <v>-15490.787606060607</v>
          </cell>
          <cell r="AK138">
            <v>17.93</v>
          </cell>
          <cell r="AM138">
            <v>0</v>
          </cell>
          <cell r="AO138" t="e">
            <v>#DIV/0!</v>
          </cell>
        </row>
        <row r="139">
          <cell r="T139">
            <v>0</v>
          </cell>
          <cell r="U139">
            <v>38404</v>
          </cell>
          <cell r="V139">
            <v>29726</v>
          </cell>
          <cell r="W139">
            <v>8678</v>
          </cell>
          <cell r="AC139">
            <v>0</v>
          </cell>
          <cell r="AI139">
            <v>6.85</v>
          </cell>
          <cell r="AK139">
            <v>28.41</v>
          </cell>
          <cell r="AM139" t="e">
            <v>#DIV/0!</v>
          </cell>
          <cell r="AO139" t="e">
            <v>#DIV/0!</v>
          </cell>
        </row>
        <row r="140">
          <cell r="U140">
            <v>0</v>
          </cell>
          <cell r="V140">
            <v>0</v>
          </cell>
          <cell r="AI140">
            <v>16.649999999999999</v>
          </cell>
          <cell r="AK140">
            <v>0</v>
          </cell>
          <cell r="AM140" t="e">
            <v>#REF!</v>
          </cell>
          <cell r="AO140">
            <v>0</v>
          </cell>
        </row>
        <row r="141">
          <cell r="U141">
            <v>38404</v>
          </cell>
          <cell r="V141">
            <v>29726</v>
          </cell>
          <cell r="W141">
            <v>8678</v>
          </cell>
          <cell r="AI141">
            <v>0</v>
          </cell>
          <cell r="AK141">
            <v>14.4</v>
          </cell>
          <cell r="AM141">
            <v>0</v>
          </cell>
          <cell r="AO141" t="e">
            <v>#DIV/0!</v>
          </cell>
        </row>
        <row r="142">
          <cell r="AC142">
            <v>3160</v>
          </cell>
          <cell r="AD142">
            <v>2918</v>
          </cell>
          <cell r="AE142">
            <v>3056.6658245614035</v>
          </cell>
          <cell r="AF142">
            <v>5197.8601498661919</v>
          </cell>
          <cell r="AK142">
            <v>12.49</v>
          </cell>
          <cell r="AO142" t="e">
            <v>#DIV/0!</v>
          </cell>
        </row>
        <row r="143">
          <cell r="U143">
            <v>-1</v>
          </cell>
          <cell r="V143">
            <v>29.2</v>
          </cell>
          <cell r="W143">
            <v>-46</v>
          </cell>
          <cell r="AI143">
            <v>9.84</v>
          </cell>
          <cell r="AJ143">
            <v>0</v>
          </cell>
          <cell r="AK143">
            <v>11.7</v>
          </cell>
          <cell r="AM143" t="e">
            <v>#DIV/0!</v>
          </cell>
          <cell r="AO143" t="e">
            <v>#DIV/0!</v>
          </cell>
        </row>
        <row r="144">
          <cell r="AJ144">
            <v>0</v>
          </cell>
          <cell r="AK144">
            <v>10.16</v>
          </cell>
          <cell r="AL144">
            <v>56960</v>
          </cell>
          <cell r="AO144" t="e">
            <v>#DIV/0!</v>
          </cell>
        </row>
        <row r="145">
          <cell r="P145">
            <v>0</v>
          </cell>
          <cell r="S145">
            <v>0</v>
          </cell>
          <cell r="U145">
            <v>0</v>
          </cell>
          <cell r="AI145">
            <v>7.69</v>
          </cell>
          <cell r="AK145">
            <v>49395</v>
          </cell>
          <cell r="AL145">
            <v>49395</v>
          </cell>
          <cell r="AM145" t="e">
            <v>#DIV/0!</v>
          </cell>
        </row>
        <row r="146">
          <cell r="P146">
            <v>1325</v>
          </cell>
          <cell r="U146">
            <v>4402</v>
          </cell>
          <cell r="AI146">
            <v>38926</v>
          </cell>
          <cell r="AJ146">
            <v>300</v>
          </cell>
        </row>
        <row r="147">
          <cell r="P147">
            <v>1174</v>
          </cell>
          <cell r="U147">
            <v>2921</v>
          </cell>
          <cell r="AJ147">
            <v>300</v>
          </cell>
          <cell r="AK147">
            <v>5857.1428571428578</v>
          </cell>
          <cell r="AL147">
            <v>-46268.907419299605</v>
          </cell>
          <cell r="AM147">
            <v>-63240.236520094339</v>
          </cell>
        </row>
        <row r="148">
          <cell r="S148">
            <v>0</v>
          </cell>
          <cell r="U148">
            <v>0</v>
          </cell>
          <cell r="AK148">
            <v>5114.2857142857147</v>
          </cell>
          <cell r="AL148">
            <v>-40208.957581756862</v>
          </cell>
          <cell r="AM148">
            <v>-44888.413327334049</v>
          </cell>
        </row>
        <row r="149">
          <cell r="S149">
            <v>0</v>
          </cell>
          <cell r="U149">
            <v>0</v>
          </cell>
          <cell r="AI149" t="e">
            <v>#REF!</v>
          </cell>
          <cell r="AJ149">
            <v>-30402.156000000003</v>
          </cell>
          <cell r="AK149">
            <v>865.25</v>
          </cell>
        </row>
        <row r="150">
          <cell r="P150">
            <v>0</v>
          </cell>
          <cell r="S150">
            <v>0</v>
          </cell>
          <cell r="U150">
            <v>317</v>
          </cell>
          <cell r="AI150">
            <v>865.25</v>
          </cell>
          <cell r="AJ150">
            <v>0</v>
          </cell>
          <cell r="AK150">
            <v>115068</v>
          </cell>
          <cell r="AL150">
            <v>56960</v>
          </cell>
          <cell r="AM150">
            <v>58108</v>
          </cell>
          <cell r="AO150">
            <v>0</v>
          </cell>
        </row>
        <row r="151">
          <cell r="U151">
            <v>1774.0124999999998</v>
          </cell>
          <cell r="AJ151">
            <v>0</v>
          </cell>
          <cell r="AK151">
            <v>77728</v>
          </cell>
          <cell r="AL151">
            <v>49395</v>
          </cell>
          <cell r="AM151">
            <v>28333</v>
          </cell>
          <cell r="AO151">
            <v>0</v>
          </cell>
        </row>
        <row r="152">
          <cell r="U152">
            <v>0</v>
          </cell>
          <cell r="AI152">
            <v>49742</v>
          </cell>
          <cell r="AJ152">
            <v>38926</v>
          </cell>
          <cell r="AK152">
            <v>0</v>
          </cell>
          <cell r="AL152">
            <v>56960</v>
          </cell>
          <cell r="AM152">
            <v>58108</v>
          </cell>
        </row>
        <row r="153">
          <cell r="P153">
            <v>1325</v>
          </cell>
          <cell r="U153">
            <v>4085</v>
          </cell>
          <cell r="AI153">
            <v>0</v>
          </cell>
          <cell r="AK153">
            <v>77728</v>
          </cell>
          <cell r="AL153">
            <v>49395</v>
          </cell>
          <cell r="AM153">
            <v>28333</v>
          </cell>
          <cell r="AO153">
            <v>2093</v>
          </cell>
          <cell r="AP153">
            <v>5098</v>
          </cell>
          <cell r="AQ153">
            <v>4891.9653693155615</v>
          </cell>
          <cell r="AR153">
            <v>11328.349456446114</v>
          </cell>
        </row>
        <row r="154">
          <cell r="P154">
            <v>1325</v>
          </cell>
          <cell r="AI154">
            <v>43914</v>
          </cell>
          <cell r="AJ154">
            <v>33098</v>
          </cell>
          <cell r="AK154">
            <v>0</v>
          </cell>
          <cell r="AL154">
            <v>23.1</v>
          </cell>
          <cell r="AM154">
            <v>-8.1</v>
          </cell>
          <cell r="AO154">
            <v>2889</v>
          </cell>
          <cell r="AP154">
            <v>5865</v>
          </cell>
          <cell r="AQ154">
            <v>4320.2514445347797</v>
          </cell>
          <cell r="AR154">
            <v>12672.305468164745</v>
          </cell>
        </row>
        <row r="155">
          <cell r="P155">
            <v>0</v>
          </cell>
          <cell r="U155">
            <v>0</v>
          </cell>
          <cell r="AI155">
            <v>0</v>
          </cell>
          <cell r="AK155">
            <v>-7.6</v>
          </cell>
          <cell r="AL155">
            <v>22.8</v>
          </cell>
          <cell r="AM155">
            <v>-36.9</v>
          </cell>
          <cell r="AN155">
            <v>3536</v>
          </cell>
          <cell r="AO155" t="e">
            <v>#REF!</v>
          </cell>
          <cell r="AP155" t="e">
            <v>#REF!</v>
          </cell>
        </row>
        <row r="156">
          <cell r="P156">
            <v>-100</v>
          </cell>
          <cell r="U156">
            <v>-578</v>
          </cell>
          <cell r="AI156">
            <v>-21</v>
          </cell>
          <cell r="AJ156">
            <v>8.9</v>
          </cell>
          <cell r="AK156">
            <v>6.0099221158656952</v>
          </cell>
          <cell r="AL156">
            <v>-100</v>
          </cell>
          <cell r="AM156">
            <v>-100</v>
          </cell>
        </row>
        <row r="157">
          <cell r="U157">
            <v>0</v>
          </cell>
          <cell r="AI157" t="e">
            <v>#REF!</v>
          </cell>
          <cell r="AJ157">
            <v>-100</v>
          </cell>
          <cell r="AK157">
            <v>-100</v>
          </cell>
          <cell r="AL157">
            <v>0</v>
          </cell>
          <cell r="AM157">
            <v>0</v>
          </cell>
        </row>
        <row r="158">
          <cell r="F158">
            <v>0</v>
          </cell>
          <cell r="P158">
            <v>0</v>
          </cell>
          <cell r="S158">
            <v>0</v>
          </cell>
          <cell r="T158">
            <v>630</v>
          </cell>
          <cell r="U158">
            <v>4643</v>
          </cell>
          <cell r="X158">
            <v>0</v>
          </cell>
          <cell r="AC158">
            <v>0</v>
          </cell>
          <cell r="AJ158">
            <v>142</v>
          </cell>
          <cell r="AK158">
            <v>0</v>
          </cell>
        </row>
        <row r="159">
          <cell r="F159">
            <v>0</v>
          </cell>
          <cell r="P159">
            <v>0</v>
          </cell>
          <cell r="S159">
            <v>0</v>
          </cell>
          <cell r="X159">
            <v>0</v>
          </cell>
          <cell r="AC159">
            <v>0</v>
          </cell>
          <cell r="AF159">
            <v>312.8</v>
          </cell>
          <cell r="AG159">
            <v>313</v>
          </cell>
          <cell r="AH159">
            <v>-0.19999999999998863</v>
          </cell>
          <cell r="AJ159">
            <v>142</v>
          </cell>
          <cell r="AK159">
            <v>0</v>
          </cell>
        </row>
        <row r="160">
          <cell r="F160">
            <v>320</v>
          </cell>
          <cell r="P160">
            <v>730</v>
          </cell>
          <cell r="S160">
            <v>2168</v>
          </cell>
          <cell r="X160">
            <v>1785</v>
          </cell>
          <cell r="AC160">
            <v>723</v>
          </cell>
          <cell r="AF160">
            <v>963</v>
          </cell>
          <cell r="AG160">
            <v>530</v>
          </cell>
          <cell r="AH160">
            <v>433</v>
          </cell>
          <cell r="AI160" t="e">
            <v>#REF!</v>
          </cell>
          <cell r="AK160">
            <v>6689</v>
          </cell>
        </row>
        <row r="161">
          <cell r="F161">
            <v>320</v>
          </cell>
          <cell r="P161">
            <v>390</v>
          </cell>
          <cell r="S161">
            <v>512</v>
          </cell>
          <cell r="X161">
            <v>2374</v>
          </cell>
          <cell r="AC161">
            <v>1081</v>
          </cell>
          <cell r="AF161">
            <v>560</v>
          </cell>
          <cell r="AG161">
            <v>500</v>
          </cell>
          <cell r="AH161">
            <v>60</v>
          </cell>
          <cell r="AI161" t="e">
            <v>#REF!</v>
          </cell>
          <cell r="AK161">
            <v>4677</v>
          </cell>
        </row>
        <row r="162">
          <cell r="F162">
            <v>320</v>
          </cell>
          <cell r="P162">
            <v>275</v>
          </cell>
          <cell r="S162">
            <v>313</v>
          </cell>
          <cell r="X162">
            <v>230</v>
          </cell>
          <cell r="AB162">
            <v>9</v>
          </cell>
          <cell r="AC162">
            <v>231</v>
          </cell>
          <cell r="AD162" t="e">
            <v>#REF!</v>
          </cell>
          <cell r="AF162">
            <v>76</v>
          </cell>
          <cell r="AG162">
            <v>76</v>
          </cell>
          <cell r="AH162">
            <v>0</v>
          </cell>
          <cell r="AI162" t="e">
            <v>#REF!</v>
          </cell>
          <cell r="AK162">
            <v>1445</v>
          </cell>
        </row>
        <row r="163">
          <cell r="F163">
            <v>204</v>
          </cell>
          <cell r="P163">
            <v>200</v>
          </cell>
          <cell r="S163">
            <v>165</v>
          </cell>
          <cell r="X163">
            <v>186</v>
          </cell>
          <cell r="AB163">
            <v>9</v>
          </cell>
          <cell r="AC163">
            <v>47</v>
          </cell>
          <cell r="AF163">
            <v>66</v>
          </cell>
          <cell r="AG163">
            <v>66</v>
          </cell>
          <cell r="AH163">
            <v>0</v>
          </cell>
          <cell r="AI163" t="e">
            <v>#REF!</v>
          </cell>
          <cell r="AK163">
            <v>598</v>
          </cell>
        </row>
        <row r="164">
          <cell r="F164">
            <v>14.170833333333334</v>
          </cell>
          <cell r="P164">
            <v>70</v>
          </cell>
          <cell r="S164">
            <v>0</v>
          </cell>
          <cell r="X164">
            <v>107</v>
          </cell>
          <cell r="AC164">
            <v>41</v>
          </cell>
          <cell r="AF164">
            <v>80</v>
          </cell>
          <cell r="AI164" t="e">
            <v>#REF!</v>
          </cell>
          <cell r="AK164">
            <v>0</v>
          </cell>
        </row>
        <row r="165">
          <cell r="F165">
            <v>14.170833333333334</v>
          </cell>
          <cell r="P165">
            <v>152</v>
          </cell>
          <cell r="Q165" t="str">
            <v>Е/Е</v>
          </cell>
          <cell r="R165" t="str">
            <v xml:space="preserve"> Т/Е</v>
          </cell>
          <cell r="S165">
            <v>428.72727272727275</v>
          </cell>
          <cell r="T165" t="str">
            <v>ДОП.ВИР. СТ.ОРГ.</v>
          </cell>
          <cell r="U165" t="str">
            <v>АК КЕ ВСЬОГО</v>
          </cell>
          <cell r="V165" t="str">
            <v>Е/Е</v>
          </cell>
          <cell r="W165" t="str">
            <v xml:space="preserve"> Т/Е</v>
          </cell>
          <cell r="X165">
            <v>248.36363636363637</v>
          </cell>
          <cell r="AC165">
            <v>191.18181818181819</v>
          </cell>
          <cell r="AD165" t="str">
            <v>СТАНЦІІ ТЕПЛОВІ</v>
          </cell>
          <cell r="AE165" t="str">
            <v>МЕРЕЖІ ЕЛЕКТРО</v>
          </cell>
          <cell r="AF165">
            <v>157.90909090909091</v>
          </cell>
          <cell r="AG165">
            <v>157.90909090909091</v>
          </cell>
          <cell r="AI165" t="e">
            <v>#REF!</v>
          </cell>
          <cell r="AK165">
            <v>14.170833333333334</v>
          </cell>
        </row>
        <row r="166">
          <cell r="F166">
            <v>260</v>
          </cell>
          <cell r="P166">
            <v>180</v>
          </cell>
          <cell r="Q166">
            <v>2.1435</v>
          </cell>
          <cell r="R166">
            <v>2.1435</v>
          </cell>
          <cell r="S166">
            <v>498.63636363636363</v>
          </cell>
          <cell r="T166">
            <v>2.1435</v>
          </cell>
          <cell r="U166">
            <v>2.1435</v>
          </cell>
          <cell r="X166">
            <v>258.36363636363637</v>
          </cell>
          <cell r="AC166">
            <v>180.90909090909091</v>
          </cell>
          <cell r="AD166">
            <v>2.1804999999999999</v>
          </cell>
          <cell r="AE166">
            <v>2.1804999999999999</v>
          </cell>
          <cell r="AF166">
            <v>157.90909090909091</v>
          </cell>
          <cell r="AG166">
            <v>157.90909090909091</v>
          </cell>
          <cell r="AI166" t="e">
            <v>#REF!</v>
          </cell>
          <cell r="AK166">
            <v>1117.909090909091</v>
          </cell>
        </row>
        <row r="167">
          <cell r="F167">
            <v>260</v>
          </cell>
          <cell r="P167">
            <v>153</v>
          </cell>
          <cell r="S167">
            <v>1669.3636363636365</v>
          </cell>
          <cell r="X167">
            <v>1526.6363636363635</v>
          </cell>
          <cell r="AC167">
            <v>542.09090909090912</v>
          </cell>
          <cell r="AF167">
            <v>296.27272727272725</v>
          </cell>
          <cell r="AG167">
            <v>296</v>
          </cell>
          <cell r="AI167" t="e">
            <v>#REF!</v>
          </cell>
          <cell r="AK167">
            <v>3998.090909090909</v>
          </cell>
        </row>
        <row r="168">
          <cell r="F168">
            <v>60</v>
          </cell>
          <cell r="P168">
            <v>0</v>
          </cell>
          <cell r="S168">
            <v>2168</v>
          </cell>
          <cell r="U168">
            <v>44.3</v>
          </cell>
          <cell r="X168">
            <v>1785</v>
          </cell>
          <cell r="AC168">
            <v>723</v>
          </cell>
          <cell r="AI168" t="e">
            <v>#REF!</v>
          </cell>
          <cell r="AK168">
            <v>60</v>
          </cell>
        </row>
        <row r="169">
          <cell r="F169">
            <v>60</v>
          </cell>
          <cell r="P169">
            <v>0</v>
          </cell>
          <cell r="S169">
            <v>0</v>
          </cell>
          <cell r="U169">
            <v>50.49</v>
          </cell>
          <cell r="X169">
            <v>0</v>
          </cell>
          <cell r="AC169">
            <v>0</v>
          </cell>
          <cell r="AF169">
            <v>0</v>
          </cell>
          <cell r="AG169">
            <v>0</v>
          </cell>
          <cell r="AH169">
            <v>0</v>
          </cell>
          <cell r="AK169">
            <v>60</v>
          </cell>
        </row>
        <row r="170">
          <cell r="F170">
            <v>427</v>
          </cell>
          <cell r="G170">
            <v>0</v>
          </cell>
          <cell r="H170">
            <v>0</v>
          </cell>
          <cell r="P170">
            <v>1736</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25802.811515151516</v>
          </cell>
          <cell r="AE170">
            <v>0</v>
          </cell>
          <cell r="AF170">
            <v>0</v>
          </cell>
          <cell r="AG170">
            <v>0</v>
          </cell>
          <cell r="AH170">
            <v>0</v>
          </cell>
          <cell r="AI170" t="e">
            <v>#REF!</v>
          </cell>
          <cell r="AJ170">
            <v>0</v>
          </cell>
          <cell r="AK170">
            <v>0</v>
          </cell>
        </row>
        <row r="171">
          <cell r="F171">
            <v>1758</v>
          </cell>
          <cell r="G171">
            <v>0</v>
          </cell>
          <cell r="H171">
            <v>0</v>
          </cell>
          <cell r="P171">
            <v>3547</v>
          </cell>
          <cell r="Q171">
            <v>0</v>
          </cell>
          <cell r="R171">
            <v>0</v>
          </cell>
          <cell r="S171">
            <v>3467</v>
          </cell>
          <cell r="T171">
            <v>0</v>
          </cell>
          <cell r="U171">
            <v>0</v>
          </cell>
          <cell r="V171">
            <v>0</v>
          </cell>
          <cell r="W171">
            <v>0</v>
          </cell>
          <cell r="X171">
            <v>225</v>
          </cell>
          <cell r="Y171">
            <v>0</v>
          </cell>
          <cell r="Z171">
            <v>0</v>
          </cell>
          <cell r="AA171">
            <v>0</v>
          </cell>
          <cell r="AB171">
            <v>0</v>
          </cell>
          <cell r="AC171">
            <v>170</v>
          </cell>
          <cell r="AD171">
            <v>17653.617575757577</v>
          </cell>
          <cell r="AE171">
            <v>0</v>
          </cell>
          <cell r="AF171">
            <v>861</v>
          </cell>
          <cell r="AG171">
            <v>461</v>
          </cell>
          <cell r="AH171">
            <v>0</v>
          </cell>
          <cell r="AI171" t="e">
            <v>#REF!</v>
          </cell>
          <cell r="AJ171">
            <v>0</v>
          </cell>
          <cell r="AK171">
            <v>9643</v>
          </cell>
        </row>
        <row r="172">
          <cell r="F172">
            <v>1758</v>
          </cell>
          <cell r="G172">
            <v>0</v>
          </cell>
          <cell r="H172">
            <v>0</v>
          </cell>
          <cell r="P172">
            <v>3547</v>
          </cell>
          <cell r="Q172">
            <v>0</v>
          </cell>
          <cell r="R172">
            <v>0</v>
          </cell>
          <cell r="S172">
            <v>3467</v>
          </cell>
          <cell r="T172">
            <v>0</v>
          </cell>
          <cell r="U172">
            <v>0</v>
          </cell>
          <cell r="V172">
            <v>0</v>
          </cell>
          <cell r="W172">
            <v>0</v>
          </cell>
          <cell r="X172">
            <v>225</v>
          </cell>
          <cell r="Y172">
            <v>0</v>
          </cell>
          <cell r="Z172">
            <v>0</v>
          </cell>
          <cell r="AA172">
            <v>0</v>
          </cell>
          <cell r="AB172">
            <v>0</v>
          </cell>
          <cell r="AC172">
            <v>170</v>
          </cell>
          <cell r="AD172">
            <v>17653.617575757577</v>
          </cell>
          <cell r="AE172">
            <v>0</v>
          </cell>
          <cell r="AF172">
            <v>861</v>
          </cell>
          <cell r="AG172">
            <v>861</v>
          </cell>
          <cell r="AH172">
            <v>0</v>
          </cell>
          <cell r="AI172" t="e">
            <v>#REF!</v>
          </cell>
          <cell r="AJ172">
            <v>0</v>
          </cell>
          <cell r="AK172">
            <v>10043</v>
          </cell>
        </row>
        <row r="173">
          <cell r="F173">
            <v>0</v>
          </cell>
          <cell r="G173">
            <v>0</v>
          </cell>
          <cell r="H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t="e">
            <v>#REF!</v>
          </cell>
          <cell r="AJ173">
            <v>0</v>
          </cell>
          <cell r="AK173">
            <v>0</v>
          </cell>
        </row>
        <row r="174">
          <cell r="F174">
            <v>0</v>
          </cell>
          <cell r="G174">
            <v>0</v>
          </cell>
          <cell r="H174">
            <v>0</v>
          </cell>
          <cell r="P174">
            <v>0</v>
          </cell>
          <cell r="R174">
            <v>0</v>
          </cell>
          <cell r="S174">
            <v>0</v>
          </cell>
          <cell r="T174">
            <v>0</v>
          </cell>
          <cell r="U174">
            <v>0</v>
          </cell>
          <cell r="V174">
            <v>0</v>
          </cell>
          <cell r="W174">
            <v>0</v>
          </cell>
          <cell r="X174">
            <v>0</v>
          </cell>
          <cell r="Y174">
            <v>0</v>
          </cell>
          <cell r="Z174">
            <v>0</v>
          </cell>
          <cell r="AA174">
            <v>0</v>
          </cell>
          <cell r="AB174">
            <v>0</v>
          </cell>
          <cell r="AC174">
            <v>0</v>
          </cell>
          <cell r="AE174">
            <v>0</v>
          </cell>
          <cell r="AF174">
            <v>0</v>
          </cell>
          <cell r="AG174">
            <v>0</v>
          </cell>
          <cell r="AH174">
            <v>0</v>
          </cell>
          <cell r="AI174" t="e">
            <v>#REF!</v>
          </cell>
          <cell r="AK174">
            <v>0</v>
          </cell>
        </row>
        <row r="175">
          <cell r="F175">
            <v>4000</v>
          </cell>
          <cell r="P175">
            <v>36</v>
          </cell>
          <cell r="U175">
            <v>91.91</v>
          </cell>
          <cell r="AG175">
            <v>0</v>
          </cell>
          <cell r="AI175" t="e">
            <v>#REF!</v>
          </cell>
          <cell r="AK175">
            <v>0</v>
          </cell>
        </row>
        <row r="176">
          <cell r="F176">
            <v>3480</v>
          </cell>
          <cell r="P176">
            <v>863.25</v>
          </cell>
          <cell r="Q176">
            <v>0</v>
          </cell>
          <cell r="R176">
            <v>0</v>
          </cell>
          <cell r="S176">
            <v>1561.82</v>
          </cell>
          <cell r="T176">
            <v>554.80543636363632</v>
          </cell>
          <cell r="U176">
            <v>577.28729090909087</v>
          </cell>
          <cell r="V176">
            <v>0</v>
          </cell>
          <cell r="W176">
            <v>0</v>
          </cell>
          <cell r="X176">
            <v>640.95000000000005</v>
          </cell>
          <cell r="AA176">
            <v>0</v>
          </cell>
          <cell r="AB176">
            <v>0</v>
          </cell>
          <cell r="AC176">
            <v>535.86</v>
          </cell>
          <cell r="AF176">
            <v>1759.96</v>
          </cell>
          <cell r="AG176">
            <v>1532.909090909091</v>
          </cell>
          <cell r="AH176">
            <v>227.05090909090904</v>
          </cell>
          <cell r="AI176" t="e">
            <v>#REF!</v>
          </cell>
          <cell r="AJ176">
            <v>0</v>
          </cell>
          <cell r="AK176">
            <v>3480</v>
          </cell>
          <cell r="AO176">
            <v>247</v>
          </cell>
          <cell r="AP176">
            <v>610</v>
          </cell>
          <cell r="AQ176">
            <v>920.25</v>
          </cell>
          <cell r="AR176">
            <v>2050.3572727272726</v>
          </cell>
        </row>
        <row r="177">
          <cell r="F177">
            <v>587</v>
          </cell>
          <cell r="G177">
            <v>0</v>
          </cell>
          <cell r="H177">
            <v>0</v>
          </cell>
          <cell r="P177">
            <v>863.25</v>
          </cell>
          <cell r="Q177">
            <v>0</v>
          </cell>
          <cell r="R177">
            <v>0</v>
          </cell>
          <cell r="S177">
            <v>1921.8199999999997</v>
          </cell>
          <cell r="T177">
            <v>697.23998181818172</v>
          </cell>
          <cell r="U177">
            <v>725.94365454545448</v>
          </cell>
          <cell r="V177">
            <v>0</v>
          </cell>
          <cell r="W177">
            <v>0</v>
          </cell>
          <cell r="X177">
            <v>639.95000000000005</v>
          </cell>
          <cell r="Y177">
            <v>103</v>
          </cell>
          <cell r="Z177">
            <v>145.36363636363637</v>
          </cell>
          <cell r="AA177">
            <v>0</v>
          </cell>
          <cell r="AB177">
            <v>0</v>
          </cell>
          <cell r="AC177">
            <v>535.86</v>
          </cell>
          <cell r="AD177">
            <v>88</v>
          </cell>
          <cell r="AE177">
            <v>103.18181818181819</v>
          </cell>
          <cell r="AF177">
            <v>1759.96</v>
          </cell>
          <cell r="AG177">
            <v>1759.909090909091</v>
          </cell>
          <cell r="AH177">
            <v>5.0909090909044608E-2</v>
          </cell>
          <cell r="AI177" t="e">
            <v>#REF!</v>
          </cell>
          <cell r="AJ177">
            <v>0</v>
          </cell>
          <cell r="AK177">
            <v>6670.7890909090902</v>
          </cell>
          <cell r="AO177">
            <v>266</v>
          </cell>
          <cell r="AP177">
            <v>661</v>
          </cell>
          <cell r="AQ177">
            <v>907.25</v>
          </cell>
          <cell r="AR177">
            <v>2372.7209090909091</v>
          </cell>
        </row>
        <row r="178">
          <cell r="F178">
            <v>0</v>
          </cell>
          <cell r="G178">
            <v>0</v>
          </cell>
          <cell r="H178">
            <v>0</v>
          </cell>
          <cell r="P178">
            <v>180</v>
          </cell>
          <cell r="Q178">
            <v>0</v>
          </cell>
          <cell r="R178">
            <v>0</v>
          </cell>
          <cell r="S178">
            <v>498.63636363636363</v>
          </cell>
          <cell r="T178">
            <v>0</v>
          </cell>
          <cell r="U178">
            <v>0</v>
          </cell>
          <cell r="V178">
            <v>0</v>
          </cell>
          <cell r="W178">
            <v>0</v>
          </cell>
          <cell r="X178">
            <v>258.36363636363637</v>
          </cell>
          <cell r="Y178">
            <v>138</v>
          </cell>
          <cell r="Z178">
            <v>120.36363636363637</v>
          </cell>
          <cell r="AA178">
            <v>0</v>
          </cell>
          <cell r="AB178">
            <v>0</v>
          </cell>
          <cell r="AC178">
            <v>180.90909090909091</v>
          </cell>
          <cell r="AD178">
            <v>73</v>
          </cell>
          <cell r="AE178">
            <v>107.90909090909091</v>
          </cell>
          <cell r="AF178">
            <v>157.90909090909091</v>
          </cell>
          <cell r="AG178">
            <v>157.90909090909091</v>
          </cell>
          <cell r="AH178">
            <v>0</v>
          </cell>
          <cell r="AI178" t="e">
            <v>#REF!</v>
          </cell>
          <cell r="AJ178">
            <v>0</v>
          </cell>
          <cell r="AK178">
            <v>2215.2318181818146</v>
          </cell>
          <cell r="AM178">
            <v>373</v>
          </cell>
          <cell r="AN178">
            <v>542</v>
          </cell>
          <cell r="AO178">
            <v>172</v>
          </cell>
          <cell r="AP178">
            <v>221</v>
          </cell>
          <cell r="AQ178">
            <v>-51</v>
          </cell>
          <cell r="AR178">
            <v>-54</v>
          </cell>
        </row>
        <row r="179">
          <cell r="F179">
            <v>0</v>
          </cell>
          <cell r="G179">
            <v>0</v>
          </cell>
          <cell r="H179">
            <v>0</v>
          </cell>
          <cell r="P179">
            <v>0</v>
          </cell>
          <cell r="Q179">
            <v>0</v>
          </cell>
          <cell r="R179">
            <v>0</v>
          </cell>
          <cell r="S179">
            <v>13.666666666666666</v>
          </cell>
          <cell r="T179">
            <v>13.666666666666666</v>
          </cell>
          <cell r="U179">
            <v>0</v>
          </cell>
          <cell r="V179">
            <v>0</v>
          </cell>
          <cell r="W179">
            <v>0</v>
          </cell>
          <cell r="X179">
            <v>647</v>
          </cell>
          <cell r="Y179">
            <v>167</v>
          </cell>
          <cell r="Z179">
            <v>69.363636363636374</v>
          </cell>
          <cell r="AA179">
            <v>0</v>
          </cell>
          <cell r="AB179">
            <v>0</v>
          </cell>
          <cell r="AC179">
            <v>13.333333333333334</v>
          </cell>
          <cell r="AD179">
            <v>83</v>
          </cell>
          <cell r="AE179">
            <v>76.36363636363636</v>
          </cell>
          <cell r="AF179">
            <v>-2.7</v>
          </cell>
          <cell r="AG179">
            <v>5</v>
          </cell>
          <cell r="AH179">
            <v>-7.7</v>
          </cell>
          <cell r="AJ179">
            <v>0</v>
          </cell>
          <cell r="AK179">
            <v>-1272.236272727273</v>
          </cell>
          <cell r="AO179">
            <v>350</v>
          </cell>
          <cell r="AP179">
            <v>315</v>
          </cell>
          <cell r="AQ179">
            <v>0</v>
          </cell>
          <cell r="AR179">
            <v>14</v>
          </cell>
        </row>
        <row r="180">
          <cell r="F180">
            <v>0</v>
          </cell>
          <cell r="P180">
            <v>0</v>
          </cell>
          <cell r="Q180">
            <v>0</v>
          </cell>
          <cell r="R180">
            <v>0</v>
          </cell>
          <cell r="S180">
            <v>13.666666666666666</v>
          </cell>
          <cell r="T180">
            <v>13.666666666666666</v>
          </cell>
          <cell r="U180">
            <v>0</v>
          </cell>
          <cell r="V180">
            <v>0</v>
          </cell>
          <cell r="W180">
            <v>0</v>
          </cell>
          <cell r="X180">
            <v>708.80000000000007</v>
          </cell>
          <cell r="AA180">
            <v>0</v>
          </cell>
          <cell r="AB180">
            <v>0</v>
          </cell>
          <cell r="AC180">
            <v>13.333333333333334</v>
          </cell>
          <cell r="AF180">
            <v>12</v>
          </cell>
          <cell r="AG180">
            <v>10</v>
          </cell>
          <cell r="AH180">
            <v>2</v>
          </cell>
          <cell r="AI180" t="e">
            <v>#REF!</v>
          </cell>
          <cell r="AM180">
            <v>509</v>
          </cell>
          <cell r="AN180">
            <v>218</v>
          </cell>
          <cell r="AO180">
            <v>0</v>
          </cell>
          <cell r="AP180">
            <v>18.800000000000068</v>
          </cell>
        </row>
        <row r="181">
          <cell r="F181">
            <v>9095</v>
          </cell>
          <cell r="P181">
            <v>676.66666666666652</v>
          </cell>
          <cell r="S181">
            <v>3680.4666666666681</v>
          </cell>
          <cell r="U181">
            <v>11.7</v>
          </cell>
          <cell r="X181">
            <v>1136.003333333334</v>
          </cell>
          <cell r="AC181">
            <v>450.60000000000059</v>
          </cell>
          <cell r="AF181">
            <v>1854.0333333333331</v>
          </cell>
          <cell r="AG181">
            <v>1301</v>
          </cell>
          <cell r="AH181">
            <v>545.90000000000009</v>
          </cell>
          <cell r="AP181">
            <v>1507.2</v>
          </cell>
        </row>
        <row r="182">
          <cell r="F182">
            <v>6013</v>
          </cell>
          <cell r="P182">
            <v>478.66666666666606</v>
          </cell>
          <cell r="S182">
            <v>4076.6666666666688</v>
          </cell>
          <cell r="T182">
            <v>0</v>
          </cell>
          <cell r="U182">
            <v>100.5</v>
          </cell>
          <cell r="X182">
            <v>534.33333333333678</v>
          </cell>
          <cell r="AC182">
            <v>554.33333333333053</v>
          </cell>
          <cell r="AF182">
            <v>1865.0333333333331</v>
          </cell>
          <cell r="AG182">
            <v>1889.3999999999996</v>
          </cell>
          <cell r="AH182">
            <v>376.63333333333327</v>
          </cell>
          <cell r="AO182" t="str">
            <v>ОЧИК.18.02.</v>
          </cell>
          <cell r="AP182">
            <v>1507.2</v>
          </cell>
        </row>
        <row r="183">
          <cell r="F183">
            <v>15172.5</v>
          </cell>
          <cell r="P183">
            <v>444.43599999999981</v>
          </cell>
          <cell r="S183">
            <v>1460.8666666666668</v>
          </cell>
          <cell r="U183">
            <v>215.42175</v>
          </cell>
          <cell r="X183">
            <v>363.19999999999868</v>
          </cell>
          <cell r="AC183">
            <v>290.06666666666649</v>
          </cell>
          <cell r="AF183">
            <v>1259.4666666666667</v>
          </cell>
          <cell r="AG183">
            <v>767.99999999999977</v>
          </cell>
          <cell r="AH183">
            <v>491.46666666666681</v>
          </cell>
          <cell r="AN183">
            <v>1507.2</v>
          </cell>
          <cell r="AO183" t="str">
            <v>ОЧИК.18.02.</v>
          </cell>
        </row>
        <row r="184">
          <cell r="P184">
            <v>905</v>
          </cell>
          <cell r="U184">
            <v>1831</v>
          </cell>
          <cell r="AC184">
            <v>14810</v>
          </cell>
          <cell r="AM184" t="str">
            <v>ОЧИК.18.02.</v>
          </cell>
        </row>
        <row r="185">
          <cell r="F185" t="str">
            <v>АПАРАТ ВСЬОГО</v>
          </cell>
          <cell r="G185" t="str">
            <v>АПАРАТ ЕЛЕКТРО</v>
          </cell>
          <cell r="H185" t="str">
            <v>АПАРАТ ТЕПЛО</v>
          </cell>
          <cell r="P185" t="str">
            <v>ККМ</v>
          </cell>
          <cell r="S185" t="str">
            <v>КТМ</v>
          </cell>
          <cell r="U185">
            <v>1831</v>
          </cell>
          <cell r="X185" t="str">
            <v>ТЕЦ-5 ВСЬОГО</v>
          </cell>
          <cell r="Y185" t="str">
            <v>Е/Е</v>
          </cell>
          <cell r="Z185" t="str">
            <v xml:space="preserve"> Т/Е</v>
          </cell>
          <cell r="AC185" t="str">
            <v>ТЕЦ-6 ВСЬОГО</v>
          </cell>
          <cell r="AD185" t="str">
            <v>Е/Е</v>
          </cell>
          <cell r="AE185" t="str">
            <v xml:space="preserve"> Т/Е</v>
          </cell>
          <cell r="AF185" t="str">
            <v>Е/Е</v>
          </cell>
          <cell r="AG185" t="str">
            <v xml:space="preserve"> Т/Е</v>
          </cell>
          <cell r="AJ185" t="str">
            <v>ДОП.ВИР. СТ.ОРГ.</v>
          </cell>
          <cell r="AK185" t="str">
            <v>АК КЕ ВСЬОГО</v>
          </cell>
          <cell r="AL185" t="str">
            <v>Е/Е</v>
          </cell>
          <cell r="AM185" t="str">
            <v xml:space="preserve"> Т/Е</v>
          </cell>
          <cell r="AO185" t="str">
            <v>СТАНЦІї ЕЛЕКТРО</v>
          </cell>
          <cell r="AP185" t="str">
            <v>СТАНЦІІ ТЕПЛОВІ</v>
          </cell>
          <cell r="AQ185" t="str">
            <v>МЕРЕЖІ ЕЛЕКТРО</v>
          </cell>
          <cell r="AR185" t="str">
            <v>МЕРЕЖІ ТЕПЛОВІ</v>
          </cell>
        </row>
        <row r="186">
          <cell r="F186" t="str">
            <v>АПАРАТ ВСЬОГО</v>
          </cell>
          <cell r="G186" t="str">
            <v>АПАРАТ ЕЛЕКТРО</v>
          </cell>
          <cell r="H186" t="str">
            <v>АПАРАТ ТЕПЛО</v>
          </cell>
          <cell r="P186" t="str">
            <v>ККМ</v>
          </cell>
          <cell r="Q186">
            <v>39.479999999999997</v>
          </cell>
          <cell r="R186">
            <v>22.140000000000008</v>
          </cell>
          <cell r="S186" t="str">
            <v>КТМ</v>
          </cell>
          <cell r="U186">
            <v>154.1</v>
          </cell>
          <cell r="V186">
            <v>95.3</v>
          </cell>
          <cell r="W186">
            <v>58.8</v>
          </cell>
          <cell r="X186" t="str">
            <v>ТЕЦ-5 ВСЬОГО</v>
          </cell>
          <cell r="Y186" t="str">
            <v>Е/Е</v>
          </cell>
          <cell r="Z186" t="str">
            <v xml:space="preserve"> Т/Е</v>
          </cell>
          <cell r="AC186" t="str">
            <v>ТЕЦ-6 ВСЬОГО</v>
          </cell>
          <cell r="AD186" t="str">
            <v>Е/Е</v>
          </cell>
          <cell r="AE186" t="str">
            <v xml:space="preserve"> Т/Е</v>
          </cell>
          <cell r="AF186" t="str">
            <v>Е/Е</v>
          </cell>
          <cell r="AG186" t="str">
            <v xml:space="preserve"> Т/Е</v>
          </cell>
          <cell r="AJ186" t="str">
            <v>ДОП.ВИР. СТ.ОРГ.</v>
          </cell>
          <cell r="AK186" t="str">
            <v>АК КЕ ВСЬОГО</v>
          </cell>
          <cell r="AL186" t="str">
            <v>Е/Е</v>
          </cell>
          <cell r="AM186" t="str">
            <v xml:space="preserve"> Т/Е</v>
          </cell>
          <cell r="AO186" t="str">
            <v>СТАНЦІї ЕЛЕКТРО</v>
          </cell>
          <cell r="AP186" t="str">
            <v>СТАНЦІІ ТЕПЛОВІ</v>
          </cell>
          <cell r="AQ186" t="str">
            <v>МЕРЕЖІ ЕЛЕКТРО</v>
          </cell>
          <cell r="AR186" t="str">
            <v>МЕРЕЖІ ТЕПЛОВІ</v>
          </cell>
        </row>
        <row r="187">
          <cell r="F187" t="str">
            <v>АПАРАТ ВСЬОГО</v>
          </cell>
          <cell r="G187" t="str">
            <v>АПАРАТ ЕЛЕКТРО</v>
          </cell>
          <cell r="H187" t="str">
            <v>АПАРАТ ТЕПЛО</v>
          </cell>
          <cell r="P187" t="str">
            <v>ККМ</v>
          </cell>
          <cell r="Q187">
            <v>5299</v>
          </cell>
          <cell r="R187">
            <v>2972</v>
          </cell>
          <cell r="S187" t="str">
            <v>КТМ</v>
          </cell>
          <cell r="U187">
            <v>20620</v>
          </cell>
          <cell r="V187">
            <v>12849</v>
          </cell>
          <cell r="W187">
            <v>7771</v>
          </cell>
          <cell r="X187" t="str">
            <v>ТЕЦ-5 ВСЬОГО</v>
          </cell>
          <cell r="Y187" t="str">
            <v>Е/Е</v>
          </cell>
          <cell r="Z187" t="str">
            <v xml:space="preserve"> Т/Е</v>
          </cell>
          <cell r="AC187" t="str">
            <v>ТЕЦ-6 ВСЬОГО</v>
          </cell>
          <cell r="AD187" t="str">
            <v>Е/Е</v>
          </cell>
          <cell r="AE187" t="str">
            <v xml:space="preserve"> Т/Е</v>
          </cell>
          <cell r="AF187" t="str">
            <v>Е/Е</v>
          </cell>
          <cell r="AG187" t="str">
            <v xml:space="preserve"> Т/Е</v>
          </cell>
          <cell r="AI187" t="str">
            <v>АК КЕ ВСЬОГО</v>
          </cell>
          <cell r="AJ187" t="str">
            <v>Е/Е</v>
          </cell>
          <cell r="AK187" t="str">
            <v xml:space="preserve"> Т/Е</v>
          </cell>
          <cell r="AM187" t="str">
            <v>СТАНЦІї ЕЛЕКТРО</v>
          </cell>
          <cell r="AN187" t="str">
            <v>СТАНЦІІ ТЕПЛОВІ</v>
          </cell>
          <cell r="AO187" t="str">
            <v>МЕРЕЖІ ЕЛЕКТРО</v>
          </cell>
          <cell r="AP187" t="str">
            <v>МЕРЕЖІ ТЕПЛОВІ</v>
          </cell>
        </row>
        <row r="188">
          <cell r="P188">
            <v>134.22999999999999</v>
          </cell>
          <cell r="Q188">
            <v>134.22</v>
          </cell>
          <cell r="R188">
            <v>134.24</v>
          </cell>
          <cell r="S188">
            <v>101.3</v>
          </cell>
          <cell r="T188">
            <v>0</v>
          </cell>
          <cell r="U188">
            <v>133.81</v>
          </cell>
          <cell r="V188">
            <v>134.83000000000001</v>
          </cell>
          <cell r="W188">
            <v>132.16</v>
          </cell>
          <cell r="X188">
            <v>116.9</v>
          </cell>
          <cell r="AC188">
            <v>111.7</v>
          </cell>
          <cell r="AD188">
            <v>130.99</v>
          </cell>
          <cell r="AE188">
            <v>130.99</v>
          </cell>
          <cell r="AF188">
            <v>0</v>
          </cell>
          <cell r="AK188">
            <v>329.90000000000003</v>
          </cell>
          <cell r="AO188">
            <v>221.49122807017542</v>
          </cell>
        </row>
        <row r="189">
          <cell r="S189">
            <v>54.1</v>
          </cell>
          <cell r="U189">
            <v>25</v>
          </cell>
          <cell r="V189">
            <v>25</v>
          </cell>
          <cell r="W189">
            <v>0</v>
          </cell>
          <cell r="X189">
            <v>67.400000000000006</v>
          </cell>
          <cell r="AC189">
            <v>64.8</v>
          </cell>
          <cell r="AD189">
            <v>52</v>
          </cell>
          <cell r="AK189">
            <v>186.29999999999998</v>
          </cell>
          <cell r="AO189">
            <v>221.49122807017542</v>
          </cell>
        </row>
        <row r="190">
          <cell r="P190">
            <v>0</v>
          </cell>
          <cell r="S190">
            <v>62</v>
          </cell>
          <cell r="U190">
            <v>20645</v>
          </cell>
          <cell r="V190">
            <v>12874</v>
          </cell>
          <cell r="W190">
            <v>7771</v>
          </cell>
          <cell r="X190">
            <v>77.099999999999994</v>
          </cell>
          <cell r="AC190">
            <v>74.2</v>
          </cell>
          <cell r="AD190">
            <v>9863.1854657688</v>
          </cell>
          <cell r="AE190">
            <v>36873.814534231198</v>
          </cell>
          <cell r="AI190">
            <v>139.20000000000002</v>
          </cell>
          <cell r="AK190">
            <v>213.3</v>
          </cell>
          <cell r="AM190">
            <v>221.49122807017542</v>
          </cell>
          <cell r="AO190">
            <v>252.49999999999997</v>
          </cell>
        </row>
        <row r="191">
          <cell r="P191">
            <v>0</v>
          </cell>
          <cell r="S191">
            <v>0</v>
          </cell>
          <cell r="X191">
            <v>0</v>
          </cell>
          <cell r="AC191">
            <v>0</v>
          </cell>
          <cell r="AI191">
            <v>159.4</v>
          </cell>
          <cell r="AK191">
            <v>192.5</v>
          </cell>
          <cell r="AM191">
            <v>252.49999999999997</v>
          </cell>
          <cell r="AO191">
            <v>66</v>
          </cell>
        </row>
        <row r="192">
          <cell r="P192">
            <v>0</v>
          </cell>
          <cell r="S192">
            <v>192.5</v>
          </cell>
          <cell r="X192">
            <v>192.5</v>
          </cell>
          <cell r="AC192">
            <v>192.5</v>
          </cell>
          <cell r="AK192">
            <v>192.5</v>
          </cell>
          <cell r="AM192">
            <v>66</v>
          </cell>
          <cell r="AO192">
            <v>0</v>
          </cell>
        </row>
        <row r="193">
          <cell r="P193">
            <v>0</v>
          </cell>
          <cell r="S193">
            <v>10414</v>
          </cell>
          <cell r="X193">
            <v>12975</v>
          </cell>
          <cell r="AC193">
            <v>12474</v>
          </cell>
          <cell r="AI193">
            <v>192.5</v>
          </cell>
          <cell r="AK193">
            <v>35863</v>
          </cell>
          <cell r="AM193">
            <v>0</v>
          </cell>
          <cell r="AO193">
            <v>0</v>
          </cell>
        </row>
        <row r="194">
          <cell r="S194">
            <v>1598</v>
          </cell>
          <cell r="X194">
            <v>0</v>
          </cell>
          <cell r="Z194">
            <v>4948.1398501338263</v>
          </cell>
          <cell r="AB194">
            <v>4948.1398501337389</v>
          </cell>
          <cell r="AC194">
            <v>0</v>
          </cell>
          <cell r="AI194">
            <v>26797</v>
          </cell>
          <cell r="AK194">
            <v>35863</v>
          </cell>
          <cell r="AM194">
            <v>0</v>
          </cell>
        </row>
        <row r="195">
          <cell r="X195">
            <v>0</v>
          </cell>
          <cell r="AC195">
            <v>0</v>
          </cell>
          <cell r="AI195">
            <v>26797</v>
          </cell>
          <cell r="AK195">
            <v>0</v>
          </cell>
        </row>
        <row r="196">
          <cell r="X196">
            <v>0</v>
          </cell>
          <cell r="AC196">
            <v>0</v>
          </cell>
          <cell r="AI196">
            <v>0</v>
          </cell>
          <cell r="AK196">
            <v>0</v>
          </cell>
        </row>
        <row r="197">
          <cell r="X197">
            <v>82.5</v>
          </cell>
          <cell r="AC197">
            <v>82.5</v>
          </cell>
          <cell r="AI197">
            <v>0</v>
          </cell>
          <cell r="AK197">
            <v>0</v>
          </cell>
        </row>
        <row r="198">
          <cell r="S198">
            <v>0</v>
          </cell>
          <cell r="X198">
            <v>0</v>
          </cell>
          <cell r="AC198">
            <v>0</v>
          </cell>
          <cell r="AK198">
            <v>0</v>
          </cell>
        </row>
        <row r="199">
          <cell r="S199">
            <v>0</v>
          </cell>
          <cell r="X199">
            <v>0</v>
          </cell>
          <cell r="AC199">
            <v>0</v>
          </cell>
          <cell r="AI199">
            <v>0</v>
          </cell>
          <cell r="AK199">
            <v>0</v>
          </cell>
        </row>
        <row r="200">
          <cell r="S200">
            <v>0</v>
          </cell>
          <cell r="X200">
            <v>4.0999999999999996</v>
          </cell>
          <cell r="AC200">
            <v>4.2</v>
          </cell>
          <cell r="AI200">
            <v>0</v>
          </cell>
          <cell r="AK200">
            <v>8.3000000000000007</v>
          </cell>
          <cell r="AO200">
            <v>75.839416058394164</v>
          </cell>
        </row>
        <row r="201">
          <cell r="X201">
            <v>5</v>
          </cell>
          <cell r="AC201">
            <v>5</v>
          </cell>
          <cell r="AD201">
            <v>5</v>
          </cell>
          <cell r="AE201">
            <v>7</v>
          </cell>
          <cell r="AK201">
            <v>10</v>
          </cell>
          <cell r="AO201">
            <v>75.839416058394164</v>
          </cell>
        </row>
        <row r="202">
          <cell r="F202">
            <v>75</v>
          </cell>
          <cell r="X202">
            <v>7</v>
          </cell>
          <cell r="AC202">
            <v>7</v>
          </cell>
          <cell r="AI202">
            <v>0</v>
          </cell>
          <cell r="AJ202">
            <v>0</v>
          </cell>
          <cell r="AK202">
            <v>14</v>
          </cell>
          <cell r="AM202">
            <v>75.839416058394164</v>
          </cell>
          <cell r="AO202">
            <v>103.9</v>
          </cell>
          <cell r="AR202">
            <v>75</v>
          </cell>
        </row>
        <row r="203">
          <cell r="F203">
            <v>75</v>
          </cell>
          <cell r="S203">
            <v>601.41999999999996</v>
          </cell>
          <cell r="X203">
            <v>601.41999999999996</v>
          </cell>
          <cell r="AC203">
            <v>601.41999999999996</v>
          </cell>
          <cell r="AI203">
            <v>0</v>
          </cell>
          <cell r="AJ203">
            <v>0</v>
          </cell>
          <cell r="AK203">
            <v>601.41999999999996</v>
          </cell>
          <cell r="AM203">
            <v>103.9</v>
          </cell>
          <cell r="AO203" t="e">
            <v>#DIV/0!</v>
          </cell>
          <cell r="AR203">
            <v>75</v>
          </cell>
        </row>
        <row r="204">
          <cell r="F204">
            <v>75</v>
          </cell>
          <cell r="P204">
            <v>75</v>
          </cell>
          <cell r="S204">
            <v>0</v>
          </cell>
          <cell r="X204">
            <v>601.41999999999996</v>
          </cell>
          <cell r="AC204">
            <v>601.41999999999996</v>
          </cell>
          <cell r="AK204">
            <v>601.41999999999996</v>
          </cell>
          <cell r="AM204" t="e">
            <v>#DIV/0!</v>
          </cell>
          <cell r="AO204">
            <v>195.28</v>
          </cell>
          <cell r="AP204">
            <v>75</v>
          </cell>
        </row>
        <row r="205">
          <cell r="S205">
            <v>0</v>
          </cell>
          <cell r="X205">
            <v>3007</v>
          </cell>
          <cell r="AC205">
            <v>3007</v>
          </cell>
          <cell r="AI205">
            <v>385</v>
          </cell>
          <cell r="AK205">
            <v>6014</v>
          </cell>
          <cell r="AM205">
            <v>195.28</v>
          </cell>
          <cell r="AO205">
            <v>14810</v>
          </cell>
        </row>
        <row r="206">
          <cell r="S206">
            <v>116</v>
          </cell>
          <cell r="X206">
            <v>139.6</v>
          </cell>
          <cell r="Y206">
            <v>58</v>
          </cell>
          <cell r="Z206">
            <v>81.600000000000009</v>
          </cell>
          <cell r="AC206">
            <v>133.69999999999999</v>
          </cell>
          <cell r="AD206">
            <v>61.1</v>
          </cell>
          <cell r="AE206">
            <v>72.599999999999994</v>
          </cell>
          <cell r="AI206">
            <v>0</v>
          </cell>
          <cell r="AK206">
            <v>6014</v>
          </cell>
          <cell r="AL206">
            <v>119.1</v>
          </cell>
          <cell r="AM206">
            <v>270.2</v>
          </cell>
          <cell r="AO206">
            <v>356.4</v>
          </cell>
          <cell r="AP206">
            <v>74.900000000000006</v>
          </cell>
          <cell r="AQ206">
            <v>281.5</v>
          </cell>
        </row>
        <row r="207">
          <cell r="S207">
            <v>62</v>
          </cell>
          <cell r="X207">
            <v>84.1</v>
          </cell>
          <cell r="Y207">
            <v>44.9</v>
          </cell>
          <cell r="Z207">
            <v>39.200000000000003</v>
          </cell>
          <cell r="AA207">
            <v>13714</v>
          </cell>
          <cell r="AC207">
            <v>81.2</v>
          </cell>
          <cell r="AD207">
            <v>32.799999999999997</v>
          </cell>
          <cell r="AE207">
            <v>48.4</v>
          </cell>
          <cell r="AI207">
            <v>0</v>
          </cell>
          <cell r="AK207">
            <v>227.3</v>
          </cell>
          <cell r="AL207">
            <v>77.699999999999989</v>
          </cell>
          <cell r="AM207">
            <v>149.6</v>
          </cell>
          <cell r="AO207">
            <v>356.4</v>
          </cell>
          <cell r="AP207">
            <v>74.900000000000006</v>
          </cell>
          <cell r="AQ207">
            <v>281.5</v>
          </cell>
        </row>
        <row r="208">
          <cell r="S208">
            <v>10414</v>
          </cell>
          <cell r="X208">
            <v>15982</v>
          </cell>
          <cell r="Y208">
            <v>9385</v>
          </cell>
          <cell r="Z208">
            <v>6597</v>
          </cell>
          <cell r="AA208">
            <v>6597</v>
          </cell>
          <cell r="AC208">
            <v>15481</v>
          </cell>
          <cell r="AD208">
            <v>7344</v>
          </cell>
          <cell r="AE208">
            <v>8137</v>
          </cell>
          <cell r="AI208">
            <v>159.4</v>
          </cell>
          <cell r="AJ208">
            <v>0</v>
          </cell>
          <cell r="AK208">
            <v>41877</v>
          </cell>
          <cell r="AL208">
            <v>16729</v>
          </cell>
          <cell r="AM208">
            <v>25148</v>
          </cell>
          <cell r="AN208">
            <v>74.900000000000006</v>
          </cell>
          <cell r="AO208">
            <v>14810</v>
          </cell>
          <cell r="AP208">
            <v>3112.427048260382</v>
          </cell>
          <cell r="AQ208">
            <v>11697.572951739618</v>
          </cell>
          <cell r="AR208">
            <v>0</v>
          </cell>
        </row>
        <row r="209">
          <cell r="S209">
            <v>167.97</v>
          </cell>
          <cell r="X209">
            <v>190.04</v>
          </cell>
          <cell r="Y209">
            <v>209.02</v>
          </cell>
          <cell r="Z209">
            <v>168.29</v>
          </cell>
          <cell r="AA209">
            <v>3965</v>
          </cell>
          <cell r="AC209">
            <v>190.65</v>
          </cell>
          <cell r="AD209">
            <v>223.9</v>
          </cell>
          <cell r="AE209">
            <v>168.12</v>
          </cell>
          <cell r="AI209">
            <v>26797</v>
          </cell>
          <cell r="AJ209">
            <v>0</v>
          </cell>
          <cell r="AK209">
            <v>184.24</v>
          </cell>
          <cell r="AL209">
            <v>215.3</v>
          </cell>
          <cell r="AM209">
            <v>168.1</v>
          </cell>
          <cell r="AN209">
            <v>3112.427048260382</v>
          </cell>
          <cell r="AO209">
            <v>41.55</v>
          </cell>
          <cell r="AP209">
            <v>41.55</v>
          </cell>
          <cell r="AQ209">
            <v>41.55</v>
          </cell>
          <cell r="AR209">
            <v>0</v>
          </cell>
        </row>
        <row r="210">
          <cell r="S210">
            <v>168.21</v>
          </cell>
          <cell r="X210">
            <v>24969</v>
          </cell>
          <cell r="Y210">
            <v>168.03</v>
          </cell>
          <cell r="Z210">
            <v>168.01</v>
          </cell>
          <cell r="AC210">
            <v>24028</v>
          </cell>
          <cell r="AD210">
            <v>168.2</v>
          </cell>
          <cell r="AE210">
            <v>168.2</v>
          </cell>
          <cell r="AI210">
            <v>168.11</v>
          </cell>
          <cell r="AJ210">
            <v>168.1</v>
          </cell>
          <cell r="AK210">
            <v>68498</v>
          </cell>
          <cell r="AL210">
            <v>23068</v>
          </cell>
          <cell r="AM210">
            <v>0</v>
          </cell>
          <cell r="AN210">
            <v>41.55</v>
          </cell>
          <cell r="AO210">
            <v>52</v>
          </cell>
          <cell r="AP210">
            <v>52</v>
          </cell>
          <cell r="AQ210">
            <v>11697.572951739618</v>
          </cell>
        </row>
        <row r="211">
          <cell r="X211">
            <v>15982</v>
          </cell>
          <cell r="AC211">
            <v>15481</v>
          </cell>
          <cell r="AK211">
            <v>41877</v>
          </cell>
          <cell r="AL211">
            <v>16729</v>
          </cell>
          <cell r="AM211">
            <v>25148</v>
          </cell>
          <cell r="AN211">
            <v>52</v>
          </cell>
          <cell r="AO211">
            <v>14862</v>
          </cell>
          <cell r="AP211">
            <v>3164.427048260382</v>
          </cell>
          <cell r="AQ211">
            <v>11697.572951739618</v>
          </cell>
        </row>
        <row r="212">
          <cell r="X212">
            <v>13610</v>
          </cell>
          <cell r="AC212">
            <v>11589</v>
          </cell>
          <cell r="AI212">
            <v>26797</v>
          </cell>
          <cell r="AJ212">
            <v>15717</v>
          </cell>
          <cell r="AK212">
            <v>11080</v>
          </cell>
          <cell r="AM212">
            <v>14862</v>
          </cell>
          <cell r="AN212">
            <v>3164.427048260382</v>
          </cell>
          <cell r="AO212">
            <v>11697.572951739618</v>
          </cell>
        </row>
        <row r="220">
          <cell r="G220" t="str">
            <v>Б.В.ЯЩЕНКО</v>
          </cell>
        </row>
        <row r="221">
          <cell r="G221" t="str">
            <v>М.В.ТЕРПИЛО</v>
          </cell>
        </row>
        <row r="222">
          <cell r="G222" t="str">
            <v xml:space="preserve">В.І.МИРГОРОДСЬКИЙ                                  </v>
          </cell>
        </row>
        <row r="223">
          <cell r="G223" t="str">
            <v xml:space="preserve">М.І.ШЕВЧЕНКО                                 </v>
          </cell>
          <cell r="AN223">
            <v>1507.2</v>
          </cell>
        </row>
        <row r="224">
          <cell r="G224" t="str">
            <v>В.Ю.МОНТЬЕВ</v>
          </cell>
        </row>
        <row r="225">
          <cell r="G225" t="str">
            <v xml:space="preserve">О.М.НИКОЛЕНКО      </v>
          </cell>
        </row>
        <row r="226">
          <cell r="G226" t="str">
            <v xml:space="preserve">О.М.НИКОЛЕНКО      </v>
          </cell>
        </row>
        <row r="229">
          <cell r="S229" t="str">
            <v>ТИС.ГРН.</v>
          </cell>
          <cell r="AP229">
            <v>1507.2</v>
          </cell>
        </row>
        <row r="230">
          <cell r="P230" t="str">
            <v>ТЕЦ-6 ВСЬОГО</v>
          </cell>
          <cell r="Q230" t="str">
            <v>Е/Е</v>
          </cell>
          <cell r="R230" t="str">
            <v xml:space="preserve"> Т/Е</v>
          </cell>
          <cell r="S230" t="str">
            <v xml:space="preserve">ДОП.ВИР. </v>
          </cell>
          <cell r="T230" t="str">
            <v>ДОП.ВИР. СТ.ОРГ.</v>
          </cell>
          <cell r="U230" t="str">
            <v>АК КЕ ВСЬОГО</v>
          </cell>
          <cell r="V230" t="str">
            <v>Е/Е</v>
          </cell>
          <cell r="W230" t="str">
            <v xml:space="preserve"> Т/Е</v>
          </cell>
          <cell r="AC230" t="str">
            <v>СТАНЦІї ЕЛЕКТРО</v>
          </cell>
          <cell r="AD230" t="str">
            <v>СТАНЦІІ ТЕПЛОВІ</v>
          </cell>
          <cell r="AE230" t="str">
            <v>МЕРЕЖІ ЕЛЕКТРО</v>
          </cell>
          <cell r="AF230" t="str">
            <v>МЕРЕЖІ ТЕПЛОВІ</v>
          </cell>
          <cell r="AP230">
            <v>1507.2</v>
          </cell>
        </row>
        <row r="233">
          <cell r="P233">
            <v>2409.6737288135591</v>
          </cell>
          <cell r="Q233">
            <v>1422</v>
          </cell>
          <cell r="R233">
            <v>796.42372881355914</v>
          </cell>
          <cell r="S233">
            <v>1077.625</v>
          </cell>
          <cell r="T233">
            <v>1129</v>
          </cell>
          <cell r="U233">
            <v>23976.15725132322</v>
          </cell>
          <cell r="V233" t="e">
            <v>#REF!</v>
          </cell>
          <cell r="W233">
            <v>44621.157251323224</v>
          </cell>
        </row>
        <row r="234">
          <cell r="P234">
            <v>733.8070175438595</v>
          </cell>
          <cell r="Q234">
            <v>1327</v>
          </cell>
          <cell r="R234">
            <v>742.99999999999977</v>
          </cell>
          <cell r="S234">
            <v>605</v>
          </cell>
          <cell r="T234">
            <v>117</v>
          </cell>
          <cell r="U234">
            <v>15320.660540053519</v>
          </cell>
          <cell r="V234" t="e">
            <v>#REF!</v>
          </cell>
        </row>
        <row r="236">
          <cell r="P236">
            <v>733.8070175438595</v>
          </cell>
          <cell r="S236">
            <v>685</v>
          </cell>
          <cell r="U236">
            <v>15689.007333333333</v>
          </cell>
          <cell r="V236">
            <v>15376.340666666665</v>
          </cell>
        </row>
        <row r="237">
          <cell r="P237">
            <v>431.86671126969964</v>
          </cell>
          <cell r="Q237">
            <v>63</v>
          </cell>
          <cell r="R237">
            <v>35.423728813559308</v>
          </cell>
          <cell r="S237">
            <v>537.625</v>
          </cell>
          <cell r="T237">
            <v>1012</v>
          </cell>
          <cell r="U237">
            <v>4138.4967112696995</v>
          </cell>
          <cell r="V237">
            <v>4138.4967112696995</v>
          </cell>
        </row>
        <row r="238">
          <cell r="P238">
            <v>131.12735849056605</v>
          </cell>
          <cell r="S238">
            <v>146.625</v>
          </cell>
          <cell r="U238">
            <v>1220.7727272727273</v>
          </cell>
          <cell r="V238">
            <v>1231.382075471698</v>
          </cell>
          <cell r="AG238" t="str">
            <v xml:space="preserve">         Затверджую</v>
          </cell>
        </row>
        <row r="239">
          <cell r="P239">
            <v>42</v>
          </cell>
          <cell r="Q239">
            <v>0</v>
          </cell>
          <cell r="R239">
            <v>0</v>
          </cell>
          <cell r="S239">
            <v>0</v>
          </cell>
          <cell r="T239">
            <v>0</v>
          </cell>
          <cell r="U239">
            <v>3586.2745410050566</v>
          </cell>
          <cell r="V239">
            <v>3586.2745410050566</v>
          </cell>
          <cell r="AG239" t="str">
            <v xml:space="preserve"> Голова правління </v>
          </cell>
        </row>
        <row r="240">
          <cell r="P240">
            <v>12</v>
          </cell>
          <cell r="S240">
            <v>0</v>
          </cell>
          <cell r="U240">
            <v>589</v>
          </cell>
          <cell r="V240">
            <v>589</v>
          </cell>
          <cell r="AG240" t="str">
            <v xml:space="preserve">                        І.В.Плачков</v>
          </cell>
        </row>
        <row r="241">
          <cell r="P241">
            <v>30</v>
          </cell>
          <cell r="S241">
            <v>0</v>
          </cell>
          <cell r="U241">
            <v>53.583333333333336</v>
          </cell>
          <cell r="V241">
            <v>53.583333333333336</v>
          </cell>
          <cell r="AC241">
            <v>6</v>
          </cell>
          <cell r="AD241">
            <v>6</v>
          </cell>
          <cell r="AE241">
            <v>12</v>
          </cell>
          <cell r="AG241" t="str">
            <v xml:space="preserve">   "_____" ________2000 р.</v>
          </cell>
        </row>
        <row r="242">
          <cell r="U242">
            <v>-149.73279232827699</v>
          </cell>
          <cell r="V242">
            <v>-149.73279232827699</v>
          </cell>
        </row>
        <row r="243">
          <cell r="U243">
            <v>2421.3333333333335</v>
          </cell>
          <cell r="V243">
            <v>2421.3333333333335</v>
          </cell>
        </row>
        <row r="244">
          <cell r="P244">
            <v>0</v>
          </cell>
          <cell r="Q244">
            <v>0</v>
          </cell>
          <cell r="R244">
            <v>0</v>
          </cell>
          <cell r="S244">
            <v>0</v>
          </cell>
          <cell r="U244">
            <v>672.09066666666661</v>
          </cell>
          <cell r="V244">
            <v>672.09066666666661</v>
          </cell>
          <cell r="AG244" t="str">
            <v xml:space="preserve">         Затверджую</v>
          </cell>
        </row>
        <row r="245">
          <cell r="F245" t="str">
            <v>РОЗРАХУНОК ФІНАНСОВИХ ПОТОКІВ НА   березень  2000 року</v>
          </cell>
          <cell r="V245">
            <v>0</v>
          </cell>
          <cell r="AG245" t="str">
            <v xml:space="preserve"> Голова правління </v>
          </cell>
        </row>
        <row r="246">
          <cell r="F246" t="str">
            <v>ПО ФІЛІАЛАХ АК КИЇВЕНЕРГО</v>
          </cell>
          <cell r="P246">
            <v>450</v>
          </cell>
          <cell r="S246">
            <v>406</v>
          </cell>
          <cell r="U246">
            <v>4903</v>
          </cell>
          <cell r="V246">
            <v>4635</v>
          </cell>
          <cell r="AG246" t="str">
            <v xml:space="preserve">                        І.В.Плачков</v>
          </cell>
        </row>
        <row r="247">
          <cell r="P247">
            <v>1174</v>
          </cell>
          <cell r="S247">
            <v>0</v>
          </cell>
          <cell r="U247">
            <v>2921</v>
          </cell>
          <cell r="V247">
            <v>2921</v>
          </cell>
          <cell r="AG247" t="str">
            <v xml:space="preserve">   "_____" ________2000 р.</v>
          </cell>
        </row>
        <row r="248">
          <cell r="V248">
            <v>0</v>
          </cell>
          <cell r="AG248" t="str">
            <v xml:space="preserve">   "_____" ________2000 р.</v>
          </cell>
        </row>
        <row r="249">
          <cell r="P249">
            <v>-100</v>
          </cell>
          <cell r="Q249">
            <v>0</v>
          </cell>
          <cell r="R249">
            <v>0</v>
          </cell>
          <cell r="S249">
            <v>0</v>
          </cell>
          <cell r="T249">
            <v>0</v>
          </cell>
          <cell r="U249">
            <v>-578</v>
          </cell>
          <cell r="V249">
            <v>-578</v>
          </cell>
        </row>
        <row r="250">
          <cell r="P250">
            <v>0</v>
          </cell>
          <cell r="Q250">
            <v>0</v>
          </cell>
          <cell r="R250">
            <v>0</v>
          </cell>
          <cell r="S250">
            <v>0</v>
          </cell>
          <cell r="T250">
            <v>0</v>
          </cell>
          <cell r="U250">
            <v>0</v>
          </cell>
          <cell r="V250">
            <v>0</v>
          </cell>
        </row>
        <row r="251">
          <cell r="F251" t="str">
            <v>РОЗРАХУНОК ФІНАНСОВИХ ПОТОКІВ НА   березень  2000 року</v>
          </cell>
          <cell r="V251">
            <v>0</v>
          </cell>
          <cell r="AI251" t="str">
            <v>тис.грн.</v>
          </cell>
        </row>
        <row r="252">
          <cell r="F252" t="str">
            <v>ПО ФІЛІАЛАХ АК КИЇВЕНЕРГО</v>
          </cell>
          <cell r="G252" t="str">
            <v>АПАРАТ ЕЛЕКТРО</v>
          </cell>
          <cell r="H252" t="str">
            <v>АПАРАТ ТЕПЛО</v>
          </cell>
          <cell r="P252" t="str">
            <v>КМ</v>
          </cell>
          <cell r="Q252" t="str">
            <v>ТМ</v>
          </cell>
          <cell r="S252" t="str">
            <v>КТМ</v>
          </cell>
          <cell r="T252" t="str">
            <v>ВИРОБН</v>
          </cell>
          <cell r="U252" t="str">
            <v>ПЕРЕД</v>
          </cell>
          <cell r="V252">
            <v>331</v>
          </cell>
          <cell r="X252" t="str">
            <v>ТЕЦ-5 ВСЬОГО</v>
          </cell>
          <cell r="Y252" t="str">
            <v>Е/Е</v>
          </cell>
          <cell r="Z252" t="str">
            <v xml:space="preserve"> Т/Е</v>
          </cell>
          <cell r="AC252" t="str">
            <v>ТЕЦ-6 ВСЬОГО</v>
          </cell>
          <cell r="AD252" t="str">
            <v>Е/Е</v>
          </cell>
          <cell r="AE252" t="str">
            <v xml:space="preserve"> Т/Е</v>
          </cell>
          <cell r="AF252" t="str">
            <v>ТРМ ВСЬОГО</v>
          </cell>
          <cell r="AG252" t="str">
            <v>ТРМ  АК КЕ</v>
          </cell>
          <cell r="AH252" t="str">
            <v>ТРМ СТОР</v>
          </cell>
          <cell r="AI252" t="str">
            <v>АК КЕ осн.вир.</v>
          </cell>
          <cell r="AJ252" t="str">
            <v>АК КЕ ВСЬОГО</v>
          </cell>
          <cell r="AK252" t="str">
            <v xml:space="preserve"> Т/Е</v>
          </cell>
          <cell r="AM252" t="str">
            <v>СТАНЦІї ЕЛЕКТРО</v>
          </cell>
          <cell r="AN252" t="str">
            <v>СТАНЦІІ ТЕПЛОВІ</v>
          </cell>
          <cell r="AO252" t="str">
            <v>МЕРЕЖІ ЕЛЕКТРО</v>
          </cell>
          <cell r="AP252" t="str">
            <v>МЕРЕЖІ ТЕПЛОВІ</v>
          </cell>
        </row>
        <row r="253">
          <cell r="F253" t="str">
            <v>ПО ФІЛІАЛАХ АК КИЇВЕНЕРГО</v>
          </cell>
          <cell r="P253">
            <v>3631.1559999999999</v>
          </cell>
          <cell r="S253">
            <v>9526.8578787878778</v>
          </cell>
          <cell r="U253">
            <v>200</v>
          </cell>
          <cell r="V253">
            <v>200</v>
          </cell>
          <cell r="X253">
            <v>2672.4863636363625</v>
          </cell>
          <cell r="AC253">
            <v>1389.1963636363635</v>
          </cell>
          <cell r="AF253">
            <v>4185.9539393939394</v>
          </cell>
          <cell r="AG253">
            <v>3391.2</v>
          </cell>
          <cell r="AH253">
            <v>794.7539393939395</v>
          </cell>
          <cell r="AI253">
            <v>27896.847545454541</v>
          </cell>
        </row>
        <row r="254">
          <cell r="V254">
            <v>0</v>
          </cell>
        </row>
        <row r="255">
          <cell r="F255" t="e">
            <v>#REF!</v>
          </cell>
          <cell r="G255">
            <v>2614</v>
          </cell>
          <cell r="H255">
            <v>3572.1970000000001</v>
          </cell>
          <cell r="P255">
            <v>3631.1559999999999</v>
          </cell>
          <cell r="Q255">
            <v>0</v>
          </cell>
          <cell r="R255">
            <v>0</v>
          </cell>
          <cell r="S255">
            <v>9526.8578787878778</v>
          </cell>
          <cell r="T255">
            <v>2010.6708606060602</v>
          </cell>
          <cell r="U255">
            <v>2621.0370181818184</v>
          </cell>
          <cell r="V255">
            <v>0</v>
          </cell>
          <cell r="W255">
            <v>0</v>
          </cell>
          <cell r="X255">
            <v>2672.4863636363625</v>
          </cell>
          <cell r="Y255">
            <v>1687</v>
          </cell>
          <cell r="Z255">
            <v>695.48636363636342</v>
          </cell>
          <cell r="AA255">
            <v>0</v>
          </cell>
          <cell r="AB255">
            <v>0</v>
          </cell>
          <cell r="AC255">
            <v>1389.1963636363635</v>
          </cell>
          <cell r="AD255">
            <v>683</v>
          </cell>
          <cell r="AE255">
            <v>621.19636363636255</v>
          </cell>
          <cell r="AF255">
            <v>4185.9539393939394</v>
          </cell>
          <cell r="AG255">
            <v>3391.2</v>
          </cell>
          <cell r="AH255">
            <v>794.7539393939395</v>
          </cell>
          <cell r="AI255" t="e">
            <v>#REF!</v>
          </cell>
          <cell r="AK255">
            <v>50607.25</v>
          </cell>
        </row>
        <row r="256">
          <cell r="F256" t="e">
            <v>#REF!</v>
          </cell>
          <cell r="G256">
            <v>2402</v>
          </cell>
          <cell r="H256">
            <v>3242.5</v>
          </cell>
          <cell r="P256">
            <v>1276.2359999999999</v>
          </cell>
          <cell r="S256">
            <v>5217.4833333333318</v>
          </cell>
          <cell r="T256">
            <v>1249.7813333333329</v>
          </cell>
          <cell r="U256">
            <v>1143.1520000000005</v>
          </cell>
          <cell r="V256">
            <v>366</v>
          </cell>
          <cell r="X256">
            <v>1178.9999999999986</v>
          </cell>
          <cell r="Y256">
            <v>995</v>
          </cell>
          <cell r="Z256">
            <v>410.19999999999976</v>
          </cell>
          <cell r="AC256">
            <v>204.39999999999986</v>
          </cell>
          <cell r="AD256">
            <v>149</v>
          </cell>
          <cell r="AE256">
            <v>135.79999999999887</v>
          </cell>
          <cell r="AF256">
            <v>314.4666666666667</v>
          </cell>
          <cell r="AG256">
            <v>497.99999999999977</v>
          </cell>
          <cell r="AH256">
            <v>177.46666666666684</v>
          </cell>
          <cell r="AI256" t="e">
            <v>#REF!</v>
          </cell>
          <cell r="AK256" t="e">
            <v>#REF!</v>
          </cell>
        </row>
        <row r="257">
          <cell r="F257" t="e">
            <v>#REF!</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t="e">
            <v>#REF!</v>
          </cell>
          <cell r="AK257" t="str">
            <v>тис.грн.</v>
          </cell>
        </row>
        <row r="258">
          <cell r="F258" t="str">
            <v>ВИКОН.ДИР.</v>
          </cell>
          <cell r="G258" t="str">
            <v>АПАРАТ ЕЛЕКТРО</v>
          </cell>
          <cell r="H258" t="str">
            <v>АПАРАТ ТЕПЛО</v>
          </cell>
          <cell r="P258" t="str">
            <v>КМ</v>
          </cell>
          <cell r="Q258" t="str">
            <v>ТМ</v>
          </cell>
          <cell r="S258" t="str">
            <v>КТМ</v>
          </cell>
          <cell r="T258" t="str">
            <v>ВИРОБН</v>
          </cell>
          <cell r="U258" t="str">
            <v>ПЕРЕД</v>
          </cell>
          <cell r="V258">
            <v>0</v>
          </cell>
          <cell r="X258" t="str">
            <v>ТЕЦ-5 ВСЬОГО</v>
          </cell>
          <cell r="Y258" t="str">
            <v>Е/Е</v>
          </cell>
          <cell r="Z258" t="str">
            <v xml:space="preserve"> Т/Е</v>
          </cell>
          <cell r="AC258" t="str">
            <v>ТЕЦ-6 ВСЬОГО</v>
          </cell>
          <cell r="AD258" t="str">
            <v>Е/Е</v>
          </cell>
          <cell r="AE258" t="str">
            <v xml:space="preserve"> Т/Е</v>
          </cell>
          <cell r="AF258" t="str">
            <v>ТРМ ВСЬОГО</v>
          </cell>
          <cell r="AG258" t="str">
            <v>ТРМ  АК КЕ</v>
          </cell>
          <cell r="AH258" t="str">
            <v>ТРМ СТОР</v>
          </cell>
          <cell r="AI258">
            <v>26797</v>
          </cell>
          <cell r="AJ258" t="str">
            <v>ДОП.ВИР. СТ.ОРГ.</v>
          </cell>
          <cell r="AK258" t="str">
            <v>АК КЕ осн.вир.</v>
          </cell>
          <cell r="AL258" t="str">
            <v>АК КЕ ВСЬОГО</v>
          </cell>
          <cell r="AM258" t="str">
            <v xml:space="preserve"> Т/Е</v>
          </cell>
          <cell r="AO258" t="str">
            <v>СТАНЦІї ЕЛЕКТРО</v>
          </cell>
          <cell r="AP258" t="str">
            <v>СТАНЦІІ ТЕПЛОВІ</v>
          </cell>
          <cell r="AQ258" t="str">
            <v>МЕРЕЖІ ЕЛЕКТРО</v>
          </cell>
          <cell r="AR258" t="str">
            <v>МЕРЕЖІ ТЕПЛОВІ</v>
          </cell>
        </row>
        <row r="259">
          <cell r="F259">
            <v>4084</v>
          </cell>
          <cell r="G259" t="str">
            <v>АПАРАТ ЕЛЕКТРО</v>
          </cell>
          <cell r="H259" t="str">
            <v>АПАРАТ ТЕПЛО</v>
          </cell>
          <cell r="P259">
            <v>5528.9166666666661</v>
          </cell>
          <cell r="Q259" t="str">
            <v>ТМ</v>
          </cell>
          <cell r="S259">
            <v>11148.516969696972</v>
          </cell>
          <cell r="T259" t="str">
            <v>ВИРОБН</v>
          </cell>
          <cell r="U259" t="str">
            <v>ПЕРЕД</v>
          </cell>
          <cell r="V259">
            <v>2217</v>
          </cell>
          <cell r="X259">
            <v>3572.9196969697005</v>
          </cell>
          <cell r="Y259" t="str">
            <v>Е/Е</v>
          </cell>
          <cell r="Z259" t="str">
            <v xml:space="preserve"> Т/Е</v>
          </cell>
          <cell r="AC259">
            <v>1815.6175757575729</v>
          </cell>
          <cell r="AD259" t="str">
            <v>Е/Е</v>
          </cell>
          <cell r="AE259" t="str">
            <v xml:space="preserve"> Т/Е</v>
          </cell>
          <cell r="AF259">
            <v>5288.3842424242421</v>
          </cell>
          <cell r="AG259">
            <v>4487.3999999999996</v>
          </cell>
          <cell r="AH259">
            <v>801.98424242424232</v>
          </cell>
          <cell r="AI259">
            <v>5607</v>
          </cell>
          <cell r="AJ259">
            <v>7599</v>
          </cell>
          <cell r="AK259">
            <v>32648.355151515156</v>
          </cell>
          <cell r="AL259" t="str">
            <v>АК КЕ ВСЬОГО</v>
          </cell>
          <cell r="AM259" t="str">
            <v xml:space="preserve"> Т/Е</v>
          </cell>
          <cell r="AO259" t="str">
            <v>СТАНЦІї ЕЛЕКТРО</v>
          </cell>
          <cell r="AP259" t="str">
            <v>СТАНЦІІ ТЕПЛОВІ</v>
          </cell>
          <cell r="AQ259" t="str">
            <v>МЕРЕЖІ ЕЛЕКТРО</v>
          </cell>
          <cell r="AR259" t="str">
            <v>МЕРЕЖІ ТЕПЛОВІ</v>
          </cell>
        </row>
        <row r="260">
          <cell r="F260">
            <v>4700</v>
          </cell>
          <cell r="P260">
            <v>3875.9166666666665</v>
          </cell>
          <cell r="Q260">
            <v>0</v>
          </cell>
          <cell r="R260">
            <v>0</v>
          </cell>
          <cell r="S260">
            <v>9516.0260606060619</v>
          </cell>
          <cell r="T260">
            <v>0</v>
          </cell>
          <cell r="U260">
            <v>0</v>
          </cell>
          <cell r="V260">
            <v>0</v>
          </cell>
          <cell r="W260">
            <v>0</v>
          </cell>
          <cell r="X260">
            <v>3231.389696969698</v>
          </cell>
          <cell r="Y260">
            <v>0</v>
          </cell>
          <cell r="Z260">
            <v>0</v>
          </cell>
          <cell r="AA260">
            <v>0</v>
          </cell>
          <cell r="AB260">
            <v>0</v>
          </cell>
          <cell r="AC260">
            <v>1662.8115151515158</v>
          </cell>
          <cell r="AD260">
            <v>0</v>
          </cell>
          <cell r="AE260">
            <v>0</v>
          </cell>
          <cell r="AF260">
            <v>4222.1842424242423</v>
          </cell>
          <cell r="AG260">
            <v>3452</v>
          </cell>
          <cell r="AH260">
            <v>770.05090909090904</v>
          </cell>
          <cell r="AI260" t="e">
            <v>#REF!</v>
          </cell>
          <cell r="AJ260">
            <v>7599</v>
          </cell>
          <cell r="AK260">
            <v>28662.328181818182</v>
          </cell>
        </row>
        <row r="261">
          <cell r="F261">
            <v>13558.857142857143</v>
          </cell>
          <cell r="G261">
            <v>1680.0409150901905</v>
          </cell>
          <cell r="H261">
            <v>3353.9590849098108</v>
          </cell>
          <cell r="P261">
            <v>5528.9166666666661</v>
          </cell>
          <cell r="Q261">
            <v>0</v>
          </cell>
          <cell r="R261">
            <v>0</v>
          </cell>
          <cell r="S261">
            <v>11148.516969696972</v>
          </cell>
          <cell r="T261">
            <v>4612.7199818181807</v>
          </cell>
          <cell r="U261">
            <v>3068.7969878787876</v>
          </cell>
          <cell r="V261">
            <v>0</v>
          </cell>
          <cell r="W261">
            <v>0</v>
          </cell>
          <cell r="X261">
            <v>3572.9196969697005</v>
          </cell>
          <cell r="Y261">
            <v>1788</v>
          </cell>
          <cell r="Z261">
            <v>1559.9196969696968</v>
          </cell>
          <cell r="AA261">
            <v>0</v>
          </cell>
          <cell r="AB261">
            <v>0</v>
          </cell>
          <cell r="AC261">
            <v>1815.6175757575729</v>
          </cell>
          <cell r="AD261">
            <v>666</v>
          </cell>
          <cell r="AE261">
            <v>979.61757575757656</v>
          </cell>
          <cell r="AF261">
            <v>5288.3842424242421</v>
          </cell>
          <cell r="AG261">
            <v>4487.3999999999996</v>
          </cell>
          <cell r="AH261">
            <v>801.98424242424232</v>
          </cell>
          <cell r="AI261">
            <v>721.80000000000007</v>
          </cell>
          <cell r="AJ261">
            <v>0</v>
          </cell>
          <cell r="AK261">
            <v>95584.228051948041</v>
          </cell>
          <cell r="AM261">
            <v>78593.25</v>
          </cell>
        </row>
        <row r="262">
          <cell r="F262">
            <v>7422.5571428571438</v>
          </cell>
          <cell r="G262">
            <v>1518.0409150901905</v>
          </cell>
          <cell r="H262">
            <v>2928.9590849098108</v>
          </cell>
          <cell r="P262">
            <v>3433.9999999999991</v>
          </cell>
          <cell r="Q262">
            <v>0</v>
          </cell>
          <cell r="R262">
            <v>0</v>
          </cell>
          <cell r="S262">
            <v>4201.3333333333358</v>
          </cell>
          <cell r="T262">
            <v>3752.599999999999</v>
          </cell>
          <cell r="U262">
            <v>1487.7333333333331</v>
          </cell>
          <cell r="V262">
            <v>0</v>
          </cell>
          <cell r="W262">
            <v>0</v>
          </cell>
          <cell r="X262">
            <v>1311.3333333333371</v>
          </cell>
          <cell r="Y262">
            <v>1280</v>
          </cell>
          <cell r="Z262">
            <v>1117.333333333333</v>
          </cell>
          <cell r="AA262">
            <v>0</v>
          </cell>
          <cell r="AB262">
            <v>0</v>
          </cell>
          <cell r="AC262">
            <v>513.66666666666367</v>
          </cell>
          <cell r="AD262">
            <v>309</v>
          </cell>
          <cell r="AE262">
            <v>454.66666666666742</v>
          </cell>
          <cell r="AF262">
            <v>1352.6666666666665</v>
          </cell>
          <cell r="AG262">
            <v>1658.3999999999996</v>
          </cell>
          <cell r="AH262">
            <v>-304.73333333333335</v>
          </cell>
          <cell r="AI262">
            <v>0</v>
          </cell>
          <cell r="AJ262">
            <v>-2455</v>
          </cell>
          <cell r="AK262">
            <v>76701.57290043289</v>
          </cell>
          <cell r="AM262">
            <v>17214.890476190481</v>
          </cell>
        </row>
        <row r="263">
          <cell r="F263">
            <v>67522.157142857148</v>
          </cell>
          <cell r="G263">
            <v>1693.9907526329307</v>
          </cell>
          <cell r="H263">
            <v>3557.0092473670693</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t="e">
            <v>#REF!</v>
          </cell>
          <cell r="AJ263">
            <v>-2455</v>
          </cell>
          <cell r="AK263">
            <v>67522.157142857148</v>
          </cell>
          <cell r="AM263">
            <v>17399.198571428577</v>
          </cell>
        </row>
        <row r="264">
          <cell r="F264">
            <v>41877</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3500</v>
          </cell>
          <cell r="AK264">
            <v>41877</v>
          </cell>
        </row>
        <row r="265">
          <cell r="F265">
            <v>15510</v>
          </cell>
          <cell r="P265">
            <v>168</v>
          </cell>
          <cell r="Q265">
            <v>108</v>
          </cell>
          <cell r="R265">
            <v>60</v>
          </cell>
          <cell r="S265">
            <v>0</v>
          </cell>
          <cell r="T265">
            <v>16</v>
          </cell>
          <cell r="U265">
            <v>405.33333333333348</v>
          </cell>
          <cell r="AI265">
            <v>0</v>
          </cell>
          <cell r="AK265">
            <v>15510</v>
          </cell>
        </row>
        <row r="266">
          <cell r="F266">
            <v>6362.1571428571433</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538</v>
          </cell>
          <cell r="AK266">
            <v>6362.1571428571433</v>
          </cell>
        </row>
        <row r="267">
          <cell r="F267">
            <v>660.3</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t="e">
            <v>#REF!</v>
          </cell>
          <cell r="AK267">
            <v>660.3</v>
          </cell>
        </row>
        <row r="268">
          <cell r="F268">
            <v>0</v>
          </cell>
          <cell r="P268">
            <v>0</v>
          </cell>
          <cell r="Q268">
            <v>0</v>
          </cell>
          <cell r="R268">
            <v>0</v>
          </cell>
          <cell r="S268">
            <v>0</v>
          </cell>
          <cell r="U268">
            <v>0</v>
          </cell>
          <cell r="V268">
            <v>11</v>
          </cell>
          <cell r="X268">
            <v>0</v>
          </cell>
          <cell r="AC268">
            <v>0</v>
          </cell>
          <cell r="AF268">
            <v>0</v>
          </cell>
          <cell r="AG268">
            <v>0</v>
          </cell>
          <cell r="AH268">
            <v>0</v>
          </cell>
          <cell r="AI268">
            <v>295</v>
          </cell>
          <cell r="AK268">
            <v>0</v>
          </cell>
        </row>
        <row r="269">
          <cell r="F269">
            <v>1380.8571428571431</v>
          </cell>
          <cell r="P269">
            <v>3631.1559999999999</v>
          </cell>
          <cell r="Q269">
            <v>0</v>
          </cell>
          <cell r="R269">
            <v>0</v>
          </cell>
          <cell r="S269">
            <v>9526.8578787878778</v>
          </cell>
          <cell r="T269">
            <v>0</v>
          </cell>
          <cell r="U269">
            <v>0</v>
          </cell>
          <cell r="V269">
            <v>0</v>
          </cell>
          <cell r="W269">
            <v>0</v>
          </cell>
          <cell r="X269">
            <v>2672.4863636363625</v>
          </cell>
          <cell r="Y269">
            <v>0</v>
          </cell>
          <cell r="Z269">
            <v>0</v>
          </cell>
          <cell r="AA269">
            <v>0</v>
          </cell>
          <cell r="AB269">
            <v>0</v>
          </cell>
          <cell r="AC269">
            <v>1389.1963636363635</v>
          </cell>
          <cell r="AD269">
            <v>0</v>
          </cell>
          <cell r="AE269">
            <v>0</v>
          </cell>
          <cell r="AF269">
            <v>4185.9539393939394</v>
          </cell>
          <cell r="AG269">
            <v>3391.2</v>
          </cell>
          <cell r="AH269">
            <v>794.7539393939395</v>
          </cell>
          <cell r="AI269" t="e">
            <v>#REF!</v>
          </cell>
          <cell r="AK269">
            <v>1380.8571428571431</v>
          </cell>
        </row>
        <row r="270">
          <cell r="F270">
            <v>3500</v>
          </cell>
          <cell r="P270">
            <v>1864.5200000000002</v>
          </cell>
          <cell r="Q270">
            <v>0</v>
          </cell>
          <cell r="R270">
            <v>0</v>
          </cell>
          <cell r="S270">
            <v>3624.1866666666665</v>
          </cell>
          <cell r="T270">
            <v>611.67619393939378</v>
          </cell>
          <cell r="U270">
            <v>622.76501818181805</v>
          </cell>
          <cell r="V270">
            <v>0</v>
          </cell>
          <cell r="W270">
            <v>0</v>
          </cell>
          <cell r="X270">
            <v>1667.4500000000003</v>
          </cell>
          <cell r="Y270">
            <v>790</v>
          </cell>
          <cell r="Z270">
            <v>326.08636363636373</v>
          </cell>
          <cell r="AA270">
            <v>0</v>
          </cell>
          <cell r="AB270">
            <v>0</v>
          </cell>
          <cell r="AC270">
            <v>821.09333333333336</v>
          </cell>
          <cell r="AD270">
            <v>205</v>
          </cell>
          <cell r="AE270">
            <v>186.72969696969702</v>
          </cell>
          <cell r="AF270">
            <v>2892.76</v>
          </cell>
          <cell r="AG270">
            <v>1914.2</v>
          </cell>
          <cell r="AH270">
            <v>617.55999999999995</v>
          </cell>
          <cell r="AI270">
            <v>13501.707000000002</v>
          </cell>
          <cell r="AK270">
            <v>3500</v>
          </cell>
        </row>
        <row r="271">
          <cell r="F271">
            <v>0</v>
          </cell>
          <cell r="G271">
            <v>212</v>
          </cell>
          <cell r="H271">
            <v>329.697</v>
          </cell>
          <cell r="P271">
            <v>904.32</v>
          </cell>
          <cell r="S271">
            <v>1900.3199999999997</v>
          </cell>
          <cell r="T271">
            <v>598.00952727272715</v>
          </cell>
          <cell r="U271">
            <v>622.76501818181805</v>
          </cell>
          <cell r="X271">
            <v>643.65000000000009</v>
          </cell>
          <cell r="Y271">
            <v>288</v>
          </cell>
          <cell r="Z271">
            <v>119.28636363636366</v>
          </cell>
          <cell r="AC271">
            <v>537.76</v>
          </cell>
          <cell r="AD271">
            <v>198</v>
          </cell>
          <cell r="AE271">
            <v>180.39636363636367</v>
          </cell>
          <cell r="AF271">
            <v>1730.76</v>
          </cell>
          <cell r="AG271">
            <v>1429.2</v>
          </cell>
          <cell r="AH271">
            <v>301.55999999999995</v>
          </cell>
          <cell r="AI271">
            <v>6683.5069999999996</v>
          </cell>
          <cell r="AK271">
            <v>0</v>
          </cell>
        </row>
        <row r="272">
          <cell r="F272">
            <v>821</v>
          </cell>
          <cell r="P272">
            <v>0</v>
          </cell>
          <cell r="Q272">
            <v>0</v>
          </cell>
          <cell r="R272">
            <v>0</v>
          </cell>
          <cell r="S272">
            <v>0</v>
          </cell>
          <cell r="T272">
            <v>13.666666666666666</v>
          </cell>
          <cell r="U272">
            <v>0</v>
          </cell>
          <cell r="V272">
            <v>0</v>
          </cell>
          <cell r="W272">
            <v>0</v>
          </cell>
          <cell r="X272">
            <v>0</v>
          </cell>
          <cell r="Y272">
            <v>502</v>
          </cell>
          <cell r="Z272">
            <v>206.80000000000007</v>
          </cell>
          <cell r="AA272">
            <v>0</v>
          </cell>
          <cell r="AB272">
            <v>0</v>
          </cell>
          <cell r="AC272">
            <v>0</v>
          </cell>
          <cell r="AD272">
            <v>7</v>
          </cell>
          <cell r="AE272">
            <v>6.3333333333333339</v>
          </cell>
          <cell r="AF272">
            <v>0</v>
          </cell>
          <cell r="AG272">
            <v>0</v>
          </cell>
          <cell r="AH272">
            <v>0</v>
          </cell>
          <cell r="AI272">
            <v>721.80000000000007</v>
          </cell>
          <cell r="AK272">
            <v>821</v>
          </cell>
        </row>
        <row r="273">
          <cell r="F273">
            <v>3580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4672</v>
          </cell>
          <cell r="AK273">
            <v>3580</v>
          </cell>
        </row>
        <row r="274">
          <cell r="F274">
            <v>193</v>
          </cell>
          <cell r="P274">
            <v>0</v>
          </cell>
          <cell r="S274">
            <v>0</v>
          </cell>
          <cell r="X274">
            <v>0</v>
          </cell>
          <cell r="AC274">
            <v>0</v>
          </cell>
          <cell r="AF274">
            <v>0</v>
          </cell>
          <cell r="AG274">
            <v>0</v>
          </cell>
          <cell r="AH274">
            <v>0</v>
          </cell>
          <cell r="AI274">
            <v>1640</v>
          </cell>
          <cell r="AK274">
            <v>193</v>
          </cell>
        </row>
        <row r="275">
          <cell r="F275">
            <v>71606.157142857148</v>
          </cell>
          <cell r="P275">
            <v>5528.9166666666661</v>
          </cell>
          <cell r="Q275">
            <v>0</v>
          </cell>
          <cell r="R275">
            <v>0</v>
          </cell>
          <cell r="S275">
            <v>11148.516969696972</v>
          </cell>
          <cell r="T275">
            <v>0</v>
          </cell>
          <cell r="U275">
            <v>0</v>
          </cell>
          <cell r="V275">
            <v>0</v>
          </cell>
          <cell r="W275">
            <v>0</v>
          </cell>
          <cell r="X275">
            <v>3572.9196969697005</v>
          </cell>
          <cell r="Y275">
            <v>0</v>
          </cell>
          <cell r="Z275">
            <v>0</v>
          </cell>
          <cell r="AA275">
            <v>0</v>
          </cell>
          <cell r="AB275">
            <v>0</v>
          </cell>
          <cell r="AC275">
            <v>1815.6175757575729</v>
          </cell>
          <cell r="AD275">
            <v>0</v>
          </cell>
          <cell r="AE275">
            <v>0</v>
          </cell>
          <cell r="AF275">
            <v>5288.3842424242421</v>
          </cell>
          <cell r="AG275">
            <v>4487.3999999999996</v>
          </cell>
          <cell r="AH275">
            <v>801.98424242424232</v>
          </cell>
          <cell r="AI275">
            <v>952</v>
          </cell>
          <cell r="AK275">
            <v>100170.5122943723</v>
          </cell>
        </row>
        <row r="276">
          <cell r="F276">
            <v>1896</v>
          </cell>
          <cell r="P276">
            <v>1854.9166666666667</v>
          </cell>
          <cell r="Q276">
            <v>0</v>
          </cell>
          <cell r="R276">
            <v>0</v>
          </cell>
          <cell r="S276">
            <v>5871.4866666666667</v>
          </cell>
          <cell r="T276">
            <v>710.90664848484835</v>
          </cell>
          <cell r="U276">
            <v>725.94365454545448</v>
          </cell>
          <cell r="V276">
            <v>0</v>
          </cell>
          <cell r="W276">
            <v>0</v>
          </cell>
          <cell r="X276">
            <v>1753.95</v>
          </cell>
          <cell r="Y276">
            <v>549</v>
          </cell>
          <cell r="Z276">
            <v>479.58636363636367</v>
          </cell>
          <cell r="AA276">
            <v>0</v>
          </cell>
          <cell r="AB276">
            <v>9</v>
          </cell>
          <cell r="AC276">
            <v>853.19333333333338</v>
          </cell>
          <cell r="AD276">
            <v>149</v>
          </cell>
          <cell r="AE276">
            <v>219.28424242424248</v>
          </cell>
          <cell r="AF276">
            <v>3262.9266666666667</v>
          </cell>
          <cell r="AG276">
            <v>2588.909090909091</v>
          </cell>
          <cell r="AH276">
            <v>674.01757575757563</v>
          </cell>
          <cell r="AI276">
            <v>1370</v>
          </cell>
          <cell r="AK276">
            <v>16370.473333333333</v>
          </cell>
        </row>
        <row r="277">
          <cell r="F277">
            <v>587</v>
          </cell>
          <cell r="G277">
            <v>162</v>
          </cell>
          <cell r="H277">
            <v>425</v>
          </cell>
          <cell r="P277">
            <v>953.25</v>
          </cell>
          <cell r="Q277">
            <v>0</v>
          </cell>
          <cell r="R277">
            <v>0</v>
          </cell>
          <cell r="S277">
            <v>1921.8199999999997</v>
          </cell>
          <cell r="T277">
            <v>697.23998181818172</v>
          </cell>
          <cell r="U277">
            <v>725.94365454545448</v>
          </cell>
          <cell r="V277">
            <v>0</v>
          </cell>
          <cell r="W277">
            <v>0</v>
          </cell>
          <cell r="X277">
            <v>639.95000000000005</v>
          </cell>
          <cell r="Y277">
            <v>204</v>
          </cell>
          <cell r="Z277">
            <v>177.58636363636367</v>
          </cell>
          <cell r="AA277">
            <v>0</v>
          </cell>
          <cell r="AB277">
            <v>9</v>
          </cell>
          <cell r="AC277">
            <v>535.86</v>
          </cell>
          <cell r="AD277">
            <v>144</v>
          </cell>
          <cell r="AE277">
            <v>210.95090909090914</v>
          </cell>
          <cell r="AF277">
            <v>1759.96</v>
          </cell>
          <cell r="AG277">
            <v>1759.909090909091</v>
          </cell>
          <cell r="AH277">
            <v>5.0909090909044608E-2</v>
          </cell>
          <cell r="AI277">
            <v>710</v>
          </cell>
          <cell r="AK277">
            <v>6760.8399999999992</v>
          </cell>
        </row>
        <row r="278">
          <cell r="F278">
            <v>0</v>
          </cell>
          <cell r="G278">
            <v>158</v>
          </cell>
          <cell r="H278">
            <v>429</v>
          </cell>
          <cell r="P278">
            <v>0</v>
          </cell>
          <cell r="Q278">
            <v>0</v>
          </cell>
          <cell r="R278">
            <v>0</v>
          </cell>
          <cell r="S278">
            <v>13.666666666666666</v>
          </cell>
          <cell r="T278">
            <v>13.666666666666666</v>
          </cell>
          <cell r="U278">
            <v>0</v>
          </cell>
          <cell r="V278">
            <v>0</v>
          </cell>
          <cell r="W278">
            <v>0</v>
          </cell>
          <cell r="X278">
            <v>647</v>
          </cell>
          <cell r="Y278">
            <v>345</v>
          </cell>
          <cell r="Z278">
            <v>302</v>
          </cell>
          <cell r="AA278">
            <v>0</v>
          </cell>
          <cell r="AB278">
            <v>0</v>
          </cell>
          <cell r="AC278">
            <v>-0.66666666666666607</v>
          </cell>
          <cell r="AD278">
            <v>5</v>
          </cell>
          <cell r="AE278">
            <v>8.3333333333333339</v>
          </cell>
          <cell r="AF278">
            <v>0.3</v>
          </cell>
          <cell r="AG278">
            <v>0</v>
          </cell>
          <cell r="AH278">
            <v>0.3</v>
          </cell>
          <cell r="AI278">
            <v>1174.4000000000001</v>
          </cell>
          <cell r="AK278">
            <v>660.3</v>
          </cell>
        </row>
        <row r="279">
          <cell r="F279">
            <v>1304</v>
          </cell>
          <cell r="P279">
            <v>843</v>
          </cell>
          <cell r="Q279">
            <v>0</v>
          </cell>
          <cell r="R279">
            <v>0</v>
          </cell>
          <cell r="S279">
            <v>1316</v>
          </cell>
          <cell r="T279">
            <v>0</v>
          </cell>
          <cell r="U279">
            <v>0</v>
          </cell>
          <cell r="V279">
            <v>0</v>
          </cell>
          <cell r="W279">
            <v>0</v>
          </cell>
          <cell r="X279">
            <v>447</v>
          </cell>
          <cell r="Y279">
            <v>0</v>
          </cell>
          <cell r="Z279">
            <v>0</v>
          </cell>
          <cell r="AA279">
            <v>0</v>
          </cell>
          <cell r="AB279">
            <v>9</v>
          </cell>
          <cell r="AC279">
            <v>318</v>
          </cell>
          <cell r="AD279">
            <v>0</v>
          </cell>
          <cell r="AE279">
            <v>0</v>
          </cell>
          <cell r="AF279">
            <v>602</v>
          </cell>
          <cell r="AG279">
            <v>559</v>
          </cell>
          <cell r="AH279">
            <v>43</v>
          </cell>
          <cell r="AI279">
            <v>4</v>
          </cell>
          <cell r="AK279">
            <v>4987</v>
          </cell>
        </row>
        <row r="280">
          <cell r="F280">
            <v>159</v>
          </cell>
          <cell r="P280">
            <v>260</v>
          </cell>
          <cell r="Q280">
            <v>0</v>
          </cell>
          <cell r="R280">
            <v>0</v>
          </cell>
          <cell r="S280">
            <v>650</v>
          </cell>
          <cell r="T280">
            <v>0</v>
          </cell>
          <cell r="U280">
            <v>0</v>
          </cell>
          <cell r="V280">
            <v>0</v>
          </cell>
          <cell r="W280">
            <v>0</v>
          </cell>
          <cell r="X280">
            <v>132</v>
          </cell>
          <cell r="Y280">
            <v>0</v>
          </cell>
          <cell r="Z280">
            <v>0</v>
          </cell>
          <cell r="AA280">
            <v>0</v>
          </cell>
          <cell r="AB280">
            <v>9</v>
          </cell>
          <cell r="AC280">
            <v>105</v>
          </cell>
          <cell r="AD280">
            <v>0</v>
          </cell>
          <cell r="AE280">
            <v>0</v>
          </cell>
          <cell r="AF280">
            <v>520</v>
          </cell>
          <cell r="AG280">
            <v>482</v>
          </cell>
          <cell r="AH280">
            <v>38</v>
          </cell>
          <cell r="AI280">
            <v>814.4</v>
          </cell>
          <cell r="AK280">
            <v>1860</v>
          </cell>
        </row>
        <row r="281">
          <cell r="F281">
            <v>765</v>
          </cell>
          <cell r="P281">
            <v>13</v>
          </cell>
          <cell r="S281">
            <v>21</v>
          </cell>
          <cell r="X281">
            <v>29</v>
          </cell>
          <cell r="AC281">
            <v>66</v>
          </cell>
          <cell r="AF281">
            <v>16</v>
          </cell>
          <cell r="AG281">
            <v>11</v>
          </cell>
          <cell r="AH281">
            <v>5</v>
          </cell>
          <cell r="AI281">
            <v>356</v>
          </cell>
          <cell r="AK281">
            <v>1033</v>
          </cell>
        </row>
        <row r="282">
          <cell r="F282">
            <v>60</v>
          </cell>
          <cell r="P282">
            <v>370</v>
          </cell>
          <cell r="S282">
            <v>480</v>
          </cell>
          <cell r="X282">
            <v>100</v>
          </cell>
          <cell r="AC282">
            <v>100</v>
          </cell>
          <cell r="AF282">
            <v>0</v>
          </cell>
          <cell r="AG282">
            <v>0</v>
          </cell>
          <cell r="AH282">
            <v>0</v>
          </cell>
          <cell r="AI282">
            <v>250</v>
          </cell>
          <cell r="AK282">
            <v>1110</v>
          </cell>
        </row>
        <row r="283">
          <cell r="F283">
            <v>320</v>
          </cell>
          <cell r="P283">
            <v>200</v>
          </cell>
          <cell r="Q283">
            <v>0</v>
          </cell>
          <cell r="R283">
            <v>0</v>
          </cell>
          <cell r="S283">
            <v>165</v>
          </cell>
          <cell r="T283">
            <v>0</v>
          </cell>
          <cell r="U283">
            <v>0</v>
          </cell>
          <cell r="V283">
            <v>0</v>
          </cell>
          <cell r="W283">
            <v>0</v>
          </cell>
          <cell r="X283">
            <v>186</v>
          </cell>
          <cell r="Y283">
            <v>0</v>
          </cell>
          <cell r="Z283">
            <v>0</v>
          </cell>
          <cell r="AA283">
            <v>0</v>
          </cell>
          <cell r="AB283">
            <v>9</v>
          </cell>
          <cell r="AC283">
            <v>47</v>
          </cell>
          <cell r="AD283">
            <v>0</v>
          </cell>
          <cell r="AE283">
            <v>0</v>
          </cell>
          <cell r="AF283">
            <v>66</v>
          </cell>
          <cell r="AG283">
            <v>66</v>
          </cell>
          <cell r="AH283">
            <v>0</v>
          </cell>
          <cell r="AI283" t="e">
            <v>#REF!</v>
          </cell>
          <cell r="AJ283">
            <v>0</v>
          </cell>
          <cell r="AK283">
            <v>984</v>
          </cell>
        </row>
        <row r="284">
          <cell r="F284">
            <v>5</v>
          </cell>
          <cell r="P284">
            <v>58.666666666666664</v>
          </cell>
          <cell r="Q284">
            <v>0</v>
          </cell>
          <cell r="R284">
            <v>0</v>
          </cell>
          <cell r="S284">
            <v>2370</v>
          </cell>
          <cell r="T284">
            <v>0</v>
          </cell>
          <cell r="U284">
            <v>0</v>
          </cell>
          <cell r="V284">
            <v>0</v>
          </cell>
          <cell r="W284">
            <v>0</v>
          </cell>
          <cell r="X284">
            <v>20</v>
          </cell>
          <cell r="Y284">
            <v>0</v>
          </cell>
          <cell r="Z284">
            <v>0</v>
          </cell>
          <cell r="AA284">
            <v>0</v>
          </cell>
          <cell r="AB284">
            <v>0</v>
          </cell>
          <cell r="AC284">
            <v>0</v>
          </cell>
          <cell r="AD284">
            <v>0</v>
          </cell>
          <cell r="AE284">
            <v>0</v>
          </cell>
          <cell r="AF284">
            <v>900.66666666666663</v>
          </cell>
          <cell r="AG284">
            <v>270</v>
          </cell>
          <cell r="AH284">
            <v>630.66666666666663</v>
          </cell>
          <cell r="AI284">
            <v>0</v>
          </cell>
          <cell r="AJ284">
            <v>0</v>
          </cell>
          <cell r="AK284">
            <v>3712.333333333333</v>
          </cell>
        </row>
        <row r="285">
          <cell r="F285">
            <v>0</v>
          </cell>
          <cell r="P285">
            <v>0</v>
          </cell>
          <cell r="Q285">
            <v>0</v>
          </cell>
          <cell r="R285">
            <v>0</v>
          </cell>
          <cell r="S285">
            <v>0</v>
          </cell>
          <cell r="T285">
            <v>0</v>
          </cell>
          <cell r="U285">
            <v>0</v>
          </cell>
          <cell r="V285">
            <v>0</v>
          </cell>
          <cell r="W285">
            <v>0</v>
          </cell>
          <cell r="X285">
            <v>20</v>
          </cell>
          <cell r="Y285">
            <v>0</v>
          </cell>
          <cell r="Z285">
            <v>0</v>
          </cell>
          <cell r="AA285">
            <v>0</v>
          </cell>
          <cell r="AB285">
            <v>0</v>
          </cell>
          <cell r="AC285">
            <v>0</v>
          </cell>
          <cell r="AD285">
            <v>0</v>
          </cell>
          <cell r="AE285">
            <v>0</v>
          </cell>
          <cell r="AF285">
            <v>0</v>
          </cell>
          <cell r="AG285">
            <v>0</v>
          </cell>
          <cell r="AH285">
            <v>0</v>
          </cell>
          <cell r="AI285">
            <v>14738.47387878788</v>
          </cell>
          <cell r="AK285">
            <v>20</v>
          </cell>
        </row>
        <row r="286">
          <cell r="F286">
            <v>5</v>
          </cell>
          <cell r="P286">
            <v>58.666666666666664</v>
          </cell>
          <cell r="S286">
            <v>2370</v>
          </cell>
          <cell r="X286">
            <v>0</v>
          </cell>
          <cell r="AC286">
            <v>0</v>
          </cell>
          <cell r="AF286">
            <v>900.66666666666663</v>
          </cell>
          <cell r="AG286">
            <v>270</v>
          </cell>
          <cell r="AH286">
            <v>630.66666666666663</v>
          </cell>
          <cell r="AI286">
            <v>5357.15</v>
          </cell>
          <cell r="AK286">
            <v>3334.333333333333</v>
          </cell>
        </row>
        <row r="287">
          <cell r="F287">
            <v>7</v>
          </cell>
          <cell r="P287">
            <v>58.666666666666664</v>
          </cell>
          <cell r="Q287">
            <v>0</v>
          </cell>
          <cell r="R287">
            <v>0</v>
          </cell>
          <cell r="S287">
            <v>2370</v>
          </cell>
          <cell r="T287">
            <v>0</v>
          </cell>
          <cell r="U287">
            <v>0</v>
          </cell>
          <cell r="V287">
            <v>0</v>
          </cell>
          <cell r="W287">
            <v>0</v>
          </cell>
          <cell r="X287">
            <v>0</v>
          </cell>
          <cell r="Y287">
            <v>0</v>
          </cell>
          <cell r="Z287">
            <v>0</v>
          </cell>
          <cell r="AA287">
            <v>0</v>
          </cell>
          <cell r="AB287">
            <v>0</v>
          </cell>
          <cell r="AC287">
            <v>0</v>
          </cell>
          <cell r="AD287">
            <v>0</v>
          </cell>
          <cell r="AE287">
            <v>0</v>
          </cell>
          <cell r="AF287">
            <v>900.66666666666663</v>
          </cell>
          <cell r="AG287">
            <v>500</v>
          </cell>
          <cell r="AH287">
            <v>400.66666666666663</v>
          </cell>
          <cell r="AI287">
            <v>4025.8545454545456</v>
          </cell>
          <cell r="AK287">
            <v>358</v>
          </cell>
        </row>
        <row r="288">
          <cell r="F288">
            <v>0</v>
          </cell>
          <cell r="P288">
            <v>0</v>
          </cell>
          <cell r="S288">
            <v>250</v>
          </cell>
          <cell r="X288">
            <v>0</v>
          </cell>
          <cell r="AC288">
            <v>0</v>
          </cell>
          <cell r="AF288">
            <v>0</v>
          </cell>
          <cell r="AG288">
            <v>0</v>
          </cell>
          <cell r="AH288">
            <v>0</v>
          </cell>
          <cell r="AI288">
            <v>0</v>
          </cell>
          <cell r="AK288">
            <v>250</v>
          </cell>
        </row>
        <row r="289">
          <cell r="F289">
            <v>69710.157142857148</v>
          </cell>
          <cell r="P289">
            <v>3673.9999999999991</v>
          </cell>
          <cell r="Q289">
            <v>0</v>
          </cell>
          <cell r="R289">
            <v>0</v>
          </cell>
          <cell r="S289">
            <v>5277.0303030303048</v>
          </cell>
          <cell r="T289">
            <v>-710.90664848484835</v>
          </cell>
          <cell r="U289">
            <v>-725.94365454545448</v>
          </cell>
          <cell r="V289">
            <v>0</v>
          </cell>
          <cell r="W289">
            <v>0</v>
          </cell>
          <cell r="X289">
            <v>1818.9696969697004</v>
          </cell>
          <cell r="Y289">
            <v>-549</v>
          </cell>
          <cell r="Z289">
            <v>-479.58636363636367</v>
          </cell>
          <cell r="AA289">
            <v>0</v>
          </cell>
          <cell r="AB289">
            <v>-9</v>
          </cell>
          <cell r="AC289">
            <v>962.42424242423954</v>
          </cell>
          <cell r="AD289">
            <v>-149</v>
          </cell>
          <cell r="AE289">
            <v>-219.28424242424248</v>
          </cell>
          <cell r="AF289">
            <v>2025.4575757575753</v>
          </cell>
          <cell r="AG289">
            <v>1898.4909090909086</v>
          </cell>
          <cell r="AH289">
            <v>127.9666666666667</v>
          </cell>
          <cell r="AI289">
            <v>0</v>
          </cell>
          <cell r="AK289">
            <v>83800.038961038968</v>
          </cell>
        </row>
        <row r="290">
          <cell r="F290">
            <v>97707.728571428568</v>
          </cell>
          <cell r="P290">
            <v>2013.9999999999998</v>
          </cell>
          <cell r="Q290">
            <v>0</v>
          </cell>
          <cell r="R290">
            <v>0</v>
          </cell>
          <cell r="S290">
            <v>4030.5393939393953</v>
          </cell>
          <cell r="T290">
            <v>-568.47210303030295</v>
          </cell>
          <cell r="U290">
            <v>-577.28729090909087</v>
          </cell>
          <cell r="V290">
            <v>0</v>
          </cell>
          <cell r="W290">
            <v>0</v>
          </cell>
          <cell r="X290">
            <v>1804.4396969696979</v>
          </cell>
          <cell r="Y290">
            <v>-330</v>
          </cell>
          <cell r="Z290">
            <v>-462.58636363636367</v>
          </cell>
          <cell r="AA290">
            <v>0</v>
          </cell>
          <cell r="AB290">
            <v>-9</v>
          </cell>
          <cell r="AC290">
            <v>883.61818181818239</v>
          </cell>
          <cell r="AD290">
            <v>-164</v>
          </cell>
          <cell r="AE290">
            <v>-194.01151515151517</v>
          </cell>
          <cell r="AF290">
            <v>964.25757575757552</v>
          </cell>
          <cell r="AG290">
            <v>910.09090909090901</v>
          </cell>
          <cell r="AH290">
            <v>54.033333333333303</v>
          </cell>
          <cell r="AI290">
            <v>5343.4693333333335</v>
          </cell>
          <cell r="AK290">
            <v>0</v>
          </cell>
        </row>
        <row r="291">
          <cell r="F291">
            <v>4628</v>
          </cell>
          <cell r="P291">
            <v>3764</v>
          </cell>
          <cell r="Q291">
            <v>0</v>
          </cell>
          <cell r="R291">
            <v>0</v>
          </cell>
          <cell r="S291">
            <v>5277.030303030303</v>
          </cell>
          <cell r="T291">
            <v>0</v>
          </cell>
          <cell r="U291">
            <v>0</v>
          </cell>
          <cell r="V291">
            <v>0</v>
          </cell>
          <cell r="W291">
            <v>0</v>
          </cell>
          <cell r="X291">
            <v>1818.9696969696968</v>
          </cell>
          <cell r="Y291">
            <v>0</v>
          </cell>
          <cell r="Z291">
            <v>0</v>
          </cell>
          <cell r="AA291">
            <v>0</v>
          </cell>
          <cell r="AB291">
            <v>0</v>
          </cell>
          <cell r="AC291">
            <v>961.75757575757575</v>
          </cell>
          <cell r="AD291">
            <v>0</v>
          </cell>
          <cell r="AE291">
            <v>0</v>
          </cell>
          <cell r="AF291">
            <v>2026.4575757575758</v>
          </cell>
          <cell r="AG291">
            <v>1065.4909090909091</v>
          </cell>
          <cell r="AH291">
            <v>560.9666666666667</v>
          </cell>
          <cell r="AI291">
            <v>256.43600000000032</v>
          </cell>
          <cell r="AK291">
            <v>18808.215151515153</v>
          </cell>
        </row>
        <row r="292">
          <cell r="F292">
            <v>1758</v>
          </cell>
          <cell r="P292">
            <v>3177</v>
          </cell>
          <cell r="Q292">
            <v>0</v>
          </cell>
          <cell r="R292">
            <v>0</v>
          </cell>
          <cell r="S292">
            <v>2737</v>
          </cell>
          <cell r="T292">
            <v>0</v>
          </cell>
          <cell r="U292">
            <v>0</v>
          </cell>
          <cell r="V292">
            <v>0</v>
          </cell>
          <cell r="W292">
            <v>0</v>
          </cell>
          <cell r="X292">
            <v>125</v>
          </cell>
          <cell r="Y292">
            <v>0</v>
          </cell>
          <cell r="Z292">
            <v>0</v>
          </cell>
          <cell r="AA292">
            <v>0</v>
          </cell>
          <cell r="AB292">
            <v>0</v>
          </cell>
          <cell r="AC292">
            <v>70</v>
          </cell>
          <cell r="AD292">
            <v>0</v>
          </cell>
          <cell r="AE292">
            <v>0</v>
          </cell>
          <cell r="AF292">
            <v>861</v>
          </cell>
          <cell r="AG292">
            <v>461</v>
          </cell>
          <cell r="AH292">
            <v>0</v>
          </cell>
          <cell r="AI292">
            <v>595.26666666666665</v>
          </cell>
          <cell r="AK292">
            <v>8743</v>
          </cell>
        </row>
        <row r="293">
          <cell r="F293">
            <v>320</v>
          </cell>
          <cell r="P293">
            <v>440</v>
          </cell>
          <cell r="Q293">
            <v>0</v>
          </cell>
          <cell r="R293">
            <v>0</v>
          </cell>
          <cell r="S293">
            <v>1504.3636363636365</v>
          </cell>
          <cell r="T293">
            <v>0</v>
          </cell>
          <cell r="U293">
            <v>0</v>
          </cell>
          <cell r="V293">
            <v>0</v>
          </cell>
          <cell r="W293">
            <v>0</v>
          </cell>
          <cell r="X293">
            <v>1340.6363636363635</v>
          </cell>
          <cell r="Y293">
            <v>0</v>
          </cell>
          <cell r="Z293">
            <v>0</v>
          </cell>
          <cell r="AA293">
            <v>0</v>
          </cell>
          <cell r="AB293">
            <v>0</v>
          </cell>
          <cell r="AC293">
            <v>495.09090909090912</v>
          </cell>
          <cell r="AD293">
            <v>0</v>
          </cell>
          <cell r="AE293">
            <v>0</v>
          </cell>
          <cell r="AF293">
            <v>739.09090909090912</v>
          </cell>
          <cell r="AG293">
            <v>306.09090909090912</v>
          </cell>
          <cell r="AH293">
            <v>433</v>
          </cell>
          <cell r="AI293">
            <v>4491.7666666666664</v>
          </cell>
          <cell r="AK293">
            <v>4839.181818181818</v>
          </cell>
        </row>
        <row r="294">
          <cell r="F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K294">
            <v>0</v>
          </cell>
        </row>
        <row r="295">
          <cell r="F295">
            <v>0</v>
          </cell>
          <cell r="P295">
            <v>0</v>
          </cell>
          <cell r="S295">
            <v>0</v>
          </cell>
          <cell r="X295">
            <v>0</v>
          </cell>
          <cell r="AC295">
            <v>0</v>
          </cell>
          <cell r="AF295">
            <v>0</v>
          </cell>
          <cell r="AG295">
            <v>0</v>
          </cell>
          <cell r="AH295">
            <v>0</v>
          </cell>
          <cell r="AI295">
            <v>12</v>
          </cell>
          <cell r="AK295">
            <v>0</v>
          </cell>
        </row>
        <row r="296">
          <cell r="F296">
            <v>2550</v>
          </cell>
          <cell r="P296">
            <v>147</v>
          </cell>
          <cell r="Q296">
            <v>0</v>
          </cell>
          <cell r="R296">
            <v>0</v>
          </cell>
          <cell r="S296">
            <v>1035.6666666666667</v>
          </cell>
          <cell r="T296">
            <v>0</v>
          </cell>
          <cell r="U296">
            <v>0</v>
          </cell>
          <cell r="V296">
            <v>0</v>
          </cell>
          <cell r="W296">
            <v>0</v>
          </cell>
          <cell r="X296">
            <v>353.33333333333331</v>
          </cell>
          <cell r="Y296">
            <v>0</v>
          </cell>
          <cell r="Z296">
            <v>0</v>
          </cell>
          <cell r="AA296">
            <v>0</v>
          </cell>
          <cell r="AB296">
            <v>0</v>
          </cell>
          <cell r="AC296">
            <v>396.66666666666663</v>
          </cell>
          <cell r="AD296">
            <v>0</v>
          </cell>
          <cell r="AE296">
            <v>0</v>
          </cell>
          <cell r="AF296">
            <v>429.36666666666667</v>
          </cell>
          <cell r="AG296">
            <v>293.39999999999998</v>
          </cell>
          <cell r="AH296">
            <v>135.96666666666664</v>
          </cell>
          <cell r="AI296" t="e">
            <v>#REF!</v>
          </cell>
          <cell r="AK296">
            <v>5229.0333333333338</v>
          </cell>
        </row>
        <row r="297">
          <cell r="F297">
            <v>2</v>
          </cell>
          <cell r="P297">
            <v>0</v>
          </cell>
          <cell r="Q297">
            <v>0</v>
          </cell>
          <cell r="R297">
            <v>0</v>
          </cell>
          <cell r="S297">
            <v>219</v>
          </cell>
          <cell r="T297">
            <v>0</v>
          </cell>
          <cell r="U297">
            <v>0</v>
          </cell>
          <cell r="V297">
            <v>0</v>
          </cell>
          <cell r="W297">
            <v>0</v>
          </cell>
          <cell r="X297">
            <v>93.666666666666629</v>
          </cell>
          <cell r="Y297">
            <v>0</v>
          </cell>
          <cell r="Z297">
            <v>0</v>
          </cell>
          <cell r="AA297">
            <v>0</v>
          </cell>
          <cell r="AB297">
            <v>0</v>
          </cell>
          <cell r="AC297">
            <v>93</v>
          </cell>
          <cell r="AD297">
            <v>0</v>
          </cell>
          <cell r="AE297">
            <v>0</v>
          </cell>
          <cell r="AF297">
            <v>0</v>
          </cell>
          <cell r="AG297">
            <v>0</v>
          </cell>
          <cell r="AH297">
            <v>0</v>
          </cell>
          <cell r="AI297">
            <v>0</v>
          </cell>
          <cell r="AK297">
            <v>441.66666666666663</v>
          </cell>
        </row>
        <row r="298">
          <cell r="F298">
            <v>2</v>
          </cell>
          <cell r="P298">
            <v>41.333333333333336</v>
          </cell>
          <cell r="S298">
            <v>574</v>
          </cell>
          <cell r="X298">
            <v>171</v>
          </cell>
          <cell r="AC298">
            <v>234.33333333333331</v>
          </cell>
          <cell r="AF298">
            <v>179.03333333333333</v>
          </cell>
          <cell r="AG298">
            <v>110</v>
          </cell>
          <cell r="AH298">
            <v>69.033333333333346</v>
          </cell>
          <cell r="AK298">
            <v>1201.7</v>
          </cell>
        </row>
        <row r="299">
          <cell r="F299">
            <v>2546</v>
          </cell>
          <cell r="G299">
            <v>0</v>
          </cell>
          <cell r="H299">
            <v>0</v>
          </cell>
          <cell r="P299">
            <v>105.66666666666667</v>
          </cell>
          <cell r="Q299">
            <v>0</v>
          </cell>
          <cell r="R299">
            <v>0</v>
          </cell>
          <cell r="S299">
            <v>242.66666666666666</v>
          </cell>
          <cell r="T299">
            <v>-611.67619393939378</v>
          </cell>
          <cell r="U299">
            <v>-622.76501818181805</v>
          </cell>
          <cell r="V299">
            <v>0</v>
          </cell>
          <cell r="W299">
            <v>0</v>
          </cell>
          <cell r="X299">
            <v>88.666666666666671</v>
          </cell>
          <cell r="Y299">
            <v>-790</v>
          </cell>
          <cell r="Z299">
            <v>-326.08636363636373</v>
          </cell>
          <cell r="AA299">
            <v>0</v>
          </cell>
          <cell r="AB299">
            <v>0</v>
          </cell>
          <cell r="AC299">
            <v>69.333333333333343</v>
          </cell>
          <cell r="AF299">
            <v>250.33333333333331</v>
          </cell>
          <cell r="AG299">
            <v>183.4</v>
          </cell>
          <cell r="AH299">
            <v>66.933333333333309</v>
          </cell>
          <cell r="AI299" t="e">
            <v>#REF!</v>
          </cell>
          <cell r="AK299">
            <v>3585.6666666666665</v>
          </cell>
        </row>
        <row r="300">
          <cell r="F300">
            <v>3058</v>
          </cell>
          <cell r="P300">
            <v>0</v>
          </cell>
          <cell r="S300">
            <v>172.46666666666664</v>
          </cell>
          <cell r="X300">
            <v>142.33666666666667</v>
          </cell>
          <cell r="AC300">
            <v>56.933333333333337</v>
          </cell>
          <cell r="AF300">
            <v>0</v>
          </cell>
          <cell r="AG300">
            <v>0</v>
          </cell>
          <cell r="AH300">
            <v>0</v>
          </cell>
          <cell r="AI300">
            <v>0</v>
          </cell>
          <cell r="AK300">
            <v>0</v>
          </cell>
        </row>
        <row r="301">
          <cell r="F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-3</v>
          </cell>
          <cell r="AG301">
            <v>5</v>
          </cell>
          <cell r="AH301">
            <v>-8</v>
          </cell>
          <cell r="AI301">
            <v>0</v>
          </cell>
          <cell r="AK301">
            <v>-3</v>
          </cell>
        </row>
        <row r="302">
          <cell r="F302">
            <v>69710.157142857148</v>
          </cell>
          <cell r="P302">
            <v>3673.9999999999991</v>
          </cell>
          <cell r="Q302">
            <v>0</v>
          </cell>
          <cell r="R302">
            <v>0</v>
          </cell>
          <cell r="S302">
            <v>5277.0303030303048</v>
          </cell>
          <cell r="T302">
            <v>-710.90664848484835</v>
          </cell>
          <cell r="U302">
            <v>-725.94365454545448</v>
          </cell>
          <cell r="V302">
            <v>0</v>
          </cell>
          <cell r="W302">
            <v>0</v>
          </cell>
          <cell r="X302">
            <v>1818.9696969697004</v>
          </cell>
          <cell r="Y302">
            <v>-549</v>
          </cell>
          <cell r="Z302">
            <v>-479.58636363636367</v>
          </cell>
          <cell r="AA302">
            <v>0</v>
          </cell>
          <cell r="AB302">
            <v>-9</v>
          </cell>
          <cell r="AC302">
            <v>962.42424242423954</v>
          </cell>
          <cell r="AD302">
            <v>-149</v>
          </cell>
          <cell r="AE302">
            <v>-219.28424242424248</v>
          </cell>
          <cell r="AF302">
            <v>2025.4575757575753</v>
          </cell>
          <cell r="AG302">
            <v>1898.4909090909086</v>
          </cell>
          <cell r="AH302">
            <v>127.9666666666667</v>
          </cell>
          <cell r="AI302">
            <v>0</v>
          </cell>
          <cell r="AK302">
            <v>83800.038961038968</v>
          </cell>
        </row>
        <row r="303">
          <cell r="F303">
            <v>97707.728571428568</v>
          </cell>
          <cell r="P303">
            <v>2013.9999999999998</v>
          </cell>
          <cell r="Q303">
            <v>0</v>
          </cell>
          <cell r="R303">
            <v>0</v>
          </cell>
          <cell r="S303">
            <v>4030.5393939393953</v>
          </cell>
          <cell r="T303">
            <v>-568.47210303030295</v>
          </cell>
          <cell r="U303">
            <v>-577.28729090909087</v>
          </cell>
          <cell r="V303">
            <v>0</v>
          </cell>
          <cell r="W303">
            <v>0</v>
          </cell>
          <cell r="X303">
            <v>1804.4396969696979</v>
          </cell>
          <cell r="Y303">
            <v>-330</v>
          </cell>
          <cell r="Z303">
            <v>-462.58636363636367</v>
          </cell>
          <cell r="AA303">
            <v>0</v>
          </cell>
          <cell r="AB303">
            <v>-9</v>
          </cell>
          <cell r="AC303">
            <v>883.61818181818239</v>
          </cell>
          <cell r="AD303">
            <v>-164</v>
          </cell>
          <cell r="AE303">
            <v>-194.01151515151517</v>
          </cell>
          <cell r="AF303">
            <v>964.25757575757552</v>
          </cell>
          <cell r="AG303">
            <v>910.09090909090901</v>
          </cell>
          <cell r="AH303">
            <v>191</v>
          </cell>
          <cell r="AI303">
            <v>0</v>
          </cell>
          <cell r="AK303">
            <v>0</v>
          </cell>
        </row>
        <row r="304">
          <cell r="F304" t="e">
            <v>#REF!</v>
          </cell>
          <cell r="P304">
            <v>1766.6359999999997</v>
          </cell>
          <cell r="Q304">
            <v>0</v>
          </cell>
          <cell r="R304">
            <v>0</v>
          </cell>
          <cell r="S304">
            <v>5902.6712121212113</v>
          </cell>
          <cell r="T304">
            <v>-611.67619393939378</v>
          </cell>
          <cell r="U304">
            <v>-622.76501818181805</v>
          </cell>
          <cell r="V304">
            <v>0</v>
          </cell>
          <cell r="W304">
            <v>0</v>
          </cell>
          <cell r="X304">
            <v>1005.0363636363622</v>
          </cell>
          <cell r="Y304">
            <v>-790</v>
          </cell>
          <cell r="Z304">
            <v>-326.08636363636373</v>
          </cell>
          <cell r="AA304">
            <v>0</v>
          </cell>
          <cell r="AB304">
            <v>0</v>
          </cell>
          <cell r="AC304">
            <v>568.1030303030301</v>
          </cell>
          <cell r="AD304">
            <v>-205</v>
          </cell>
          <cell r="AE304">
            <v>-186.72969696969702</v>
          </cell>
          <cell r="AF304">
            <v>1293.1939393939392</v>
          </cell>
          <cell r="AG304">
            <v>924.99999999999966</v>
          </cell>
          <cell r="AH304">
            <v>191</v>
          </cell>
          <cell r="AI304" t="e">
            <v>#REF!</v>
          </cell>
          <cell r="AK304">
            <v>0</v>
          </cell>
        </row>
        <row r="305">
          <cell r="F305">
            <v>69710.157142857148</v>
          </cell>
          <cell r="G305">
            <v>0</v>
          </cell>
          <cell r="H305">
            <v>0</v>
          </cell>
          <cell r="P305">
            <v>3673.9999999999991</v>
          </cell>
          <cell r="Q305">
            <v>0</v>
          </cell>
          <cell r="R305">
            <v>0</v>
          </cell>
          <cell r="S305">
            <v>5277.0303030303048</v>
          </cell>
          <cell r="T305">
            <v>-710.90664848484835</v>
          </cell>
          <cell r="U305">
            <v>-725.94365454545448</v>
          </cell>
          <cell r="V305">
            <v>0</v>
          </cell>
          <cell r="W305">
            <v>0</v>
          </cell>
          <cell r="X305">
            <v>1818.9696969697004</v>
          </cell>
          <cell r="Y305">
            <v>-549</v>
          </cell>
          <cell r="Z305">
            <v>-479.58636363636367</v>
          </cell>
          <cell r="AA305">
            <v>0</v>
          </cell>
          <cell r="AB305">
            <v>-9</v>
          </cell>
          <cell r="AC305">
            <v>962.42424242423954</v>
          </cell>
          <cell r="AF305">
            <v>2025.4575757575753</v>
          </cell>
          <cell r="AG305">
            <v>1706.4909090909086</v>
          </cell>
          <cell r="AH305">
            <v>318.9666666666667</v>
          </cell>
          <cell r="AI305">
            <v>0</v>
          </cell>
          <cell r="AK305">
            <v>83800.038961038968</v>
          </cell>
        </row>
        <row r="306">
          <cell r="F306">
            <v>0</v>
          </cell>
          <cell r="G306">
            <v>0</v>
          </cell>
          <cell r="H306">
            <v>0</v>
          </cell>
          <cell r="P306">
            <v>2013.9999999999998</v>
          </cell>
          <cell r="Q306">
            <v>0</v>
          </cell>
          <cell r="R306">
            <v>0</v>
          </cell>
          <cell r="S306">
            <v>4030.5393939393953</v>
          </cell>
          <cell r="T306">
            <v>-568.47210303030295</v>
          </cell>
          <cell r="U306">
            <v>-577.28729090909087</v>
          </cell>
          <cell r="V306">
            <v>0</v>
          </cell>
          <cell r="W306">
            <v>0</v>
          </cell>
          <cell r="X306">
            <v>1804.4396969696979</v>
          </cell>
          <cell r="Y306">
            <v>-330</v>
          </cell>
          <cell r="Z306">
            <v>-462.58636363636367</v>
          </cell>
          <cell r="AA306">
            <v>0</v>
          </cell>
          <cell r="AB306">
            <v>-9</v>
          </cell>
          <cell r="AC306">
            <v>883.61818181818239</v>
          </cell>
          <cell r="AF306">
            <v>964.25757575757552</v>
          </cell>
          <cell r="AG306">
            <v>719.22424242424222</v>
          </cell>
          <cell r="AH306">
            <v>245.0333333333333</v>
          </cell>
          <cell r="AI306">
            <v>0</v>
          </cell>
          <cell r="AK306">
            <v>0</v>
          </cell>
        </row>
        <row r="307">
          <cell r="F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K307">
            <v>0</v>
          </cell>
        </row>
        <row r="308">
          <cell r="F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3609</v>
          </cell>
          <cell r="AK308">
            <v>0</v>
          </cell>
        </row>
        <row r="309">
          <cell r="F309">
            <v>0</v>
          </cell>
          <cell r="P309">
            <v>0</v>
          </cell>
          <cell r="S309">
            <v>0</v>
          </cell>
          <cell r="X309">
            <v>0</v>
          </cell>
          <cell r="AC309">
            <v>0</v>
          </cell>
          <cell r="AF309">
            <v>0</v>
          </cell>
          <cell r="AG309">
            <v>0</v>
          </cell>
          <cell r="AH309">
            <v>0</v>
          </cell>
          <cell r="AK309">
            <v>0</v>
          </cell>
        </row>
        <row r="310">
          <cell r="F310">
            <v>69710.157142857148</v>
          </cell>
          <cell r="P310">
            <v>3673.9999999999991</v>
          </cell>
          <cell r="Q310">
            <v>0</v>
          </cell>
          <cell r="R310">
            <v>0</v>
          </cell>
          <cell r="S310">
            <v>5277.0303030303048</v>
          </cell>
          <cell r="T310">
            <v>-710.90664848484835</v>
          </cell>
          <cell r="U310">
            <v>-725.94365454545448</v>
          </cell>
          <cell r="V310">
            <v>0</v>
          </cell>
          <cell r="W310">
            <v>0</v>
          </cell>
          <cell r="X310">
            <v>1818.9696969697004</v>
          </cell>
          <cell r="Y310">
            <v>-549</v>
          </cell>
          <cell r="Z310">
            <v>-479.58636363636367</v>
          </cell>
          <cell r="AA310">
            <v>0</v>
          </cell>
          <cell r="AB310">
            <v>-9</v>
          </cell>
          <cell r="AC310">
            <v>962.42424242423954</v>
          </cell>
          <cell r="AD310">
            <v>-149</v>
          </cell>
          <cell r="AE310">
            <v>-219.28424242424248</v>
          </cell>
          <cell r="AF310">
            <v>2025.4575757575753</v>
          </cell>
          <cell r="AG310">
            <v>1706.4909090909086</v>
          </cell>
          <cell r="AH310">
            <v>318.9666666666667</v>
          </cell>
          <cell r="AI310">
            <v>0</v>
          </cell>
          <cell r="AK310">
            <v>83800.038961038968</v>
          </cell>
        </row>
        <row r="311">
          <cell r="F311">
            <v>97707.728571428568</v>
          </cell>
          <cell r="P311">
            <v>2013.9999999999998</v>
          </cell>
          <cell r="Q311">
            <v>0</v>
          </cell>
          <cell r="R311">
            <v>0</v>
          </cell>
          <cell r="S311">
            <v>4030.5393939393953</v>
          </cell>
          <cell r="T311">
            <v>-568.47210303030295</v>
          </cell>
          <cell r="U311">
            <v>-577.28729090909087</v>
          </cell>
          <cell r="V311">
            <v>0</v>
          </cell>
          <cell r="W311">
            <v>0</v>
          </cell>
          <cell r="X311">
            <v>1804.4396969696979</v>
          </cell>
          <cell r="Y311">
            <v>-330</v>
          </cell>
          <cell r="Z311">
            <v>-462.58636363636367</v>
          </cell>
          <cell r="AA311">
            <v>0</v>
          </cell>
          <cell r="AB311">
            <v>-9</v>
          </cell>
          <cell r="AC311">
            <v>883.61818181818239</v>
          </cell>
          <cell r="AD311">
            <v>-164</v>
          </cell>
          <cell r="AE311">
            <v>-194.01151515151517</v>
          </cell>
          <cell r="AF311">
            <v>964.25757575757552</v>
          </cell>
          <cell r="AG311">
            <v>719.22424242424222</v>
          </cell>
          <cell r="AH311">
            <v>245.0333333333333</v>
          </cell>
          <cell r="AI311">
            <v>0</v>
          </cell>
          <cell r="AK311">
            <v>0</v>
          </cell>
        </row>
        <row r="312">
          <cell r="P312">
            <v>0</v>
          </cell>
          <cell r="AK312">
            <v>0</v>
          </cell>
        </row>
        <row r="313">
          <cell r="P313">
            <v>0</v>
          </cell>
          <cell r="S313">
            <v>0</v>
          </cell>
          <cell r="AI313">
            <v>0</v>
          </cell>
          <cell r="AK313">
            <v>0</v>
          </cell>
        </row>
        <row r="314">
          <cell r="F314">
            <v>3480</v>
          </cell>
          <cell r="S314">
            <v>0</v>
          </cell>
          <cell r="AK314">
            <v>3480</v>
          </cell>
        </row>
        <row r="315">
          <cell r="F315">
            <v>4000</v>
          </cell>
          <cell r="P315">
            <v>1766.6359999999997</v>
          </cell>
          <cell r="Q315">
            <v>0</v>
          </cell>
          <cell r="R315">
            <v>0</v>
          </cell>
          <cell r="S315">
            <v>0</v>
          </cell>
          <cell r="T315">
            <v>-611.67619393939378</v>
          </cell>
          <cell r="U315">
            <v>-622.76501818181805</v>
          </cell>
          <cell r="V315">
            <v>0</v>
          </cell>
          <cell r="W315">
            <v>0</v>
          </cell>
          <cell r="X315">
            <v>1005.0363636363622</v>
          </cell>
          <cell r="Y315">
            <v>-790</v>
          </cell>
          <cell r="Z315">
            <v>-326.08636363636373</v>
          </cell>
          <cell r="AA315">
            <v>0</v>
          </cell>
          <cell r="AB315">
            <v>0</v>
          </cell>
          <cell r="AC315">
            <v>568.1030303030301</v>
          </cell>
          <cell r="AD315">
            <v>-205</v>
          </cell>
          <cell r="AE315">
            <v>-186.72969696969702</v>
          </cell>
          <cell r="AF315">
            <v>1293.1939393939392</v>
          </cell>
          <cell r="AG315">
            <v>924.99999999999966</v>
          </cell>
          <cell r="AH315">
            <v>368.19393939393956</v>
          </cell>
          <cell r="AI315" t="e">
            <v>#REF!</v>
          </cell>
          <cell r="AK315">
            <v>4000</v>
          </cell>
        </row>
        <row r="316">
          <cell r="F316">
            <v>0</v>
          </cell>
          <cell r="S316">
            <v>0</v>
          </cell>
          <cell r="AK316">
            <v>0</v>
          </cell>
        </row>
        <row r="317">
          <cell r="F317">
            <v>0</v>
          </cell>
          <cell r="AK317">
            <v>0</v>
          </cell>
        </row>
        <row r="318">
          <cell r="AK318">
            <v>0</v>
          </cell>
        </row>
        <row r="319">
          <cell r="AK319">
            <v>0</v>
          </cell>
        </row>
        <row r="320">
          <cell r="S320">
            <v>0</v>
          </cell>
          <cell r="AK320">
            <v>0</v>
          </cell>
        </row>
        <row r="321">
          <cell r="F321">
            <v>69710.157142857148</v>
          </cell>
          <cell r="P321">
            <v>3673.9999999999991</v>
          </cell>
          <cell r="Q321">
            <v>0</v>
          </cell>
          <cell r="R321">
            <v>0</v>
          </cell>
          <cell r="S321">
            <v>5277.0303030303048</v>
          </cell>
          <cell r="T321">
            <v>-710.90664848484835</v>
          </cell>
          <cell r="U321">
            <v>-725.94365454545448</v>
          </cell>
          <cell r="V321">
            <v>0</v>
          </cell>
          <cell r="W321">
            <v>0</v>
          </cell>
          <cell r="X321">
            <v>1818.9696969697004</v>
          </cell>
          <cell r="Y321">
            <v>-549</v>
          </cell>
          <cell r="Z321">
            <v>-479.58636363636367</v>
          </cell>
          <cell r="AA321">
            <v>0</v>
          </cell>
          <cell r="AB321">
            <v>-9</v>
          </cell>
          <cell r="AC321">
            <v>962.42424242423954</v>
          </cell>
          <cell r="AD321">
            <v>-149</v>
          </cell>
          <cell r="AE321">
            <v>-219.28424242424248</v>
          </cell>
          <cell r="AF321">
            <v>2025.4575757575753</v>
          </cell>
          <cell r="AG321">
            <v>1706.4909090909086</v>
          </cell>
          <cell r="AH321">
            <v>318.9666666666667</v>
          </cell>
          <cell r="AK321">
            <v>83800.038961038968</v>
          </cell>
        </row>
        <row r="322">
          <cell r="F322">
            <v>97707.728571428568</v>
          </cell>
          <cell r="P322">
            <v>2013.9999999999998</v>
          </cell>
          <cell r="Q322">
            <v>0</v>
          </cell>
          <cell r="R322">
            <v>0</v>
          </cell>
          <cell r="S322">
            <v>4030.5393939393953</v>
          </cell>
          <cell r="T322">
            <v>-568.47210303030295</v>
          </cell>
          <cell r="U322">
            <v>-577.28729090909087</v>
          </cell>
          <cell r="V322">
            <v>0</v>
          </cell>
          <cell r="W322">
            <v>0</v>
          </cell>
          <cell r="X322">
            <v>1804.4396969696979</v>
          </cell>
          <cell r="Y322">
            <v>-330</v>
          </cell>
          <cell r="Z322">
            <v>-462.58636363636367</v>
          </cell>
          <cell r="AA322">
            <v>0</v>
          </cell>
          <cell r="AB322">
            <v>-9</v>
          </cell>
          <cell r="AC322">
            <v>883.61818181818239</v>
          </cell>
          <cell r="AD322">
            <v>-164</v>
          </cell>
          <cell r="AE322">
            <v>-194.01151515151517</v>
          </cell>
          <cell r="AF322">
            <v>964.25757575757552</v>
          </cell>
          <cell r="AG322">
            <v>719.22424242424222</v>
          </cell>
          <cell r="AH322">
            <v>245.0333333333333</v>
          </cell>
          <cell r="AK322">
            <v>107892.58341991341</v>
          </cell>
        </row>
        <row r="324">
          <cell r="AI324">
            <v>6683.5069999999996</v>
          </cell>
          <cell r="AK324" t="e">
            <v>#REF!</v>
          </cell>
        </row>
        <row r="325">
          <cell r="F325">
            <v>148</v>
          </cell>
          <cell r="P325">
            <v>293</v>
          </cell>
          <cell r="S325">
            <v>518</v>
          </cell>
          <cell r="X325">
            <v>175</v>
          </cell>
          <cell r="AC325">
            <v>146</v>
          </cell>
          <cell r="AF325">
            <v>472</v>
          </cell>
          <cell r="AG325">
            <v>390</v>
          </cell>
          <cell r="AH325">
            <v>82</v>
          </cell>
          <cell r="AI325">
            <v>1868</v>
          </cell>
          <cell r="AK325" t="e">
            <v>#REF!</v>
          </cell>
        </row>
        <row r="326">
          <cell r="AI326" t="e">
            <v>#REF!</v>
          </cell>
          <cell r="AK326" t="e">
            <v>#REF!</v>
          </cell>
        </row>
        <row r="327">
          <cell r="AI327">
            <v>721.80000000000007</v>
          </cell>
          <cell r="AK327" t="e">
            <v>#REF!</v>
          </cell>
        </row>
        <row r="328">
          <cell r="AI328">
            <v>12</v>
          </cell>
          <cell r="AK328" t="e">
            <v>#REF!</v>
          </cell>
        </row>
        <row r="329">
          <cell r="AI329" t="e">
            <v>#REF!</v>
          </cell>
          <cell r="AK329" t="e">
            <v>#REF!</v>
          </cell>
        </row>
        <row r="330">
          <cell r="AI330">
            <v>3500</v>
          </cell>
          <cell r="AJ330">
            <v>2455</v>
          </cell>
          <cell r="AK330">
            <v>6760.8399999999992</v>
          </cell>
          <cell r="AM330">
            <v>5000.8799999999992</v>
          </cell>
        </row>
        <row r="331">
          <cell r="F331">
            <v>160</v>
          </cell>
          <cell r="P331">
            <v>326</v>
          </cell>
          <cell r="S331">
            <v>523</v>
          </cell>
          <cell r="X331">
            <v>174</v>
          </cell>
          <cell r="AC331">
            <v>147</v>
          </cell>
          <cell r="AF331">
            <v>480</v>
          </cell>
          <cell r="AG331">
            <v>480</v>
          </cell>
          <cell r="AH331">
            <v>0</v>
          </cell>
          <cell r="AI331">
            <v>0</v>
          </cell>
          <cell r="AJ331">
            <v>2455</v>
          </cell>
          <cell r="AK331">
            <v>1910</v>
          </cell>
          <cell r="AM331">
            <v>1430</v>
          </cell>
        </row>
        <row r="332">
          <cell r="F332">
            <v>160</v>
          </cell>
          <cell r="P332">
            <v>319</v>
          </cell>
          <cell r="S332">
            <v>425</v>
          </cell>
          <cell r="X332">
            <v>175</v>
          </cell>
          <cell r="AC332">
            <v>147</v>
          </cell>
          <cell r="AF332">
            <v>480</v>
          </cell>
          <cell r="AG332">
            <v>418</v>
          </cell>
          <cell r="AH332">
            <v>62</v>
          </cell>
          <cell r="AI332">
            <v>538</v>
          </cell>
          <cell r="AJ332">
            <v>36</v>
          </cell>
          <cell r="AK332">
            <v>6362.1571428571433</v>
          </cell>
          <cell r="AM332">
            <v>6362.1571428571433</v>
          </cell>
        </row>
        <row r="333">
          <cell r="AI333" t="e">
            <v>#REF!</v>
          </cell>
          <cell r="AJ333">
            <v>36</v>
          </cell>
          <cell r="AK333">
            <v>660.3</v>
          </cell>
          <cell r="AM333">
            <v>660.3</v>
          </cell>
        </row>
        <row r="334">
          <cell r="AI334">
            <v>0</v>
          </cell>
          <cell r="AJ334">
            <v>36</v>
          </cell>
          <cell r="AK334">
            <v>-3</v>
          </cell>
          <cell r="AM334">
            <v>0</v>
          </cell>
        </row>
        <row r="335">
          <cell r="AI335">
            <v>5357.15</v>
          </cell>
          <cell r="AJ335">
            <v>36</v>
          </cell>
          <cell r="AK335">
            <v>1380.8571428571431</v>
          </cell>
          <cell r="AM335">
            <v>1380.8571428571431</v>
          </cell>
        </row>
        <row r="336">
          <cell r="AI336">
            <v>4025.8545454545456</v>
          </cell>
          <cell r="AK336">
            <v>3500</v>
          </cell>
          <cell r="AM336">
            <v>3500</v>
          </cell>
        </row>
        <row r="337">
          <cell r="AI337">
            <v>0</v>
          </cell>
          <cell r="AK337">
            <v>0</v>
          </cell>
          <cell r="AM337">
            <v>3500</v>
          </cell>
        </row>
        <row r="338">
          <cell r="AI338">
            <v>0</v>
          </cell>
          <cell r="AK338">
            <v>821</v>
          </cell>
          <cell r="AM338">
            <v>821</v>
          </cell>
        </row>
        <row r="339">
          <cell r="AI339">
            <v>0</v>
          </cell>
          <cell r="AK339">
            <v>3580</v>
          </cell>
          <cell r="AM339">
            <v>1200</v>
          </cell>
        </row>
        <row r="340">
          <cell r="AI340">
            <v>4672</v>
          </cell>
          <cell r="AK340">
            <v>0</v>
          </cell>
          <cell r="AM340">
            <v>0</v>
          </cell>
        </row>
        <row r="341">
          <cell r="AI341">
            <v>1640</v>
          </cell>
          <cell r="AK341">
            <v>8743</v>
          </cell>
          <cell r="AM341">
            <v>7882</v>
          </cell>
        </row>
        <row r="342">
          <cell r="AI342">
            <v>952</v>
          </cell>
          <cell r="AK342">
            <v>4839.181818181818</v>
          </cell>
          <cell r="AM342">
            <v>4100.090909090909</v>
          </cell>
        </row>
        <row r="343">
          <cell r="AI343">
            <v>1370</v>
          </cell>
          <cell r="AK343">
            <v>0</v>
          </cell>
          <cell r="AM343">
            <v>0</v>
          </cell>
        </row>
        <row r="344">
          <cell r="AI344">
            <v>710</v>
          </cell>
          <cell r="AK344">
            <v>0</v>
          </cell>
          <cell r="AM344">
            <v>0</v>
          </cell>
        </row>
        <row r="345">
          <cell r="AI345">
            <v>0</v>
          </cell>
          <cell r="AK345">
            <v>0</v>
          </cell>
          <cell r="AM345">
            <v>0</v>
          </cell>
        </row>
        <row r="346">
          <cell r="AI346">
            <v>4</v>
          </cell>
          <cell r="AK346">
            <v>4987</v>
          </cell>
          <cell r="AM346">
            <v>4385</v>
          </cell>
        </row>
        <row r="347">
          <cell r="AI347">
            <v>814.4</v>
          </cell>
          <cell r="AK347">
            <v>1860</v>
          </cell>
          <cell r="AM347">
            <v>1340</v>
          </cell>
        </row>
        <row r="348">
          <cell r="P348">
            <v>225</v>
          </cell>
          <cell r="S348">
            <v>296</v>
          </cell>
          <cell r="X348">
            <v>56</v>
          </cell>
          <cell r="AC348">
            <v>-4.9636363636363825</v>
          </cell>
          <cell r="AF348">
            <v>800.72727272727275</v>
          </cell>
          <cell r="AG348">
            <v>801</v>
          </cell>
          <cell r="AH348">
            <v>-0.27272727272728048</v>
          </cell>
          <cell r="AI348">
            <v>1372.7636363636364</v>
          </cell>
          <cell r="AK348">
            <v>1033</v>
          </cell>
          <cell r="AM348">
            <v>1017</v>
          </cell>
        </row>
        <row r="349">
          <cell r="AI349">
            <v>0</v>
          </cell>
          <cell r="AK349">
            <v>1110</v>
          </cell>
          <cell r="AM349">
            <v>1041</v>
          </cell>
        </row>
        <row r="350">
          <cell r="F350">
            <v>33</v>
          </cell>
          <cell r="P350">
            <v>0</v>
          </cell>
          <cell r="S350">
            <v>0</v>
          </cell>
          <cell r="X350">
            <v>0</v>
          </cell>
          <cell r="AC350">
            <v>0</v>
          </cell>
          <cell r="AF350">
            <v>0</v>
          </cell>
          <cell r="AG350">
            <v>0</v>
          </cell>
          <cell r="AH350">
            <v>0</v>
          </cell>
          <cell r="AI350">
            <v>389</v>
          </cell>
          <cell r="AK350">
            <v>984</v>
          </cell>
        </row>
        <row r="351">
          <cell r="AI351">
            <v>295</v>
          </cell>
          <cell r="AK351">
            <v>0</v>
          </cell>
          <cell r="AM351">
            <v>0</v>
          </cell>
        </row>
        <row r="352">
          <cell r="AI352">
            <v>0</v>
          </cell>
          <cell r="AK352">
            <v>20</v>
          </cell>
          <cell r="AM352">
            <v>20</v>
          </cell>
        </row>
        <row r="353">
          <cell r="AI353">
            <v>0</v>
          </cell>
          <cell r="AK353">
            <v>3334.333333333333</v>
          </cell>
          <cell r="AM353">
            <v>2433.6666666666665</v>
          </cell>
        </row>
        <row r="354">
          <cell r="P354">
            <v>225</v>
          </cell>
          <cell r="S354">
            <v>296</v>
          </cell>
          <cell r="X354">
            <v>56</v>
          </cell>
          <cell r="AC354">
            <v>-538.90909090909088</v>
          </cell>
          <cell r="AF354">
            <v>245.09090909090912</v>
          </cell>
          <cell r="AG354">
            <v>-127.90909090909091</v>
          </cell>
          <cell r="AH354">
            <v>373</v>
          </cell>
          <cell r="AI354">
            <v>5343.4693333333335</v>
          </cell>
          <cell r="AK354">
            <v>283.18181818181824</v>
          </cell>
          <cell r="AM354">
            <v>2435.6666666666665</v>
          </cell>
        </row>
        <row r="355">
          <cell r="P355">
            <v>225</v>
          </cell>
          <cell r="S355">
            <v>296</v>
          </cell>
          <cell r="X355">
            <v>56</v>
          </cell>
          <cell r="AC355">
            <v>-12.781818181818153</v>
          </cell>
          <cell r="AF355">
            <v>13.290909090909111</v>
          </cell>
          <cell r="AG355">
            <v>13.090909090909093</v>
          </cell>
          <cell r="AH355">
            <v>0.20000000000001705</v>
          </cell>
          <cell r="AI355">
            <v>256.43600000000032</v>
          </cell>
          <cell r="AK355">
            <v>0</v>
          </cell>
        </row>
        <row r="356">
          <cell r="F356">
            <v>0</v>
          </cell>
          <cell r="P356">
            <v>0</v>
          </cell>
          <cell r="S356">
            <v>0</v>
          </cell>
          <cell r="X356">
            <v>0</v>
          </cell>
          <cell r="AC356">
            <v>0</v>
          </cell>
          <cell r="AF356">
            <v>0</v>
          </cell>
          <cell r="AG356">
            <v>0</v>
          </cell>
          <cell r="AH356">
            <v>0</v>
          </cell>
          <cell r="AI356">
            <v>595.26666666666665</v>
          </cell>
          <cell r="AK356">
            <v>358</v>
          </cell>
          <cell r="AM356">
            <v>358</v>
          </cell>
        </row>
        <row r="357">
          <cell r="F357">
            <v>0</v>
          </cell>
          <cell r="P357">
            <v>0</v>
          </cell>
          <cell r="S357">
            <v>0</v>
          </cell>
          <cell r="X357">
            <v>0</v>
          </cell>
          <cell r="AC357">
            <v>0</v>
          </cell>
          <cell r="AF357">
            <v>0</v>
          </cell>
          <cell r="AG357">
            <v>0</v>
          </cell>
          <cell r="AH357">
            <v>0</v>
          </cell>
          <cell r="AI357">
            <v>4491.7666666666664</v>
          </cell>
          <cell r="AK357">
            <v>193</v>
          </cell>
          <cell r="AM357">
            <v>193</v>
          </cell>
        </row>
        <row r="358">
          <cell r="F358">
            <v>0</v>
          </cell>
          <cell r="P358">
            <v>-771</v>
          </cell>
          <cell r="S358">
            <v>-3877</v>
          </cell>
          <cell r="T358">
            <v>162.88</v>
          </cell>
          <cell r="U358">
            <v>855.12</v>
          </cell>
          <cell r="X358">
            <v>280</v>
          </cell>
          <cell r="Y358">
            <v>404</v>
          </cell>
          <cell r="Z358">
            <v>166</v>
          </cell>
          <cell r="AC358">
            <v>556</v>
          </cell>
          <cell r="AD358">
            <v>336</v>
          </cell>
          <cell r="AE358">
            <v>305</v>
          </cell>
          <cell r="AF358">
            <v>521</v>
          </cell>
          <cell r="AG358">
            <v>470</v>
          </cell>
          <cell r="AH358">
            <v>51</v>
          </cell>
          <cell r="AI358">
            <v>-3281</v>
          </cell>
          <cell r="AK358">
            <v>0</v>
          </cell>
          <cell r="AM358">
            <v>0</v>
          </cell>
        </row>
        <row r="359">
          <cell r="AK359">
            <v>0</v>
          </cell>
          <cell r="AM359">
            <v>0</v>
          </cell>
        </row>
        <row r="360">
          <cell r="AJ360">
            <v>-2491</v>
          </cell>
          <cell r="AK360">
            <v>5229.0333333333338</v>
          </cell>
          <cell r="AM360" t="e">
            <v>#REF!</v>
          </cell>
        </row>
        <row r="361">
          <cell r="AJ361">
            <v>-2491</v>
          </cell>
          <cell r="AK361">
            <v>441.66666666666663</v>
          </cell>
          <cell r="AM361" t="e">
            <v>#REF!</v>
          </cell>
        </row>
        <row r="362">
          <cell r="AK362">
            <v>1201.7</v>
          </cell>
        </row>
        <row r="363">
          <cell r="AK363">
            <v>3585.6666666666665</v>
          </cell>
        </row>
        <row r="364">
          <cell r="F364">
            <v>0</v>
          </cell>
          <cell r="P364">
            <v>0</v>
          </cell>
          <cell r="S364">
            <v>0</v>
          </cell>
          <cell r="T364">
            <v>162.88</v>
          </cell>
          <cell r="U364">
            <v>855.12</v>
          </cell>
          <cell r="X364">
            <v>344</v>
          </cell>
          <cell r="Y364">
            <v>304</v>
          </cell>
          <cell r="Z364">
            <v>265</v>
          </cell>
          <cell r="AC364">
            <v>357</v>
          </cell>
          <cell r="AD364">
            <v>213</v>
          </cell>
          <cell r="AE364">
            <v>314</v>
          </cell>
          <cell r="AF364">
            <v>-335</v>
          </cell>
          <cell r="AG364">
            <v>-335</v>
          </cell>
          <cell r="AH364">
            <v>0</v>
          </cell>
          <cell r="AK364">
            <v>375</v>
          </cell>
          <cell r="AM364">
            <v>710</v>
          </cell>
        </row>
        <row r="365">
          <cell r="F365">
            <v>0</v>
          </cell>
          <cell r="P365">
            <v>-453</v>
          </cell>
          <cell r="S365">
            <v>-2416</v>
          </cell>
          <cell r="T365">
            <v>160</v>
          </cell>
          <cell r="U365">
            <v>840</v>
          </cell>
          <cell r="X365">
            <v>31</v>
          </cell>
          <cell r="Y365">
            <v>223</v>
          </cell>
          <cell r="Z365">
            <v>314</v>
          </cell>
          <cell r="AC365">
            <v>112</v>
          </cell>
          <cell r="AD365">
            <v>241</v>
          </cell>
          <cell r="AE365">
            <v>286</v>
          </cell>
          <cell r="AF365">
            <v>-54</v>
          </cell>
          <cell r="AG365">
            <v>-54</v>
          </cell>
          <cell r="AH365">
            <v>0</v>
          </cell>
          <cell r="AK365">
            <v>-2779</v>
          </cell>
          <cell r="AM365">
            <v>-2725</v>
          </cell>
        </row>
        <row r="367">
          <cell r="F367" t="e">
            <v>#REF!</v>
          </cell>
        </row>
        <row r="373">
          <cell r="F373">
            <v>0</v>
          </cell>
        </row>
        <row r="374">
          <cell r="F374">
            <v>0</v>
          </cell>
        </row>
        <row r="381">
          <cell r="F381" t="str">
            <v>лютий</v>
          </cell>
          <cell r="P381" t="str">
            <v>лютий</v>
          </cell>
          <cell r="X381" t="str">
            <v>лютий</v>
          </cell>
          <cell r="AC381" t="str">
            <v>лютий</v>
          </cell>
        </row>
        <row r="382">
          <cell r="F382" t="str">
            <v>АППАРАТ</v>
          </cell>
          <cell r="P382" t="str">
            <v>ККМ</v>
          </cell>
          <cell r="X382" t="str">
            <v>ТЕЦ5</v>
          </cell>
          <cell r="AC382" t="str">
            <v>ТЕЦ6</v>
          </cell>
          <cell r="AI382" t="str">
            <v>АК "КЕ"</v>
          </cell>
          <cell r="AJ382" t="str">
            <v>Е/Е</v>
          </cell>
        </row>
        <row r="383">
          <cell r="F383" t="str">
            <v>ПЛАН</v>
          </cell>
          <cell r="P383" t="str">
            <v>ПЛАН</v>
          </cell>
          <cell r="X383" t="str">
            <v>ПЛАН</v>
          </cell>
          <cell r="AC383" t="str">
            <v>ПЛАН</v>
          </cell>
          <cell r="AI383" t="str">
            <v>ПЛАН</v>
          </cell>
          <cell r="AJ383" t="str">
            <v>ПЛАН</v>
          </cell>
        </row>
        <row r="384">
          <cell r="F384">
            <v>164.3</v>
          </cell>
          <cell r="G384">
            <v>96</v>
          </cell>
          <cell r="H384">
            <v>96</v>
          </cell>
          <cell r="P384">
            <v>14.333333333333332</v>
          </cell>
          <cell r="S384">
            <v>14.333333333333332</v>
          </cell>
          <cell r="X384">
            <v>182</v>
          </cell>
          <cell r="Y384">
            <v>129</v>
          </cell>
          <cell r="Z384">
            <v>129</v>
          </cell>
          <cell r="AC384">
            <v>323.66666666666674</v>
          </cell>
          <cell r="AD384">
            <v>170</v>
          </cell>
          <cell r="AE384">
            <v>169</v>
          </cell>
          <cell r="AI384">
            <v>735.30000000000018</v>
          </cell>
          <cell r="AJ384">
            <v>564.33333333333326</v>
          </cell>
          <cell r="AK384">
            <v>421.33333333333331</v>
          </cell>
        </row>
        <row r="385">
          <cell r="F385" t="str">
            <v>лютий</v>
          </cell>
          <cell r="G385">
            <v>17</v>
          </cell>
          <cell r="P385" t="str">
            <v>лютий</v>
          </cell>
          <cell r="X385" t="str">
            <v>лютий</v>
          </cell>
          <cell r="Y385">
            <v>0</v>
          </cell>
          <cell r="AC385" t="str">
            <v>лютий</v>
          </cell>
          <cell r="AD385">
            <v>2</v>
          </cell>
          <cell r="AI385">
            <v>46</v>
          </cell>
          <cell r="AJ385">
            <v>22</v>
          </cell>
        </row>
        <row r="386">
          <cell r="F386" t="str">
            <v>АППАРАТ</v>
          </cell>
          <cell r="G386">
            <v>0</v>
          </cell>
          <cell r="P386" t="str">
            <v>ККМ</v>
          </cell>
          <cell r="X386" t="str">
            <v>ТЕЦ5</v>
          </cell>
          <cell r="Y386">
            <v>104</v>
          </cell>
          <cell r="AC386" t="str">
            <v>ТЕЦ6</v>
          </cell>
          <cell r="AD386">
            <v>147</v>
          </cell>
          <cell r="AI386">
            <v>428</v>
          </cell>
          <cell r="AJ386">
            <v>251.66666666666669</v>
          </cell>
          <cell r="AK386" t="str">
            <v>АК "КЕ"</v>
          </cell>
          <cell r="AL386" t="str">
            <v>Е/Е</v>
          </cell>
        </row>
        <row r="387">
          <cell r="F387" t="str">
            <v>ПЛАН</v>
          </cell>
          <cell r="G387">
            <v>0</v>
          </cell>
          <cell r="P387" t="str">
            <v>ПЛАН</v>
          </cell>
          <cell r="X387" t="str">
            <v>ПЛАН</v>
          </cell>
          <cell r="Y387">
            <v>0</v>
          </cell>
          <cell r="AC387" t="str">
            <v>ПЛАН</v>
          </cell>
          <cell r="AD387">
            <v>13</v>
          </cell>
          <cell r="AI387">
            <v>33.666666666666671</v>
          </cell>
          <cell r="AJ387">
            <v>18</v>
          </cell>
          <cell r="AK387" t="str">
            <v>ПЛАН</v>
          </cell>
          <cell r="AL387" t="str">
            <v>ПЛАН</v>
          </cell>
        </row>
        <row r="388">
          <cell r="F388">
            <v>164.3</v>
          </cell>
          <cell r="G388">
            <v>56</v>
          </cell>
          <cell r="H388">
            <v>56</v>
          </cell>
          <cell r="P388">
            <v>14.333333333333332</v>
          </cell>
          <cell r="S388">
            <v>14.333333333333332</v>
          </cell>
          <cell r="X388">
            <v>182</v>
          </cell>
          <cell r="Y388">
            <v>97</v>
          </cell>
          <cell r="Z388">
            <v>97</v>
          </cell>
          <cell r="AC388">
            <v>323.66666666666674</v>
          </cell>
          <cell r="AD388">
            <v>131</v>
          </cell>
          <cell r="AE388">
            <v>130</v>
          </cell>
          <cell r="AI388">
            <v>26</v>
          </cell>
          <cell r="AJ388">
            <v>18</v>
          </cell>
          <cell r="AK388">
            <v>735.30000000000018</v>
          </cell>
          <cell r="AL388">
            <v>469.33333333333337</v>
          </cell>
          <cell r="AM388">
            <v>312.33333333333331</v>
          </cell>
        </row>
        <row r="389">
          <cell r="F389">
            <v>29</v>
          </cell>
          <cell r="G389">
            <v>10</v>
          </cell>
          <cell r="H389">
            <v>51</v>
          </cell>
          <cell r="P389">
            <v>0</v>
          </cell>
          <cell r="S389">
            <v>14.333333333333332</v>
          </cell>
          <cell r="X389">
            <v>0</v>
          </cell>
          <cell r="Y389">
            <v>0</v>
          </cell>
          <cell r="Z389">
            <v>76</v>
          </cell>
          <cell r="AC389">
            <v>3.6666666666666665</v>
          </cell>
          <cell r="AD389">
            <v>1</v>
          </cell>
          <cell r="AE389">
            <v>147</v>
          </cell>
          <cell r="AI389">
            <v>120.63333333333333</v>
          </cell>
          <cell r="AJ389">
            <v>73</v>
          </cell>
          <cell r="AK389">
            <v>46</v>
          </cell>
          <cell r="AL389">
            <v>14</v>
          </cell>
          <cell r="AM389">
            <v>303.33333333333326</v>
          </cell>
        </row>
        <row r="390">
          <cell r="F390">
            <v>0</v>
          </cell>
          <cell r="G390">
            <v>0</v>
          </cell>
          <cell r="P390">
            <v>0.66666666666666663</v>
          </cell>
          <cell r="X390">
            <v>146.66666666666666</v>
          </cell>
          <cell r="Y390">
            <v>78</v>
          </cell>
          <cell r="AC390">
            <v>280.66666666666669</v>
          </cell>
          <cell r="AD390">
            <v>113</v>
          </cell>
          <cell r="AI390">
            <v>8.6666666666666661</v>
          </cell>
          <cell r="AJ390">
            <v>0</v>
          </cell>
          <cell r="AK390">
            <v>428</v>
          </cell>
          <cell r="AL390">
            <v>191.66666666666669</v>
          </cell>
        </row>
        <row r="391">
          <cell r="F391">
            <v>0</v>
          </cell>
          <cell r="G391">
            <v>0</v>
          </cell>
          <cell r="P391">
            <v>2</v>
          </cell>
          <cell r="X391">
            <v>0</v>
          </cell>
          <cell r="Y391">
            <v>0</v>
          </cell>
          <cell r="AC391">
            <v>25</v>
          </cell>
          <cell r="AD391">
            <v>10</v>
          </cell>
          <cell r="AI391">
            <v>22</v>
          </cell>
          <cell r="AJ391">
            <v>15.333333333333332</v>
          </cell>
          <cell r="AK391">
            <v>33.666666666666671</v>
          </cell>
          <cell r="AL391">
            <v>15</v>
          </cell>
        </row>
        <row r="392">
          <cell r="F392">
            <v>0</v>
          </cell>
          <cell r="G392">
            <v>0</v>
          </cell>
          <cell r="P392">
            <v>0</v>
          </cell>
          <cell r="X392">
            <v>25.333333333333332</v>
          </cell>
          <cell r="Y392">
            <v>14</v>
          </cell>
          <cell r="AC392">
            <v>0.66666666666666663</v>
          </cell>
          <cell r="AD392">
            <v>0</v>
          </cell>
          <cell r="AI392">
            <v>5.333333333333333</v>
          </cell>
          <cell r="AJ392">
            <v>3</v>
          </cell>
          <cell r="AK392">
            <v>26</v>
          </cell>
          <cell r="AL392">
            <v>14</v>
          </cell>
        </row>
        <row r="393">
          <cell r="F393">
            <v>120.63333333333333</v>
          </cell>
          <cell r="G393">
            <v>41</v>
          </cell>
          <cell r="P393">
            <v>0</v>
          </cell>
          <cell r="X393">
            <v>0</v>
          </cell>
          <cell r="Y393">
            <v>0</v>
          </cell>
          <cell r="AC393">
            <v>0</v>
          </cell>
          <cell r="AD393">
            <v>0</v>
          </cell>
          <cell r="AI393">
            <v>4.6666666666666661</v>
          </cell>
          <cell r="AJ393">
            <v>4.333333333333333</v>
          </cell>
          <cell r="AK393">
            <v>120.63333333333333</v>
          </cell>
          <cell r="AL393">
            <v>43</v>
          </cell>
        </row>
        <row r="394">
          <cell r="F394">
            <v>8.6666666666666661</v>
          </cell>
          <cell r="G394">
            <v>3</v>
          </cell>
          <cell r="P394">
            <v>0</v>
          </cell>
          <cell r="X394">
            <v>0</v>
          </cell>
          <cell r="Y394">
            <v>0</v>
          </cell>
          <cell r="AC394">
            <v>0</v>
          </cell>
          <cell r="AD394">
            <v>0</v>
          </cell>
          <cell r="AI394">
            <v>26</v>
          </cell>
          <cell r="AJ394">
            <v>16</v>
          </cell>
          <cell r="AK394">
            <v>8.6666666666666661</v>
          </cell>
          <cell r="AL394">
            <v>0</v>
          </cell>
        </row>
        <row r="395">
          <cell r="F395">
            <v>0</v>
          </cell>
          <cell r="G395">
            <v>0</v>
          </cell>
          <cell r="P395">
            <v>5.333333333333333</v>
          </cell>
          <cell r="X395">
            <v>0</v>
          </cell>
          <cell r="Y395">
            <v>0</v>
          </cell>
          <cell r="AC395">
            <v>0</v>
          </cell>
          <cell r="AD395">
            <v>0</v>
          </cell>
          <cell r="AI395">
            <v>0</v>
          </cell>
          <cell r="AK395">
            <v>22</v>
          </cell>
          <cell r="AL395">
            <v>15.333333333333332</v>
          </cell>
        </row>
        <row r="396">
          <cell r="F396">
            <v>5.333333333333333</v>
          </cell>
          <cell r="G396">
            <v>2</v>
          </cell>
          <cell r="P396">
            <v>0</v>
          </cell>
          <cell r="X396">
            <v>0</v>
          </cell>
          <cell r="Y396">
            <v>0</v>
          </cell>
          <cell r="AC396">
            <v>0</v>
          </cell>
          <cell r="AD396">
            <v>0</v>
          </cell>
          <cell r="AI396">
            <v>587.33333333333337</v>
          </cell>
          <cell r="AJ396">
            <v>414.5</v>
          </cell>
          <cell r="AK396">
            <v>5.333333333333333</v>
          </cell>
          <cell r="AL396">
            <v>2</v>
          </cell>
        </row>
        <row r="397">
          <cell r="F397">
            <v>0.33333333333333331</v>
          </cell>
          <cell r="G397">
            <v>0</v>
          </cell>
          <cell r="P397">
            <v>4.333333333333333</v>
          </cell>
          <cell r="X397">
            <v>0</v>
          </cell>
          <cell r="Y397">
            <v>0</v>
          </cell>
          <cell r="AC397">
            <v>0</v>
          </cell>
          <cell r="AD397">
            <v>0</v>
          </cell>
          <cell r="AI397">
            <v>0</v>
          </cell>
          <cell r="AJ397">
            <v>0</v>
          </cell>
          <cell r="AK397">
            <v>4.6666666666666661</v>
          </cell>
          <cell r="AL397">
            <v>4.333333333333333</v>
          </cell>
        </row>
        <row r="398">
          <cell r="F398">
            <v>0.33333333333333331</v>
          </cell>
          <cell r="G398">
            <v>0</v>
          </cell>
          <cell r="P398">
            <v>2</v>
          </cell>
          <cell r="X398">
            <v>10</v>
          </cell>
          <cell r="Y398">
            <v>5</v>
          </cell>
          <cell r="AC398">
            <v>13.666666666666666</v>
          </cell>
          <cell r="AD398">
            <v>6</v>
          </cell>
          <cell r="AI398">
            <v>491.66666666666669</v>
          </cell>
          <cell r="AJ398">
            <v>347</v>
          </cell>
          <cell r="AK398">
            <v>26</v>
          </cell>
          <cell r="AL398">
            <v>13</v>
          </cell>
        </row>
        <row r="399">
          <cell r="F399">
            <v>0</v>
          </cell>
          <cell r="G399">
            <v>0</v>
          </cell>
          <cell r="P399">
            <v>0</v>
          </cell>
          <cell r="X399">
            <v>0</v>
          </cell>
          <cell r="Y399">
            <v>0</v>
          </cell>
          <cell r="AC399">
            <v>0</v>
          </cell>
          <cell r="AD399">
            <v>0</v>
          </cell>
          <cell r="AI399">
            <v>0</v>
          </cell>
          <cell r="AJ399">
            <v>0</v>
          </cell>
          <cell r="AK399">
            <v>0</v>
          </cell>
          <cell r="AL399">
            <v>12</v>
          </cell>
        </row>
        <row r="400">
          <cell r="F400">
            <v>1.1666666666666667</v>
          </cell>
          <cell r="G400">
            <v>0</v>
          </cell>
          <cell r="P400">
            <v>20.5</v>
          </cell>
          <cell r="X400">
            <v>522.33333333333337</v>
          </cell>
          <cell r="Y400">
            <v>279</v>
          </cell>
          <cell r="AC400">
            <v>43</v>
          </cell>
          <cell r="AD400">
            <v>17</v>
          </cell>
          <cell r="AI400">
            <v>91</v>
          </cell>
          <cell r="AJ400">
            <v>68.833333333333343</v>
          </cell>
          <cell r="AK400">
            <v>587.33333333333337</v>
          </cell>
          <cell r="AL400">
            <v>316.5</v>
          </cell>
          <cell r="AM400">
            <v>316.83333333333331</v>
          </cell>
        </row>
        <row r="401">
          <cell r="F401">
            <v>0</v>
          </cell>
          <cell r="G401">
            <v>0</v>
          </cell>
          <cell r="P401">
            <v>0</v>
          </cell>
          <cell r="X401">
            <v>0</v>
          </cell>
          <cell r="Y401">
            <v>0</v>
          </cell>
          <cell r="AC401">
            <v>0</v>
          </cell>
          <cell r="AD401">
            <v>0</v>
          </cell>
          <cell r="AI401">
            <v>4.666666666666667</v>
          </cell>
          <cell r="AJ401">
            <v>0</v>
          </cell>
          <cell r="AK401">
            <v>0</v>
          </cell>
          <cell r="AL401">
            <v>0</v>
          </cell>
          <cell r="AM401">
            <v>257.83333333333331</v>
          </cell>
        </row>
        <row r="402">
          <cell r="F402">
            <v>0</v>
          </cell>
          <cell r="G402">
            <v>0</v>
          </cell>
          <cell r="P402">
            <v>0</v>
          </cell>
          <cell r="X402">
            <v>480.66666666666669</v>
          </cell>
          <cell r="Y402">
            <v>257</v>
          </cell>
          <cell r="AC402">
            <v>11</v>
          </cell>
          <cell r="AD402">
            <v>4</v>
          </cell>
          <cell r="AI402">
            <v>0</v>
          </cell>
          <cell r="AK402">
            <v>491.66666666666669</v>
          </cell>
          <cell r="AL402">
            <v>261</v>
          </cell>
        </row>
        <row r="403">
          <cell r="F403">
            <v>0</v>
          </cell>
          <cell r="G403">
            <v>0</v>
          </cell>
          <cell r="P403">
            <v>0</v>
          </cell>
          <cell r="X403">
            <v>0</v>
          </cell>
          <cell r="Y403">
            <v>0</v>
          </cell>
          <cell r="AC403">
            <v>0</v>
          </cell>
          <cell r="AD403">
            <v>0</v>
          </cell>
          <cell r="AI403">
            <v>49</v>
          </cell>
          <cell r="AJ403">
            <v>45</v>
          </cell>
          <cell r="AK403">
            <v>0</v>
          </cell>
          <cell r="AL403">
            <v>0</v>
          </cell>
        </row>
        <row r="404">
          <cell r="F404">
            <v>1.1666666666666667</v>
          </cell>
          <cell r="G404">
            <v>0</v>
          </cell>
          <cell r="P404">
            <v>15.833333333333334</v>
          </cell>
          <cell r="X404">
            <v>41.666666666666664</v>
          </cell>
          <cell r="Y404">
            <v>22</v>
          </cell>
          <cell r="AC404">
            <v>32</v>
          </cell>
          <cell r="AD404">
            <v>13</v>
          </cell>
          <cell r="AI404">
            <v>6</v>
          </cell>
          <cell r="AJ404">
            <v>5.3333333333333339</v>
          </cell>
          <cell r="AK404">
            <v>91</v>
          </cell>
          <cell r="AL404">
            <v>55.833333333333336</v>
          </cell>
        </row>
        <row r="405">
          <cell r="F405">
            <v>0</v>
          </cell>
          <cell r="G405">
            <v>0</v>
          </cell>
          <cell r="P405">
            <v>4.666666666666667</v>
          </cell>
          <cell r="X405">
            <v>0</v>
          </cell>
          <cell r="Y405">
            <v>0</v>
          </cell>
          <cell r="AC405">
            <v>0</v>
          </cell>
          <cell r="AD405">
            <v>0</v>
          </cell>
          <cell r="AI405">
            <v>43</v>
          </cell>
          <cell r="AJ405">
            <v>39.666666666666664</v>
          </cell>
          <cell r="AK405">
            <v>4.666666666666667</v>
          </cell>
          <cell r="AL405">
            <v>0</v>
          </cell>
        </row>
        <row r="406">
          <cell r="F406">
            <v>0</v>
          </cell>
          <cell r="G406">
            <v>0</v>
          </cell>
          <cell r="P406">
            <v>0</v>
          </cell>
          <cell r="X406">
            <v>0</v>
          </cell>
          <cell r="Y406">
            <v>0</v>
          </cell>
          <cell r="AC406">
            <v>0</v>
          </cell>
          <cell r="AD406">
            <v>0</v>
          </cell>
          <cell r="AI406">
            <v>0</v>
          </cell>
          <cell r="AK406">
            <v>0</v>
          </cell>
          <cell r="AL406">
            <v>0</v>
          </cell>
        </row>
        <row r="407">
          <cell r="F407">
            <v>10</v>
          </cell>
          <cell r="G407">
            <v>3</v>
          </cell>
          <cell r="H407">
            <v>122</v>
          </cell>
          <cell r="P407">
            <v>39</v>
          </cell>
          <cell r="S407">
            <v>50.166666666666671</v>
          </cell>
          <cell r="X407">
            <v>0</v>
          </cell>
          <cell r="Y407">
            <v>0</v>
          </cell>
          <cell r="AC407">
            <v>0</v>
          </cell>
          <cell r="AD407">
            <v>0</v>
          </cell>
          <cell r="AI407">
            <v>1965.0000000000002</v>
          </cell>
          <cell r="AJ407">
            <v>471.16666666666663</v>
          </cell>
          <cell r="AK407">
            <v>49</v>
          </cell>
          <cell r="AL407">
            <v>42</v>
          </cell>
          <cell r="AM407">
            <v>43</v>
          </cell>
        </row>
        <row r="408">
          <cell r="F408">
            <v>2.6666666666666665</v>
          </cell>
          <cell r="G408">
            <v>1</v>
          </cell>
          <cell r="P408">
            <v>3.3333333333333335</v>
          </cell>
          <cell r="X408">
            <v>0</v>
          </cell>
          <cell r="Y408">
            <v>0</v>
          </cell>
          <cell r="AC408">
            <v>0</v>
          </cell>
          <cell r="AD408">
            <v>0</v>
          </cell>
          <cell r="AI408">
            <v>1350</v>
          </cell>
          <cell r="AJ408">
            <v>0</v>
          </cell>
          <cell r="AK408">
            <v>6</v>
          </cell>
          <cell r="AL408">
            <v>4.3333333333333339</v>
          </cell>
          <cell r="AM408">
            <v>42</v>
          </cell>
        </row>
        <row r="409">
          <cell r="F409">
            <v>7.333333333333333</v>
          </cell>
          <cell r="G409">
            <v>3</v>
          </cell>
          <cell r="P409">
            <v>35.666666666666664</v>
          </cell>
          <cell r="X409">
            <v>0</v>
          </cell>
          <cell r="Y409">
            <v>0</v>
          </cell>
          <cell r="AC409">
            <v>0</v>
          </cell>
          <cell r="AD409">
            <v>0</v>
          </cell>
          <cell r="AI409">
            <v>95</v>
          </cell>
          <cell r="AJ409">
            <v>95</v>
          </cell>
          <cell r="AK409">
            <v>43</v>
          </cell>
          <cell r="AL409">
            <v>38.666666666666664</v>
          </cell>
        </row>
        <row r="410">
          <cell r="F410">
            <v>0</v>
          </cell>
          <cell r="G410">
            <v>0</v>
          </cell>
          <cell r="P410">
            <v>0</v>
          </cell>
          <cell r="X410">
            <v>0</v>
          </cell>
          <cell r="Y410">
            <v>0</v>
          </cell>
          <cell r="AC410">
            <v>0</v>
          </cell>
          <cell r="AD410">
            <v>0</v>
          </cell>
          <cell r="AI410">
            <v>0</v>
          </cell>
          <cell r="AJ410">
            <v>0</v>
          </cell>
          <cell r="AK410">
            <v>0</v>
          </cell>
          <cell r="AL410">
            <v>37.666666666666664</v>
          </cell>
        </row>
        <row r="411">
          <cell r="F411">
            <v>206.33333333333329</v>
          </cell>
          <cell r="G411">
            <v>71</v>
          </cell>
          <cell r="H411">
            <v>71</v>
          </cell>
          <cell r="P411">
            <v>50.166666666666671</v>
          </cell>
          <cell r="S411">
            <v>50.166666666666671</v>
          </cell>
          <cell r="X411">
            <v>37.833333333333343</v>
          </cell>
          <cell r="Y411">
            <v>20</v>
          </cell>
          <cell r="AC411">
            <v>26.000000000000004</v>
          </cell>
          <cell r="AD411">
            <v>11</v>
          </cell>
          <cell r="AI411">
            <v>12.333333333333334</v>
          </cell>
          <cell r="AJ411">
            <v>12.333333333333334</v>
          </cell>
          <cell r="AK411">
            <v>1965.0000000000002</v>
          </cell>
          <cell r="AL411">
            <v>412.16666666666663</v>
          </cell>
          <cell r="AM411">
            <v>412.16666666666663</v>
          </cell>
        </row>
        <row r="412">
          <cell r="F412">
            <v>0</v>
          </cell>
          <cell r="G412">
            <v>0</v>
          </cell>
          <cell r="H412">
            <v>64</v>
          </cell>
          <cell r="P412">
            <v>0</v>
          </cell>
          <cell r="S412">
            <v>50.166666666666671</v>
          </cell>
          <cell r="X412">
            <v>0</v>
          </cell>
          <cell r="Y412">
            <v>0</v>
          </cell>
          <cell r="AC412">
            <v>0</v>
          </cell>
          <cell r="AD412">
            <v>0</v>
          </cell>
          <cell r="AI412">
            <v>0</v>
          </cell>
          <cell r="AJ412">
            <v>0</v>
          </cell>
          <cell r="AK412">
            <v>1350</v>
          </cell>
          <cell r="AL412">
            <v>0</v>
          </cell>
          <cell r="AM412">
            <v>400.16666666666663</v>
          </cell>
        </row>
        <row r="413">
          <cell r="F413">
            <v>0</v>
          </cell>
          <cell r="G413">
            <v>0</v>
          </cell>
          <cell r="P413">
            <v>0</v>
          </cell>
          <cell r="X413">
            <v>0</v>
          </cell>
          <cell r="Y413">
            <v>0</v>
          </cell>
          <cell r="AC413">
            <v>0</v>
          </cell>
          <cell r="AD413">
            <v>0</v>
          </cell>
          <cell r="AI413">
            <v>57.666666666666664</v>
          </cell>
          <cell r="AJ413">
            <v>50</v>
          </cell>
          <cell r="AK413">
            <v>95</v>
          </cell>
          <cell r="AL413">
            <v>95</v>
          </cell>
        </row>
        <row r="414">
          <cell r="F414">
            <v>0</v>
          </cell>
          <cell r="G414">
            <v>0</v>
          </cell>
          <cell r="P414">
            <v>0</v>
          </cell>
          <cell r="X414">
            <v>0</v>
          </cell>
          <cell r="Y414">
            <v>0</v>
          </cell>
          <cell r="AC414">
            <v>0</v>
          </cell>
          <cell r="AD414">
            <v>0</v>
          </cell>
          <cell r="AI414">
            <v>4</v>
          </cell>
          <cell r="AJ414">
            <v>0</v>
          </cell>
          <cell r="AK414">
            <v>0</v>
          </cell>
          <cell r="AL414">
            <v>0</v>
          </cell>
        </row>
        <row r="415">
          <cell r="F415">
            <v>0</v>
          </cell>
          <cell r="G415">
            <v>0</v>
          </cell>
          <cell r="P415">
            <v>12.333333333333334</v>
          </cell>
          <cell r="X415">
            <v>0</v>
          </cell>
          <cell r="Y415">
            <v>0</v>
          </cell>
          <cell r="AC415">
            <v>0</v>
          </cell>
          <cell r="AD415">
            <v>0</v>
          </cell>
          <cell r="AI415">
            <v>0</v>
          </cell>
          <cell r="AJ415">
            <v>0</v>
          </cell>
          <cell r="AK415">
            <v>12.333333333333334</v>
          </cell>
          <cell r="AL415">
            <v>12.333333333333334</v>
          </cell>
        </row>
        <row r="416">
          <cell r="F416">
            <v>0</v>
          </cell>
          <cell r="G416">
            <v>0</v>
          </cell>
          <cell r="P416">
            <v>0</v>
          </cell>
          <cell r="X416">
            <v>0</v>
          </cell>
          <cell r="Y416">
            <v>0</v>
          </cell>
          <cell r="AC416">
            <v>0</v>
          </cell>
          <cell r="AD416">
            <v>0</v>
          </cell>
          <cell r="AI416">
            <v>28.5</v>
          </cell>
          <cell r="AJ416">
            <v>26.5</v>
          </cell>
          <cell r="AK416">
            <v>0</v>
          </cell>
          <cell r="AL416">
            <v>0</v>
          </cell>
        </row>
        <row r="417">
          <cell r="F417">
            <v>1.6666666666666667</v>
          </cell>
          <cell r="G417">
            <v>1</v>
          </cell>
          <cell r="P417">
            <v>5</v>
          </cell>
          <cell r="X417">
            <v>3</v>
          </cell>
          <cell r="Y417">
            <v>2</v>
          </cell>
          <cell r="AC417">
            <v>3</v>
          </cell>
          <cell r="AD417">
            <v>1</v>
          </cell>
          <cell r="AI417">
            <v>69</v>
          </cell>
          <cell r="AJ417">
            <v>52.333333333333336</v>
          </cell>
          <cell r="AK417">
            <v>57.666666666666664</v>
          </cell>
          <cell r="AL417">
            <v>49</v>
          </cell>
        </row>
        <row r="418">
          <cell r="F418">
            <v>0</v>
          </cell>
          <cell r="G418">
            <v>0</v>
          </cell>
          <cell r="P418">
            <v>0</v>
          </cell>
          <cell r="X418">
            <v>0</v>
          </cell>
          <cell r="Y418">
            <v>0</v>
          </cell>
          <cell r="AC418">
            <v>0</v>
          </cell>
          <cell r="AD418">
            <v>0</v>
          </cell>
          <cell r="AI418">
            <v>177</v>
          </cell>
          <cell r="AJ418">
            <v>104</v>
          </cell>
          <cell r="AK418">
            <v>4</v>
          </cell>
          <cell r="AL418">
            <v>0</v>
          </cell>
        </row>
        <row r="419">
          <cell r="F419">
            <v>0</v>
          </cell>
          <cell r="G419">
            <v>0</v>
          </cell>
          <cell r="P419">
            <v>0</v>
          </cell>
          <cell r="X419">
            <v>0</v>
          </cell>
          <cell r="Y419">
            <v>0</v>
          </cell>
          <cell r="AC419">
            <v>0</v>
          </cell>
          <cell r="AD419">
            <v>0</v>
          </cell>
          <cell r="AI419">
            <v>17.666666666666668</v>
          </cell>
          <cell r="AJ419">
            <v>11</v>
          </cell>
          <cell r="AK419">
            <v>0</v>
          </cell>
          <cell r="AL419">
            <v>0</v>
          </cell>
        </row>
        <row r="420">
          <cell r="F420">
            <v>0</v>
          </cell>
          <cell r="G420">
            <v>0</v>
          </cell>
          <cell r="P420">
            <v>18.5</v>
          </cell>
          <cell r="X420">
            <v>4.5</v>
          </cell>
          <cell r="Y420">
            <v>2</v>
          </cell>
          <cell r="AC420">
            <v>1.3333333333333333</v>
          </cell>
          <cell r="AD420">
            <v>1</v>
          </cell>
          <cell r="AI420">
            <v>6</v>
          </cell>
          <cell r="AJ420">
            <v>4</v>
          </cell>
          <cell r="AK420">
            <v>28.5</v>
          </cell>
          <cell r="AL420">
            <v>25.5</v>
          </cell>
        </row>
        <row r="421">
          <cell r="F421">
            <v>0</v>
          </cell>
          <cell r="G421">
            <v>0</v>
          </cell>
          <cell r="P421">
            <v>1.3333333333333333</v>
          </cell>
          <cell r="X421">
            <v>0</v>
          </cell>
          <cell r="Y421">
            <v>0</v>
          </cell>
          <cell r="AC421">
            <v>1.6666666666666667</v>
          </cell>
          <cell r="AD421">
            <v>1</v>
          </cell>
          <cell r="AI421">
            <v>9.3333333333333339</v>
          </cell>
          <cell r="AJ421">
            <v>5.333333333333333</v>
          </cell>
          <cell r="AK421">
            <v>69</v>
          </cell>
          <cell r="AL421">
            <v>52.333333333333336</v>
          </cell>
        </row>
        <row r="422">
          <cell r="F422">
            <v>177</v>
          </cell>
          <cell r="G422">
            <v>61</v>
          </cell>
          <cell r="P422">
            <v>0</v>
          </cell>
          <cell r="X422">
            <v>0</v>
          </cell>
          <cell r="Y422">
            <v>0</v>
          </cell>
          <cell r="AC422">
            <v>0</v>
          </cell>
          <cell r="AD422">
            <v>0</v>
          </cell>
          <cell r="AI422">
            <v>13.333333333333334</v>
          </cell>
          <cell r="AJ422">
            <v>9.3333333333333339</v>
          </cell>
          <cell r="AK422">
            <v>177</v>
          </cell>
          <cell r="AL422">
            <v>61</v>
          </cell>
        </row>
        <row r="423">
          <cell r="F423">
            <v>0</v>
          </cell>
          <cell r="G423">
            <v>0</v>
          </cell>
          <cell r="P423">
            <v>0</v>
          </cell>
          <cell r="X423">
            <v>10</v>
          </cell>
          <cell r="Y423">
            <v>5</v>
          </cell>
          <cell r="AC423">
            <v>7.666666666666667</v>
          </cell>
          <cell r="AD423">
            <v>3</v>
          </cell>
          <cell r="AI423">
            <v>0</v>
          </cell>
          <cell r="AJ423">
            <v>0</v>
          </cell>
          <cell r="AK423">
            <v>17.666666666666668</v>
          </cell>
          <cell r="AL423">
            <v>8</v>
          </cell>
        </row>
        <row r="424">
          <cell r="F424">
            <v>0.66666666666666663</v>
          </cell>
          <cell r="G424">
            <v>0</v>
          </cell>
          <cell r="P424">
            <v>2</v>
          </cell>
          <cell r="X424">
            <v>1.3333333333333333</v>
          </cell>
          <cell r="Y424">
            <v>1</v>
          </cell>
          <cell r="AC424">
            <v>1</v>
          </cell>
          <cell r="AD424">
            <v>0</v>
          </cell>
          <cell r="AI424">
            <v>0</v>
          </cell>
          <cell r="AJ424">
            <v>0</v>
          </cell>
          <cell r="AK424">
            <v>6</v>
          </cell>
          <cell r="AL424">
            <v>3</v>
          </cell>
        </row>
        <row r="425">
          <cell r="F425">
            <v>2.6666666666666665</v>
          </cell>
          <cell r="G425">
            <v>1</v>
          </cell>
          <cell r="P425">
            <v>0.33333333333333331</v>
          </cell>
          <cell r="X425">
            <v>1</v>
          </cell>
          <cell r="Y425">
            <v>1</v>
          </cell>
          <cell r="AC425">
            <v>0.66666666666666663</v>
          </cell>
          <cell r="AD425">
            <v>0</v>
          </cell>
          <cell r="AI425">
            <v>12</v>
          </cell>
          <cell r="AJ425">
            <v>8</v>
          </cell>
          <cell r="AK425">
            <v>9.3333333333333339</v>
          </cell>
          <cell r="AL425">
            <v>4.3333333333333339</v>
          </cell>
        </row>
        <row r="426">
          <cell r="F426">
            <v>0</v>
          </cell>
          <cell r="G426">
            <v>0</v>
          </cell>
          <cell r="P426">
            <v>2.3333333333333335</v>
          </cell>
          <cell r="X426">
            <v>6</v>
          </cell>
          <cell r="Y426">
            <v>3</v>
          </cell>
          <cell r="AC426">
            <v>5</v>
          </cell>
          <cell r="AD426">
            <v>2</v>
          </cell>
          <cell r="AI426">
            <v>0</v>
          </cell>
          <cell r="AJ426">
            <v>0</v>
          </cell>
          <cell r="AK426">
            <v>13.333333333333334</v>
          </cell>
          <cell r="AL426">
            <v>7.3333333333333339</v>
          </cell>
        </row>
        <row r="427">
          <cell r="F427">
            <v>0</v>
          </cell>
          <cell r="G427">
            <v>0</v>
          </cell>
          <cell r="P427">
            <v>0</v>
          </cell>
          <cell r="X427">
            <v>0</v>
          </cell>
          <cell r="Y427">
            <v>0</v>
          </cell>
          <cell r="AC427">
            <v>0</v>
          </cell>
          <cell r="AD427">
            <v>0</v>
          </cell>
          <cell r="AI427">
            <v>4.333333333333333</v>
          </cell>
          <cell r="AJ427">
            <v>1.6666666666666665</v>
          </cell>
          <cell r="AK427">
            <v>0</v>
          </cell>
          <cell r="AL427">
            <v>0</v>
          </cell>
        </row>
        <row r="428">
          <cell r="F428">
            <v>0</v>
          </cell>
          <cell r="G428">
            <v>0</v>
          </cell>
          <cell r="P428">
            <v>0</v>
          </cell>
          <cell r="X428">
            <v>0</v>
          </cell>
          <cell r="Y428">
            <v>0</v>
          </cell>
          <cell r="AC428">
            <v>0</v>
          </cell>
          <cell r="AD428">
            <v>0</v>
          </cell>
          <cell r="AI428">
            <v>3.6666666666666665</v>
          </cell>
          <cell r="AJ428">
            <v>1.6666666666666665</v>
          </cell>
          <cell r="AK428">
            <v>0</v>
          </cell>
          <cell r="AL428">
            <v>0</v>
          </cell>
        </row>
        <row r="429">
          <cell r="F429">
            <v>9.6666666666666661</v>
          </cell>
          <cell r="G429">
            <v>3</v>
          </cell>
          <cell r="P429">
            <v>1</v>
          </cell>
          <cell r="X429">
            <v>0</v>
          </cell>
          <cell r="Y429">
            <v>0</v>
          </cell>
          <cell r="AC429">
            <v>0</v>
          </cell>
          <cell r="AD429">
            <v>0</v>
          </cell>
          <cell r="AI429">
            <v>33</v>
          </cell>
          <cell r="AJ429">
            <v>21.666666666666668</v>
          </cell>
          <cell r="AK429">
            <v>12</v>
          </cell>
          <cell r="AL429">
            <v>5</v>
          </cell>
        </row>
        <row r="430">
          <cell r="F430">
            <v>0</v>
          </cell>
          <cell r="G430">
            <v>0</v>
          </cell>
          <cell r="P430">
            <v>0</v>
          </cell>
          <cell r="X430">
            <v>0</v>
          </cell>
          <cell r="Y430">
            <v>0</v>
          </cell>
          <cell r="AC430">
            <v>0</v>
          </cell>
          <cell r="AD430">
            <v>0</v>
          </cell>
          <cell r="AI430">
            <v>0</v>
          </cell>
          <cell r="AJ430">
            <v>0</v>
          </cell>
          <cell r="AK430">
            <v>0</v>
          </cell>
          <cell r="AL430">
            <v>0</v>
          </cell>
        </row>
        <row r="431">
          <cell r="F431">
            <v>2.3333333333333335</v>
          </cell>
          <cell r="G431">
            <v>1</v>
          </cell>
          <cell r="P431">
            <v>0.66666666666666663</v>
          </cell>
          <cell r="X431">
            <v>0.66666666666666663</v>
          </cell>
          <cell r="Y431">
            <v>0</v>
          </cell>
          <cell r="AC431">
            <v>0.66666666666666663</v>
          </cell>
          <cell r="AD431">
            <v>0</v>
          </cell>
          <cell r="AI431">
            <v>0</v>
          </cell>
          <cell r="AJ431">
            <v>53</v>
          </cell>
          <cell r="AK431">
            <v>4.333333333333333</v>
          </cell>
          <cell r="AL431">
            <v>1.6666666666666665</v>
          </cell>
        </row>
        <row r="432">
          <cell r="F432">
            <v>1.6666666666666667</v>
          </cell>
          <cell r="G432">
            <v>1</v>
          </cell>
          <cell r="P432">
            <v>0.66666666666666663</v>
          </cell>
          <cell r="X432">
            <v>0.66666666666666663</v>
          </cell>
          <cell r="Y432">
            <v>0</v>
          </cell>
          <cell r="AC432">
            <v>0.66666666666666663</v>
          </cell>
          <cell r="AD432">
            <v>0</v>
          </cell>
          <cell r="AI432">
            <v>1</v>
          </cell>
          <cell r="AJ432">
            <v>1</v>
          </cell>
          <cell r="AK432">
            <v>3.6666666666666665</v>
          </cell>
          <cell r="AL432">
            <v>1.6666666666666665</v>
          </cell>
        </row>
        <row r="433">
          <cell r="F433">
            <v>6.666666666666667</v>
          </cell>
          <cell r="G433">
            <v>2</v>
          </cell>
          <cell r="P433">
            <v>4.666666666666667</v>
          </cell>
          <cell r="X433">
            <v>3</v>
          </cell>
          <cell r="Y433">
            <v>2</v>
          </cell>
          <cell r="AC433">
            <v>2</v>
          </cell>
          <cell r="AD433">
            <v>1</v>
          </cell>
          <cell r="AI433">
            <v>0</v>
          </cell>
          <cell r="AJ433">
            <v>0</v>
          </cell>
          <cell r="AK433">
            <v>33</v>
          </cell>
          <cell r="AL433">
            <v>19.666666666666668</v>
          </cell>
        </row>
        <row r="434">
          <cell r="F434">
            <v>0</v>
          </cell>
          <cell r="G434">
            <v>0</v>
          </cell>
          <cell r="P434">
            <v>0</v>
          </cell>
          <cell r="X434">
            <v>0</v>
          </cell>
          <cell r="Y434">
            <v>0</v>
          </cell>
          <cell r="AC434">
            <v>0</v>
          </cell>
          <cell r="AD434">
            <v>0</v>
          </cell>
          <cell r="AI434">
            <v>0</v>
          </cell>
          <cell r="AJ434">
            <v>0</v>
          </cell>
          <cell r="AK434">
            <v>0</v>
          </cell>
          <cell r="AL434">
            <v>0</v>
          </cell>
        </row>
        <row r="435">
          <cell r="F435">
            <v>0</v>
          </cell>
          <cell r="G435">
            <v>0</v>
          </cell>
          <cell r="P435">
            <v>0</v>
          </cell>
          <cell r="X435">
            <v>0</v>
          </cell>
          <cell r="Y435">
            <v>0</v>
          </cell>
          <cell r="AC435">
            <v>0</v>
          </cell>
          <cell r="AD435">
            <v>0</v>
          </cell>
          <cell r="AI435">
            <v>15.666666666666666</v>
          </cell>
          <cell r="AJ435">
            <v>10</v>
          </cell>
          <cell r="AK435">
            <v>0</v>
          </cell>
          <cell r="AL435">
            <v>53</v>
          </cell>
        </row>
        <row r="436">
          <cell r="F436">
            <v>1</v>
          </cell>
          <cell r="G436">
            <v>0</v>
          </cell>
          <cell r="P436">
            <v>0</v>
          </cell>
          <cell r="X436">
            <v>0</v>
          </cell>
          <cell r="Y436">
            <v>0</v>
          </cell>
          <cell r="AC436">
            <v>0</v>
          </cell>
          <cell r="AD436">
            <v>0</v>
          </cell>
          <cell r="AI436">
            <v>0</v>
          </cell>
          <cell r="AJ436">
            <v>0</v>
          </cell>
          <cell r="AK436">
            <v>1</v>
          </cell>
          <cell r="AL436">
            <v>1</v>
          </cell>
        </row>
        <row r="437">
          <cell r="F437">
            <v>0</v>
          </cell>
          <cell r="G437">
            <v>0</v>
          </cell>
          <cell r="P437">
            <v>0</v>
          </cell>
          <cell r="X437">
            <v>0</v>
          </cell>
          <cell r="Y437">
            <v>0</v>
          </cell>
          <cell r="AC437">
            <v>0</v>
          </cell>
          <cell r="AD437">
            <v>0</v>
          </cell>
          <cell r="AI437">
            <v>3.3333333333333335</v>
          </cell>
          <cell r="AJ437">
            <v>2</v>
          </cell>
          <cell r="AK437">
            <v>0</v>
          </cell>
          <cell r="AL437">
            <v>0</v>
          </cell>
        </row>
        <row r="438">
          <cell r="F438">
            <v>0</v>
          </cell>
          <cell r="G438">
            <v>0</v>
          </cell>
          <cell r="P438">
            <v>0</v>
          </cell>
          <cell r="X438">
            <v>0</v>
          </cell>
          <cell r="Y438">
            <v>0</v>
          </cell>
          <cell r="AC438">
            <v>0</v>
          </cell>
          <cell r="AD438">
            <v>0</v>
          </cell>
          <cell r="AI438">
            <v>1.9999999999999998</v>
          </cell>
          <cell r="AJ438">
            <v>0.33333333333333331</v>
          </cell>
          <cell r="AK438">
            <v>0</v>
          </cell>
          <cell r="AL438">
            <v>0</v>
          </cell>
        </row>
        <row r="439">
          <cell r="F439">
            <v>2.6666666666666665</v>
          </cell>
          <cell r="G439">
            <v>1</v>
          </cell>
          <cell r="P439">
            <v>1</v>
          </cell>
          <cell r="X439">
            <v>4</v>
          </cell>
          <cell r="Y439">
            <v>2</v>
          </cell>
          <cell r="AC439">
            <v>2</v>
          </cell>
          <cell r="AD439">
            <v>1</v>
          </cell>
          <cell r="AI439">
            <v>0</v>
          </cell>
          <cell r="AJ439">
            <v>0</v>
          </cell>
          <cell r="AK439">
            <v>15.666666666666666</v>
          </cell>
          <cell r="AL439">
            <v>8</v>
          </cell>
        </row>
        <row r="440">
          <cell r="F440">
            <v>0</v>
          </cell>
          <cell r="G440">
            <v>0</v>
          </cell>
          <cell r="P440">
            <v>0</v>
          </cell>
          <cell r="X440">
            <v>0</v>
          </cell>
          <cell r="Y440">
            <v>0</v>
          </cell>
          <cell r="AC440">
            <v>0</v>
          </cell>
          <cell r="AD440">
            <v>0</v>
          </cell>
          <cell r="AI440">
            <v>0</v>
          </cell>
          <cell r="AJ440">
            <v>0</v>
          </cell>
          <cell r="AK440">
            <v>0</v>
          </cell>
          <cell r="AL440">
            <v>0</v>
          </cell>
        </row>
        <row r="441">
          <cell r="F441">
            <v>0</v>
          </cell>
          <cell r="G441">
            <v>0</v>
          </cell>
          <cell r="P441">
            <v>0</v>
          </cell>
          <cell r="X441">
            <v>3.3333333333333335</v>
          </cell>
          <cell r="Y441">
            <v>2</v>
          </cell>
          <cell r="AC441">
            <v>0</v>
          </cell>
          <cell r="AD441">
            <v>0</v>
          </cell>
          <cell r="AI441">
            <v>0</v>
          </cell>
          <cell r="AJ441">
            <v>0</v>
          </cell>
          <cell r="AK441">
            <v>3.3333333333333335</v>
          </cell>
          <cell r="AL441">
            <v>2</v>
          </cell>
        </row>
        <row r="442">
          <cell r="F442">
            <v>0.33333333333333331</v>
          </cell>
          <cell r="G442">
            <v>0</v>
          </cell>
          <cell r="P442">
            <v>0.33333333333333331</v>
          </cell>
          <cell r="X442">
            <v>0.33333333333333331</v>
          </cell>
          <cell r="Y442">
            <v>0</v>
          </cell>
          <cell r="AC442">
            <v>0.33333333333333331</v>
          </cell>
          <cell r="AD442">
            <v>0</v>
          </cell>
          <cell r="AI442">
            <v>0</v>
          </cell>
          <cell r="AJ442">
            <v>0</v>
          </cell>
          <cell r="AK442">
            <v>1.9999999999999998</v>
          </cell>
          <cell r="AL442">
            <v>0.33333333333333331</v>
          </cell>
        </row>
        <row r="443">
          <cell r="F443">
            <v>0</v>
          </cell>
          <cell r="G443">
            <v>0</v>
          </cell>
          <cell r="P443">
            <v>0</v>
          </cell>
          <cell r="X443">
            <v>0</v>
          </cell>
          <cell r="Y443">
            <v>0</v>
          </cell>
          <cell r="AC443">
            <v>0</v>
          </cell>
          <cell r="AD443">
            <v>0</v>
          </cell>
          <cell r="AI443">
            <v>0</v>
          </cell>
          <cell r="AJ443">
            <v>0</v>
          </cell>
          <cell r="AK443">
            <v>0</v>
          </cell>
          <cell r="AL443">
            <v>0</v>
          </cell>
        </row>
        <row r="444">
          <cell r="F444">
            <v>0</v>
          </cell>
          <cell r="G444">
            <v>0</v>
          </cell>
          <cell r="P444">
            <v>0</v>
          </cell>
          <cell r="X444">
            <v>0</v>
          </cell>
          <cell r="Y444">
            <v>0</v>
          </cell>
          <cell r="AC444">
            <v>0</v>
          </cell>
          <cell r="AD444">
            <v>0</v>
          </cell>
          <cell r="AI444">
            <v>0</v>
          </cell>
          <cell r="AJ444">
            <v>0</v>
          </cell>
          <cell r="AK444">
            <v>0</v>
          </cell>
          <cell r="AL444">
            <v>0</v>
          </cell>
        </row>
        <row r="445">
          <cell r="F445">
            <v>0</v>
          </cell>
          <cell r="G445">
            <v>0</v>
          </cell>
          <cell r="P445">
            <v>0</v>
          </cell>
          <cell r="X445">
            <v>0</v>
          </cell>
          <cell r="Y445">
            <v>0</v>
          </cell>
          <cell r="AC445">
            <v>0</v>
          </cell>
          <cell r="AD445">
            <v>0</v>
          </cell>
          <cell r="AI445">
            <v>0</v>
          </cell>
          <cell r="AJ445">
            <v>2</v>
          </cell>
          <cell r="AK445">
            <v>0</v>
          </cell>
          <cell r="AL445">
            <v>0</v>
          </cell>
        </row>
        <row r="446">
          <cell r="F446">
            <v>0</v>
          </cell>
          <cell r="G446">
            <v>0</v>
          </cell>
          <cell r="P446">
            <v>0</v>
          </cell>
          <cell r="X446">
            <v>0</v>
          </cell>
          <cell r="Y446">
            <v>0</v>
          </cell>
          <cell r="AC446">
            <v>0</v>
          </cell>
          <cell r="AD446">
            <v>0</v>
          </cell>
          <cell r="AI446">
            <v>0</v>
          </cell>
          <cell r="AJ446">
            <v>0</v>
          </cell>
          <cell r="AK446">
            <v>0</v>
          </cell>
          <cell r="AL446">
            <v>0</v>
          </cell>
        </row>
        <row r="447">
          <cell r="F447">
            <v>0</v>
          </cell>
          <cell r="G447">
            <v>0</v>
          </cell>
          <cell r="P447">
            <v>0</v>
          </cell>
          <cell r="X447">
            <v>0</v>
          </cell>
          <cell r="Y447">
            <v>0</v>
          </cell>
          <cell r="AC447">
            <v>0</v>
          </cell>
          <cell r="AD447">
            <v>0</v>
          </cell>
          <cell r="AK447">
            <v>0</v>
          </cell>
          <cell r="AL447">
            <v>0</v>
          </cell>
        </row>
        <row r="448">
          <cell r="F448">
            <v>0</v>
          </cell>
          <cell r="G448">
            <v>0</v>
          </cell>
          <cell r="P448">
            <v>0</v>
          </cell>
          <cell r="X448">
            <v>0</v>
          </cell>
          <cell r="Y448">
            <v>0</v>
          </cell>
          <cell r="AC448">
            <v>0</v>
          </cell>
          <cell r="AD448">
            <v>0</v>
          </cell>
          <cell r="AK448">
            <v>0</v>
          </cell>
          <cell r="AL448">
            <v>0</v>
          </cell>
        </row>
        <row r="449">
          <cell r="F449">
            <v>0</v>
          </cell>
          <cell r="G449">
            <v>0</v>
          </cell>
          <cell r="P449">
            <v>0</v>
          </cell>
          <cell r="X449">
            <v>0</v>
          </cell>
          <cell r="Y449">
            <v>0</v>
          </cell>
          <cell r="AC449">
            <v>0</v>
          </cell>
          <cell r="AD449">
            <v>0</v>
          </cell>
          <cell r="AK449">
            <v>0</v>
          </cell>
          <cell r="AL449">
            <v>2</v>
          </cell>
        </row>
        <row r="450">
          <cell r="G450">
            <v>0</v>
          </cell>
          <cell r="P450">
            <v>0</v>
          </cell>
          <cell r="X450">
            <v>0</v>
          </cell>
          <cell r="Y450">
            <v>0</v>
          </cell>
          <cell r="AC450">
            <v>0</v>
          </cell>
          <cell r="AD450">
            <v>0</v>
          </cell>
          <cell r="AK450">
            <v>0</v>
          </cell>
          <cell r="AL450">
            <v>0</v>
          </cell>
        </row>
        <row r="451">
          <cell r="P451">
            <v>0</v>
          </cell>
          <cell r="X451">
            <v>0</v>
          </cell>
          <cell r="Y451">
            <v>0</v>
          </cell>
          <cell r="AC451">
            <v>0</v>
          </cell>
          <cell r="AD451">
            <v>0</v>
          </cell>
          <cell r="AK451">
            <v>0</v>
          </cell>
          <cell r="AL451">
            <v>0</v>
          </cell>
        </row>
      </sheetData>
      <sheetData sheetId="20" refreshError="1">
        <row r="1">
          <cell r="AE1" t="str">
            <v>'9 міс.'!</v>
          </cell>
        </row>
        <row r="25">
          <cell r="F25">
            <v>3700</v>
          </cell>
          <cell r="G25">
            <v>997</v>
          </cell>
          <cell r="H25">
            <v>2703</v>
          </cell>
          <cell r="P25">
            <v>676.66666666666674</v>
          </cell>
          <cell r="Q25">
            <v>0</v>
          </cell>
          <cell r="R25">
            <v>0</v>
          </cell>
          <cell r="S25">
            <v>3694.1333333333332</v>
          </cell>
          <cell r="T25">
            <v>3114.28</v>
          </cell>
          <cell r="U25">
            <v>579.85333333333324</v>
          </cell>
          <cell r="V25">
            <v>0</v>
          </cell>
          <cell r="W25">
            <v>0</v>
          </cell>
          <cell r="X25">
            <v>1536.0033333333331</v>
          </cell>
          <cell r="Y25">
            <v>638</v>
          </cell>
          <cell r="Z25">
            <v>898.00333333333333</v>
          </cell>
          <cell r="AA25">
            <v>0</v>
          </cell>
          <cell r="AB25">
            <v>0</v>
          </cell>
          <cell r="AC25">
            <v>463.93333333333334</v>
          </cell>
          <cell r="AD25">
            <v>212</v>
          </cell>
          <cell r="AE25">
            <v>251.93333333333334</v>
          </cell>
          <cell r="AF25">
            <v>1854.3333333333333</v>
          </cell>
          <cell r="AG25">
            <v>1308</v>
          </cell>
          <cell r="AH25">
            <v>546</v>
          </cell>
          <cell r="AJ25">
            <v>0</v>
          </cell>
          <cell r="AK25">
            <v>12431.736666666666</v>
          </cell>
          <cell r="AL25">
            <v>3313.666666666667</v>
          </cell>
          <cell r="AM25">
            <v>9118.07</v>
          </cell>
          <cell r="AN25">
            <v>9118.07</v>
          </cell>
          <cell r="AO25">
            <v>850</v>
          </cell>
          <cell r="AP25">
            <v>2406</v>
          </cell>
          <cell r="AQ25">
            <v>2463.6666666666665</v>
          </cell>
          <cell r="AR25">
            <v>6712.07</v>
          </cell>
        </row>
        <row r="31">
          <cell r="P31" t="str">
            <v>+</v>
          </cell>
          <cell r="S31" t="str">
            <v>-</v>
          </cell>
          <cell r="AF31" t="str">
            <v>+</v>
          </cell>
        </row>
        <row r="32">
          <cell r="Q32" t="str">
            <v>КТМ</v>
          </cell>
          <cell r="V32" t="str">
            <v xml:space="preserve">ТЕЦ-5 </v>
          </cell>
          <cell r="AA32" t="str">
            <v xml:space="preserve">ТЕЦ-6 </v>
          </cell>
        </row>
        <row r="33">
          <cell r="P33">
            <v>25148</v>
          </cell>
          <cell r="AC33">
            <v>14429</v>
          </cell>
          <cell r="AF33">
            <v>31349</v>
          </cell>
        </row>
        <row r="34">
          <cell r="F34" t="str">
            <v>ВИКОН.ДИР.</v>
          </cell>
          <cell r="G34" t="str">
            <v>Е/Е</v>
          </cell>
          <cell r="H34" t="str">
            <v xml:space="preserve"> Т/Е</v>
          </cell>
          <cell r="P34" t="str">
            <v xml:space="preserve">КМ </v>
          </cell>
          <cell r="Q34" t="str">
            <v>КТМ</v>
          </cell>
          <cell r="S34" t="str">
            <v xml:space="preserve">ТМ </v>
          </cell>
          <cell r="T34" t="str">
            <v>ВИРОБН</v>
          </cell>
          <cell r="U34" t="str">
            <v>ПЕРЕД</v>
          </cell>
          <cell r="V34" t="str">
            <v xml:space="preserve">ТЕЦ-5 </v>
          </cell>
          <cell r="X34" t="str">
            <v>ТЕЦ-5 ВСЬОГО</v>
          </cell>
          <cell r="Y34" t="str">
            <v>Е/Е</v>
          </cell>
          <cell r="Z34" t="str">
            <v xml:space="preserve"> Т/Е</v>
          </cell>
          <cell r="AA34" t="str">
            <v xml:space="preserve">ТЕЦ-6 </v>
          </cell>
          <cell r="AC34" t="str">
            <v>ТЕЦ-6 ВСЬОГО</v>
          </cell>
          <cell r="AD34" t="str">
            <v>Е/Е</v>
          </cell>
          <cell r="AE34" t="str">
            <v xml:space="preserve"> Т/Е</v>
          </cell>
          <cell r="AF34" t="str">
            <v>ТРМ ВСЬОГО</v>
          </cell>
          <cell r="AG34" t="str">
            <v>ТРМ  АК КЕ</v>
          </cell>
          <cell r="AH34" t="str">
            <v>ТРМ СТОР</v>
          </cell>
          <cell r="AJ34" t="str">
            <v>ДОП.ВИР. СТ.ОРГ.</v>
          </cell>
          <cell r="AK34" t="str">
            <v>АК КЕ ВСЬОГО</v>
          </cell>
          <cell r="AL34" t="str">
            <v xml:space="preserve"> Е/Е</v>
          </cell>
          <cell r="AM34" t="str">
            <v xml:space="preserve"> Т/Е</v>
          </cell>
          <cell r="AO34" t="str">
            <v>СТАНЦІї ЕЛЕКТРО</v>
          </cell>
          <cell r="AP34" t="str">
            <v>СТАНЦІІ ТЕПЛОВІ</v>
          </cell>
          <cell r="AQ34" t="str">
            <v>МЕРЕЖІ ЕЛЕКТРО</v>
          </cell>
          <cell r="AR34" t="str">
            <v>МЕРЕЖІ ТЕПЛОВІ</v>
          </cell>
        </row>
        <row r="35">
          <cell r="AL35">
            <v>395</v>
          </cell>
        </row>
        <row r="36">
          <cell r="F36" t="str">
            <v>ВИКОН.ДИР.</v>
          </cell>
          <cell r="G36" t="str">
            <v>Е/Е</v>
          </cell>
          <cell r="H36" t="str">
            <v xml:space="preserve"> Т/Е</v>
          </cell>
          <cell r="P36" t="str">
            <v xml:space="preserve">КМ </v>
          </cell>
          <cell r="S36" t="str">
            <v xml:space="preserve">ТМ </v>
          </cell>
          <cell r="T36" t="str">
            <v>ВИРОБН</v>
          </cell>
          <cell r="U36" t="str">
            <v>ПЕРЕД</v>
          </cell>
          <cell r="X36" t="str">
            <v>ТЕЦ-5 ВСЬОГО</v>
          </cell>
          <cell r="Y36" t="str">
            <v>Е/Е</v>
          </cell>
          <cell r="Z36" t="str">
            <v xml:space="preserve"> Т/Е</v>
          </cell>
          <cell r="AC36" t="str">
            <v>ТЕЦ-6 ВСЬОГО</v>
          </cell>
          <cell r="AD36" t="str">
            <v>Е/Е</v>
          </cell>
          <cell r="AE36" t="str">
            <v xml:space="preserve"> Т/Е</v>
          </cell>
          <cell r="AF36" t="str">
            <v>ТРМ ВСЬОГО</v>
          </cell>
          <cell r="AG36" t="str">
            <v>ТРМ  АК КЕ</v>
          </cell>
          <cell r="AH36" t="str">
            <v>ТРМ СТОР</v>
          </cell>
          <cell r="AI36" t="str">
            <v>АК КЕ ВСЬОГО</v>
          </cell>
          <cell r="AJ36" t="str">
            <v xml:space="preserve"> Е/Е</v>
          </cell>
          <cell r="AK36" t="str">
            <v xml:space="preserve"> Т/Е</v>
          </cell>
          <cell r="AL36">
            <v>336</v>
          </cell>
          <cell r="AM36" t="str">
            <v>СТАНЦІї ЕЛЕКТРО</v>
          </cell>
          <cell r="AN36" t="str">
            <v>СТАНЦІІ ТЕПЛОВІ</v>
          </cell>
          <cell r="AO36" t="str">
            <v>МЕРЕЖІ ЕЛЕКТРО</v>
          </cell>
          <cell r="AP36" t="str">
            <v>МЕРЕЖІ ТЕПЛОВІ</v>
          </cell>
        </row>
        <row r="37">
          <cell r="AJ37">
            <v>395</v>
          </cell>
          <cell r="AL37">
            <v>0</v>
          </cell>
        </row>
        <row r="38">
          <cell r="AJ38">
            <v>336</v>
          </cell>
        </row>
        <row r="39">
          <cell r="AJ39">
            <v>0</v>
          </cell>
          <cell r="AL39">
            <v>0</v>
          </cell>
        </row>
        <row r="40">
          <cell r="AL40">
            <v>0</v>
          </cell>
        </row>
        <row r="41">
          <cell r="AJ41">
            <v>0</v>
          </cell>
          <cell r="AL41">
            <v>395.6</v>
          </cell>
        </row>
        <row r="42">
          <cell r="P42">
            <v>0</v>
          </cell>
          <cell r="AJ42">
            <v>0</v>
          </cell>
          <cell r="AL42">
            <v>395.6</v>
          </cell>
        </row>
        <row r="43">
          <cell r="AJ43">
            <v>395.6</v>
          </cell>
          <cell r="AM43">
            <v>1580</v>
          </cell>
        </row>
        <row r="44">
          <cell r="P44">
            <v>0</v>
          </cell>
          <cell r="AJ44">
            <v>395.6</v>
          </cell>
          <cell r="AM44">
            <v>0</v>
          </cell>
        </row>
        <row r="45">
          <cell r="AK45">
            <v>1580</v>
          </cell>
          <cell r="AM45">
            <v>1580</v>
          </cell>
        </row>
        <row r="46">
          <cell r="F46">
            <v>10429</v>
          </cell>
          <cell r="P46">
            <v>3875.9166666666665</v>
          </cell>
          <cell r="S46">
            <v>9516.0260606060619</v>
          </cell>
          <cell r="T46">
            <v>4009.7854363636361</v>
          </cell>
          <cell r="U46">
            <v>2179.240624242424</v>
          </cell>
          <cell r="X46">
            <v>3231.389696969698</v>
          </cell>
          <cell r="AC46">
            <v>1662.8115151515158</v>
          </cell>
          <cell r="AF46">
            <v>4222.1842424242423</v>
          </cell>
          <cell r="AG46">
            <v>3452</v>
          </cell>
          <cell r="AH46">
            <v>770.05090909090904</v>
          </cell>
          <cell r="AK46">
            <v>0</v>
          </cell>
        </row>
        <row r="47">
          <cell r="F47">
            <v>0.8</v>
          </cell>
          <cell r="AK47">
            <v>1580</v>
          </cell>
        </row>
        <row r="48">
          <cell r="F48">
            <v>15953.197</v>
          </cell>
          <cell r="P48">
            <v>3631.1559999999999</v>
          </cell>
          <cell r="S48">
            <v>9526.8578787878778</v>
          </cell>
          <cell r="T48">
            <v>2010.6708606060602</v>
          </cell>
          <cell r="U48">
            <v>2621.0370181818184</v>
          </cell>
          <cell r="X48">
            <v>2672.4863636363625</v>
          </cell>
          <cell r="AC48">
            <v>1389.1963636363635</v>
          </cell>
          <cell r="AF48">
            <v>4185.9539393939394</v>
          </cell>
          <cell r="AG48">
            <v>3391.2</v>
          </cell>
          <cell r="AH48">
            <v>794.7539393939395</v>
          </cell>
        </row>
        <row r="49">
          <cell r="F49">
            <v>632</v>
          </cell>
          <cell r="G49">
            <v>170</v>
          </cell>
          <cell r="H49">
            <v>462</v>
          </cell>
          <cell r="P49">
            <v>420</v>
          </cell>
          <cell r="S49">
            <v>785</v>
          </cell>
          <cell r="T49">
            <v>392.5</v>
          </cell>
          <cell r="U49">
            <v>392.5</v>
          </cell>
          <cell r="X49">
            <v>432.66666666666663</v>
          </cell>
          <cell r="Y49">
            <v>180</v>
          </cell>
          <cell r="Z49">
            <v>252.66666666666663</v>
          </cell>
          <cell r="AC49">
            <v>142.66666666666669</v>
          </cell>
          <cell r="AD49">
            <v>65</v>
          </cell>
          <cell r="AE49">
            <v>77.666666666666686</v>
          </cell>
          <cell r="AF49">
            <v>523</v>
          </cell>
          <cell r="AG49">
            <v>435</v>
          </cell>
          <cell r="AH49">
            <v>88</v>
          </cell>
          <cell r="AK49">
            <v>3106.333333333333</v>
          </cell>
          <cell r="AL49">
            <v>1064</v>
          </cell>
          <cell r="AM49">
            <v>2042.333333333333</v>
          </cell>
          <cell r="AN49">
            <v>2042.3333333333333</v>
          </cell>
          <cell r="AO49">
            <v>245</v>
          </cell>
          <cell r="AP49">
            <v>597</v>
          </cell>
          <cell r="AQ49">
            <v>819</v>
          </cell>
          <cell r="AR49">
            <v>1445.333333333333</v>
          </cell>
        </row>
        <row r="50">
          <cell r="F50">
            <v>122</v>
          </cell>
          <cell r="G50">
            <v>33</v>
          </cell>
          <cell r="H50">
            <v>89</v>
          </cell>
          <cell r="P50">
            <v>367</v>
          </cell>
          <cell r="S50">
            <v>688</v>
          </cell>
          <cell r="X50">
            <v>93</v>
          </cell>
          <cell r="Y50">
            <v>39</v>
          </cell>
          <cell r="Z50">
            <v>54</v>
          </cell>
          <cell r="AC50">
            <v>90</v>
          </cell>
          <cell r="AD50">
            <v>41</v>
          </cell>
          <cell r="AE50">
            <v>49</v>
          </cell>
          <cell r="AF50">
            <v>508</v>
          </cell>
          <cell r="AG50">
            <v>420</v>
          </cell>
          <cell r="AH50">
            <v>88</v>
          </cell>
          <cell r="AK50">
            <v>1814</v>
          </cell>
          <cell r="AL50">
            <v>514</v>
          </cell>
          <cell r="AM50">
            <v>1300</v>
          </cell>
          <cell r="AN50">
            <v>1320</v>
          </cell>
        </row>
        <row r="51">
          <cell r="F51">
            <v>712</v>
          </cell>
          <cell r="G51">
            <v>0</v>
          </cell>
          <cell r="H51">
            <v>433</v>
          </cell>
          <cell r="P51">
            <v>0</v>
          </cell>
          <cell r="S51">
            <v>760.26666666666688</v>
          </cell>
          <cell r="T51">
            <v>380.13333333333344</v>
          </cell>
          <cell r="U51">
            <v>380.13333333333344</v>
          </cell>
          <cell r="X51">
            <v>5</v>
          </cell>
          <cell r="Y51">
            <v>2</v>
          </cell>
          <cell r="Z51">
            <v>3</v>
          </cell>
          <cell r="AC51">
            <v>0</v>
          </cell>
          <cell r="AD51">
            <v>0</v>
          </cell>
          <cell r="AE51">
            <v>0</v>
          </cell>
          <cell r="AF51">
            <v>398.13333333333344</v>
          </cell>
          <cell r="AG51">
            <v>300</v>
          </cell>
          <cell r="AH51">
            <v>0</v>
          </cell>
          <cell r="AI51">
            <v>2554.3026666666669</v>
          </cell>
          <cell r="AJ51">
            <v>931.23599999999999</v>
          </cell>
          <cell r="AK51">
            <v>5</v>
          </cell>
          <cell r="AL51">
            <v>2</v>
          </cell>
          <cell r="AM51">
            <v>3</v>
          </cell>
          <cell r="AN51">
            <v>3</v>
          </cell>
          <cell r="AO51">
            <v>738.23599999999999</v>
          </cell>
          <cell r="AP51">
            <v>1257.0666666666671</v>
          </cell>
        </row>
        <row r="52">
          <cell r="F52">
            <v>500</v>
          </cell>
          <cell r="G52">
            <v>135</v>
          </cell>
          <cell r="H52">
            <v>365</v>
          </cell>
          <cell r="P52">
            <v>20</v>
          </cell>
          <cell r="S52">
            <v>21</v>
          </cell>
          <cell r="X52">
            <v>70</v>
          </cell>
          <cell r="Y52">
            <v>29</v>
          </cell>
          <cell r="Z52">
            <v>41</v>
          </cell>
          <cell r="AC52">
            <v>25</v>
          </cell>
          <cell r="AD52">
            <v>11</v>
          </cell>
          <cell r="AE52">
            <v>14</v>
          </cell>
          <cell r="AF52">
            <v>15</v>
          </cell>
          <cell r="AG52">
            <v>15</v>
          </cell>
          <cell r="AH52">
            <v>0</v>
          </cell>
          <cell r="AI52">
            <v>1279</v>
          </cell>
          <cell r="AJ52">
            <v>511</v>
          </cell>
          <cell r="AK52">
            <v>856</v>
          </cell>
          <cell r="AL52">
            <v>390</v>
          </cell>
          <cell r="AM52">
            <v>466</v>
          </cell>
          <cell r="AN52">
            <v>466</v>
          </cell>
        </row>
        <row r="53">
          <cell r="F53">
            <v>1</v>
          </cell>
          <cell r="G53">
            <v>0</v>
          </cell>
          <cell r="H53">
            <v>1</v>
          </cell>
          <cell r="P53">
            <v>41.333333333333336</v>
          </cell>
          <cell r="S53">
            <v>366.66666666666663</v>
          </cell>
          <cell r="T53">
            <v>286</v>
          </cell>
          <cell r="U53">
            <v>80.666666666666629</v>
          </cell>
          <cell r="X53">
            <v>961</v>
          </cell>
          <cell r="Y53">
            <v>399</v>
          </cell>
          <cell r="Z53">
            <v>562</v>
          </cell>
          <cell r="AC53">
            <v>264.33333333333331</v>
          </cell>
          <cell r="AD53">
            <v>121</v>
          </cell>
          <cell r="AE53">
            <v>143.33333333333331</v>
          </cell>
          <cell r="AF53">
            <v>179.33333333333334</v>
          </cell>
          <cell r="AG53">
            <v>135</v>
          </cell>
          <cell r="AH53">
            <v>44.333333333333343</v>
          </cell>
          <cell r="AI53">
            <v>4</v>
          </cell>
          <cell r="AJ53">
            <v>3</v>
          </cell>
          <cell r="AK53">
            <v>1769.3333333333333</v>
          </cell>
          <cell r="AL53">
            <v>561.33333333333326</v>
          </cell>
          <cell r="AM53">
            <v>1208</v>
          </cell>
          <cell r="AN53">
            <v>1208</v>
          </cell>
          <cell r="AO53">
            <v>520</v>
          </cell>
          <cell r="AP53">
            <v>830</v>
          </cell>
          <cell r="AQ53">
            <v>41.333333333333258</v>
          </cell>
          <cell r="AR53">
            <v>378</v>
          </cell>
        </row>
        <row r="54">
          <cell r="F54">
            <v>0</v>
          </cell>
          <cell r="G54">
            <v>0</v>
          </cell>
          <cell r="H54">
            <v>0</v>
          </cell>
          <cell r="P54">
            <v>4</v>
          </cell>
          <cell r="S54">
            <v>13.666666666666666</v>
          </cell>
          <cell r="T54">
            <v>13.666666666666666</v>
          </cell>
          <cell r="U54">
            <v>0</v>
          </cell>
          <cell r="X54">
            <v>400</v>
          </cell>
          <cell r="Y54">
            <v>166</v>
          </cell>
          <cell r="Z54">
            <v>234</v>
          </cell>
          <cell r="AC54">
            <v>13.333333333333334</v>
          </cell>
          <cell r="AD54">
            <v>6</v>
          </cell>
          <cell r="AE54">
            <v>7.3333333333333339</v>
          </cell>
          <cell r="AF54">
            <v>0.3</v>
          </cell>
          <cell r="AG54">
            <v>15</v>
          </cell>
          <cell r="AH54">
            <v>0.3</v>
          </cell>
          <cell r="AI54">
            <v>752</v>
          </cell>
          <cell r="AJ54">
            <v>362</v>
          </cell>
          <cell r="AK54">
            <v>427</v>
          </cell>
          <cell r="AL54">
            <v>172</v>
          </cell>
          <cell r="AM54">
            <v>255</v>
          </cell>
          <cell r="AN54">
            <v>255</v>
          </cell>
          <cell r="AO54">
            <v>172</v>
          </cell>
          <cell r="AP54">
            <v>246</v>
          </cell>
          <cell r="AQ54">
            <v>0</v>
          </cell>
          <cell r="AR54">
            <v>9</v>
          </cell>
        </row>
        <row r="55">
          <cell r="F55">
            <v>0</v>
          </cell>
          <cell r="G55">
            <v>0</v>
          </cell>
          <cell r="H55">
            <v>0</v>
          </cell>
          <cell r="P55">
            <v>40.800000000000004</v>
          </cell>
          <cell r="S55">
            <v>19500</v>
          </cell>
          <cell r="T55">
            <v>19500</v>
          </cell>
          <cell r="U55">
            <v>0</v>
          </cell>
          <cell r="X55">
            <v>24969</v>
          </cell>
          <cell r="Y55">
            <v>11255</v>
          </cell>
          <cell r="Z55">
            <v>13714</v>
          </cell>
          <cell r="AC55">
            <v>24028</v>
          </cell>
          <cell r="AD55">
            <v>11813</v>
          </cell>
          <cell r="AE55">
            <v>12215</v>
          </cell>
          <cell r="AF55">
            <v>157.33333333333334</v>
          </cell>
          <cell r="AG55">
            <v>108</v>
          </cell>
          <cell r="AH55">
            <v>0</v>
          </cell>
          <cell r="AI55">
            <v>1268.4000000000001</v>
          </cell>
          <cell r="AJ55">
            <v>635.79999999999995</v>
          </cell>
          <cell r="AK55">
            <v>68497</v>
          </cell>
          <cell r="AL55">
            <v>23068</v>
          </cell>
          <cell r="AM55">
            <v>45429</v>
          </cell>
          <cell r="AN55">
            <v>45429</v>
          </cell>
          <cell r="AO55">
            <v>23068</v>
          </cell>
          <cell r="AP55">
            <v>45429</v>
          </cell>
          <cell r="AQ55">
            <v>0</v>
          </cell>
          <cell r="AR55">
            <v>0</v>
          </cell>
        </row>
        <row r="56">
          <cell r="F56">
            <v>0</v>
          </cell>
          <cell r="G56">
            <v>0</v>
          </cell>
          <cell r="H56">
            <v>0</v>
          </cell>
          <cell r="P56">
            <v>0</v>
          </cell>
          <cell r="S56">
            <v>19500</v>
          </cell>
          <cell r="T56">
            <v>19500</v>
          </cell>
          <cell r="U56">
            <v>0</v>
          </cell>
          <cell r="X56">
            <v>24969</v>
          </cell>
          <cell r="Y56">
            <v>11255</v>
          </cell>
          <cell r="Z56">
            <v>13714</v>
          </cell>
          <cell r="AC56">
            <v>24028</v>
          </cell>
          <cell r="AD56">
            <v>11813</v>
          </cell>
          <cell r="AE56">
            <v>12215</v>
          </cell>
          <cell r="AF56">
            <v>0</v>
          </cell>
          <cell r="AG56">
            <v>0</v>
          </cell>
          <cell r="AH56">
            <v>0</v>
          </cell>
          <cell r="AI56">
            <v>735.80000000000007</v>
          </cell>
          <cell r="AJ56">
            <v>509</v>
          </cell>
          <cell r="AK56">
            <v>68497</v>
          </cell>
          <cell r="AL56">
            <v>23068</v>
          </cell>
          <cell r="AM56">
            <v>45429</v>
          </cell>
          <cell r="AN56">
            <v>45429</v>
          </cell>
          <cell r="AO56">
            <v>23068</v>
          </cell>
          <cell r="AP56">
            <v>45429</v>
          </cell>
          <cell r="AQ56">
            <v>0</v>
          </cell>
          <cell r="AR56">
            <v>0</v>
          </cell>
        </row>
        <row r="57">
          <cell r="F57">
            <v>0</v>
          </cell>
          <cell r="G57">
            <v>0</v>
          </cell>
          <cell r="H57">
            <v>0</v>
          </cell>
          <cell r="S57">
            <v>1598</v>
          </cell>
          <cell r="T57">
            <v>0</v>
          </cell>
          <cell r="U57">
            <v>0</v>
          </cell>
          <cell r="X57">
            <v>13610</v>
          </cell>
          <cell r="Y57">
            <v>9645</v>
          </cell>
          <cell r="Z57">
            <v>3965</v>
          </cell>
          <cell r="AC57">
            <v>11589</v>
          </cell>
          <cell r="AD57">
            <v>6072</v>
          </cell>
          <cell r="AE57">
            <v>5517</v>
          </cell>
          <cell r="AF57">
            <v>0</v>
          </cell>
          <cell r="AH57">
            <v>0</v>
          </cell>
          <cell r="AI57">
            <v>26797</v>
          </cell>
          <cell r="AJ57">
            <v>15717</v>
          </cell>
          <cell r="AK57">
            <v>0</v>
          </cell>
          <cell r="AL57">
            <v>0</v>
          </cell>
          <cell r="AM57">
            <v>0</v>
          </cell>
          <cell r="AN57">
            <v>0</v>
          </cell>
          <cell r="AO57">
            <v>0</v>
          </cell>
          <cell r="AP57">
            <v>0</v>
          </cell>
        </row>
        <row r="58">
          <cell r="F58">
            <v>7</v>
          </cell>
          <cell r="G58">
            <v>2</v>
          </cell>
          <cell r="H58">
            <v>5</v>
          </cell>
          <cell r="P58">
            <v>58.666666666666664</v>
          </cell>
          <cell r="S58">
            <v>2370</v>
          </cell>
          <cell r="T58">
            <v>2370</v>
          </cell>
          <cell r="U58">
            <v>0</v>
          </cell>
          <cell r="X58">
            <v>0</v>
          </cell>
          <cell r="Y58">
            <v>0</v>
          </cell>
          <cell r="Z58">
            <v>0</v>
          </cell>
          <cell r="AC58">
            <v>0</v>
          </cell>
          <cell r="AD58">
            <v>0</v>
          </cell>
          <cell r="AE58">
            <v>0</v>
          </cell>
          <cell r="AF58">
            <v>900.66666666666663</v>
          </cell>
          <cell r="AG58">
            <v>500</v>
          </cell>
          <cell r="AH58">
            <v>400.66666666666663</v>
          </cell>
          <cell r="AI58">
            <v>26797</v>
          </cell>
          <cell r="AJ58">
            <v>15717</v>
          </cell>
          <cell r="AK58">
            <v>2935.6666666666665</v>
          </cell>
          <cell r="AL58">
            <v>60.666666666666664</v>
          </cell>
          <cell r="AM58">
            <v>2875</v>
          </cell>
          <cell r="AN58">
            <v>2875</v>
          </cell>
          <cell r="AO58">
            <v>0</v>
          </cell>
          <cell r="AP58">
            <v>806</v>
          </cell>
          <cell r="AQ58">
            <v>60.666666666666664</v>
          </cell>
          <cell r="AR58">
            <v>2069</v>
          </cell>
        </row>
        <row r="59">
          <cell r="F59">
            <v>427</v>
          </cell>
          <cell r="G59">
            <v>115</v>
          </cell>
          <cell r="H59">
            <v>312</v>
          </cell>
          <cell r="P59">
            <v>577.25</v>
          </cell>
          <cell r="S59">
            <v>824.09272727272719</v>
          </cell>
          <cell r="T59">
            <v>403.80543636363632</v>
          </cell>
          <cell r="U59">
            <v>420.28729090909087</v>
          </cell>
          <cell r="X59">
            <v>285.58636363636367</v>
          </cell>
          <cell r="Y59">
            <v>119</v>
          </cell>
          <cell r="Z59">
            <v>166.58636363636367</v>
          </cell>
          <cell r="AC59">
            <v>250.67818181818183</v>
          </cell>
          <cell r="AD59">
            <v>115</v>
          </cell>
          <cell r="AE59">
            <v>135.67818181818183</v>
          </cell>
          <cell r="AF59">
            <v>1165.050909090909</v>
          </cell>
          <cell r="AG59">
            <v>1000</v>
          </cell>
          <cell r="AH59">
            <v>165.05090909090904</v>
          </cell>
          <cell r="AI59">
            <v>0</v>
          </cell>
          <cell r="AJ59">
            <v>0</v>
          </cell>
          <cell r="AK59">
            <v>3627.6072727272726</v>
          </cell>
          <cell r="AL59">
            <v>1106.25</v>
          </cell>
          <cell r="AM59">
            <v>2521.3572727272726</v>
          </cell>
          <cell r="AN59">
            <v>2521.3572727272731</v>
          </cell>
          <cell r="AO59">
            <v>234</v>
          </cell>
          <cell r="AP59">
            <v>582</v>
          </cell>
          <cell r="AQ59">
            <v>872.25</v>
          </cell>
          <cell r="AR59">
            <v>1939.3572727272726</v>
          </cell>
        </row>
        <row r="60">
          <cell r="F60">
            <v>23</v>
          </cell>
          <cell r="G60">
            <v>6</v>
          </cell>
          <cell r="H60">
            <v>17</v>
          </cell>
          <cell r="P60">
            <v>32</v>
          </cell>
          <cell r="S60">
            <v>45</v>
          </cell>
          <cell r="T60">
            <v>22</v>
          </cell>
          <cell r="U60">
            <v>23</v>
          </cell>
          <cell r="X60">
            <v>16</v>
          </cell>
          <cell r="Y60">
            <v>7</v>
          </cell>
          <cell r="Z60">
            <v>9</v>
          </cell>
          <cell r="AC60">
            <v>14</v>
          </cell>
          <cell r="AD60">
            <v>6</v>
          </cell>
          <cell r="AE60">
            <v>8</v>
          </cell>
          <cell r="AF60">
            <v>64</v>
          </cell>
          <cell r="AG60">
            <v>55</v>
          </cell>
          <cell r="AH60">
            <v>9</v>
          </cell>
          <cell r="AI60">
            <v>498.4</v>
          </cell>
          <cell r="AJ60">
            <v>11.200000000000001</v>
          </cell>
          <cell r="AK60">
            <v>200</v>
          </cell>
          <cell r="AL60">
            <v>61</v>
          </cell>
          <cell r="AM60">
            <v>139</v>
          </cell>
          <cell r="AN60">
            <v>139</v>
          </cell>
          <cell r="AO60">
            <v>13</v>
          </cell>
          <cell r="AP60">
            <v>28</v>
          </cell>
          <cell r="AQ60">
            <v>48</v>
          </cell>
          <cell r="AR60">
            <v>111</v>
          </cell>
        </row>
        <row r="61">
          <cell r="F61">
            <v>137</v>
          </cell>
          <cell r="G61">
            <v>37</v>
          </cell>
          <cell r="H61">
            <v>100</v>
          </cell>
          <cell r="P61">
            <v>185</v>
          </cell>
          <cell r="S61">
            <v>264</v>
          </cell>
          <cell r="T61">
            <v>129</v>
          </cell>
          <cell r="U61">
            <v>134</v>
          </cell>
          <cell r="X61">
            <v>91</v>
          </cell>
          <cell r="Y61">
            <v>38</v>
          </cell>
          <cell r="Z61">
            <v>53</v>
          </cell>
          <cell r="AC61">
            <v>80</v>
          </cell>
          <cell r="AD61">
            <v>37</v>
          </cell>
          <cell r="AE61">
            <v>43</v>
          </cell>
          <cell r="AF61">
            <v>373</v>
          </cell>
          <cell r="AG61">
            <v>320</v>
          </cell>
          <cell r="AH61">
            <v>53</v>
          </cell>
          <cell r="AI61">
            <v>3532.6742727272731</v>
          </cell>
          <cell r="AJ61">
            <v>1273.3200000000002</v>
          </cell>
          <cell r="AK61">
            <v>1162</v>
          </cell>
          <cell r="AL61">
            <v>354</v>
          </cell>
          <cell r="AM61">
            <v>808</v>
          </cell>
          <cell r="AN61">
            <v>807</v>
          </cell>
          <cell r="AO61">
            <v>0</v>
          </cell>
          <cell r="AP61">
            <v>0</v>
          </cell>
          <cell r="AQ61">
            <v>0</v>
          </cell>
          <cell r="AR61">
            <v>0</v>
          </cell>
        </row>
        <row r="62">
          <cell r="F62">
            <v>0</v>
          </cell>
          <cell r="G62">
            <v>0</v>
          </cell>
          <cell r="H62">
            <v>13</v>
          </cell>
          <cell r="P62">
            <v>0</v>
          </cell>
          <cell r="S62">
            <v>49</v>
          </cell>
          <cell r="T62">
            <v>24</v>
          </cell>
          <cell r="U62">
            <v>25</v>
          </cell>
          <cell r="X62">
            <v>0</v>
          </cell>
          <cell r="Y62">
            <v>11</v>
          </cell>
          <cell r="Z62">
            <v>5</v>
          </cell>
          <cell r="AC62">
            <v>15</v>
          </cell>
          <cell r="AD62">
            <v>8</v>
          </cell>
          <cell r="AE62">
            <v>7</v>
          </cell>
          <cell r="AF62">
            <v>57</v>
          </cell>
          <cell r="AG62">
            <v>45</v>
          </cell>
          <cell r="AH62">
            <v>0</v>
          </cell>
          <cell r="AI62">
            <v>194</v>
          </cell>
          <cell r="AJ62">
            <v>70</v>
          </cell>
          <cell r="AK62">
            <v>0</v>
          </cell>
          <cell r="AL62">
            <v>124</v>
          </cell>
          <cell r="AM62">
            <v>19</v>
          </cell>
          <cell r="AN62">
            <v>0</v>
          </cell>
          <cell r="AO62">
            <v>51</v>
          </cell>
          <cell r="AP62">
            <v>102</v>
          </cell>
        </row>
        <row r="63">
          <cell r="F63">
            <v>88</v>
          </cell>
          <cell r="G63">
            <v>24</v>
          </cell>
          <cell r="H63">
            <v>64</v>
          </cell>
          <cell r="P63">
            <v>470</v>
          </cell>
          <cell r="S63">
            <v>1000</v>
          </cell>
          <cell r="T63">
            <v>160</v>
          </cell>
          <cell r="U63">
            <v>840</v>
          </cell>
          <cell r="X63">
            <v>537</v>
          </cell>
          <cell r="Y63">
            <v>223</v>
          </cell>
          <cell r="Z63">
            <v>314</v>
          </cell>
          <cell r="AC63">
            <v>527</v>
          </cell>
          <cell r="AD63">
            <v>241</v>
          </cell>
          <cell r="AE63">
            <v>286</v>
          </cell>
          <cell r="AF63">
            <v>400</v>
          </cell>
          <cell r="AG63">
            <v>400</v>
          </cell>
          <cell r="AH63">
            <v>0</v>
          </cell>
          <cell r="AI63">
            <v>1131</v>
          </cell>
          <cell r="AJ63">
            <v>407</v>
          </cell>
          <cell r="AK63">
            <v>3046</v>
          </cell>
          <cell r="AL63">
            <v>982</v>
          </cell>
          <cell r="AM63">
            <v>2064</v>
          </cell>
          <cell r="AN63">
            <v>2064</v>
          </cell>
          <cell r="AO63">
            <v>464</v>
          </cell>
          <cell r="AP63">
            <v>940</v>
          </cell>
          <cell r="AQ63">
            <v>518</v>
          </cell>
          <cell r="AR63">
            <v>1124</v>
          </cell>
        </row>
        <row r="64">
          <cell r="F64">
            <v>0</v>
          </cell>
          <cell r="G64">
            <v>0</v>
          </cell>
          <cell r="P64">
            <v>0</v>
          </cell>
          <cell r="T64">
            <v>16</v>
          </cell>
          <cell r="U64">
            <v>84</v>
          </cell>
          <cell r="X64">
            <v>0</v>
          </cell>
          <cell r="AH64">
            <v>0</v>
          </cell>
          <cell r="AI64">
            <v>0</v>
          </cell>
          <cell r="AJ64">
            <v>0</v>
          </cell>
          <cell r="AK64">
            <v>0</v>
          </cell>
          <cell r="AL64">
            <v>0</v>
          </cell>
          <cell r="AN64">
            <v>0</v>
          </cell>
          <cell r="AO64">
            <v>46</v>
          </cell>
          <cell r="AP64">
            <v>94</v>
          </cell>
          <cell r="AQ64">
            <v>52</v>
          </cell>
          <cell r="AR64">
            <v>112</v>
          </cell>
        </row>
        <row r="65">
          <cell r="F65">
            <v>0</v>
          </cell>
          <cell r="G65">
            <v>0</v>
          </cell>
          <cell r="H65">
            <v>0</v>
          </cell>
          <cell r="P65">
            <v>923</v>
          </cell>
          <cell r="S65">
            <v>3416</v>
          </cell>
          <cell r="T65">
            <v>162.88</v>
          </cell>
          <cell r="U65">
            <v>855.12</v>
          </cell>
          <cell r="X65">
            <v>506</v>
          </cell>
          <cell r="Y65">
            <v>404</v>
          </cell>
          <cell r="Z65">
            <v>166</v>
          </cell>
          <cell r="AC65">
            <v>415</v>
          </cell>
          <cell r="AD65">
            <v>336</v>
          </cell>
          <cell r="AE65">
            <v>305</v>
          </cell>
          <cell r="AF65">
            <v>454</v>
          </cell>
          <cell r="AG65">
            <v>454</v>
          </cell>
          <cell r="AH65">
            <v>0</v>
          </cell>
          <cell r="AI65">
            <v>3313</v>
          </cell>
          <cell r="AJ65">
            <v>1298</v>
          </cell>
          <cell r="AK65">
            <v>5737</v>
          </cell>
          <cell r="AL65">
            <v>946</v>
          </cell>
          <cell r="AM65">
            <v>4791</v>
          </cell>
          <cell r="AN65">
            <v>3870</v>
          </cell>
          <cell r="AO65">
            <v>558</v>
          </cell>
          <cell r="AP65">
            <v>939</v>
          </cell>
        </row>
        <row r="66">
          <cell r="F66">
            <v>0</v>
          </cell>
          <cell r="G66">
            <v>0</v>
          </cell>
          <cell r="P66">
            <v>0</v>
          </cell>
          <cell r="S66">
            <v>0</v>
          </cell>
          <cell r="T66">
            <v>16</v>
          </cell>
          <cell r="U66">
            <v>86</v>
          </cell>
          <cell r="X66">
            <v>0</v>
          </cell>
          <cell r="AC66">
            <v>0</v>
          </cell>
          <cell r="AD66">
            <v>0</v>
          </cell>
          <cell r="AH66">
            <v>0</v>
          </cell>
          <cell r="AI66">
            <v>0</v>
          </cell>
          <cell r="AK66">
            <v>0</v>
          </cell>
          <cell r="AL66">
            <v>0</v>
          </cell>
          <cell r="AM66">
            <v>0</v>
          </cell>
          <cell r="AN66">
            <v>0</v>
          </cell>
          <cell r="AO66">
            <v>56</v>
          </cell>
          <cell r="AP66">
            <v>0</v>
          </cell>
        </row>
        <row r="67">
          <cell r="F67">
            <v>84</v>
          </cell>
          <cell r="G67">
            <v>0</v>
          </cell>
          <cell r="H67">
            <v>64</v>
          </cell>
          <cell r="P67">
            <v>-453</v>
          </cell>
          <cell r="S67">
            <v>-2416</v>
          </cell>
          <cell r="T67">
            <v>144</v>
          </cell>
          <cell r="U67">
            <v>756</v>
          </cell>
          <cell r="X67">
            <v>31</v>
          </cell>
          <cell r="Y67">
            <v>223</v>
          </cell>
          <cell r="Z67">
            <v>314</v>
          </cell>
          <cell r="AC67">
            <v>112</v>
          </cell>
          <cell r="AD67">
            <v>241</v>
          </cell>
          <cell r="AE67">
            <v>286</v>
          </cell>
          <cell r="AF67">
            <v>-54</v>
          </cell>
          <cell r="AG67">
            <v>-54</v>
          </cell>
          <cell r="AH67">
            <v>0</v>
          </cell>
          <cell r="AI67">
            <v>6650</v>
          </cell>
          <cell r="AJ67">
            <v>0</v>
          </cell>
          <cell r="AK67">
            <v>-2779</v>
          </cell>
          <cell r="AL67">
            <v>4951</v>
          </cell>
          <cell r="AN67">
            <v>-1806</v>
          </cell>
          <cell r="AO67">
            <v>418</v>
          </cell>
          <cell r="AP67">
            <v>-93</v>
          </cell>
          <cell r="AQ67">
            <v>466</v>
          </cell>
          <cell r="AR67">
            <v>1012</v>
          </cell>
        </row>
        <row r="68">
          <cell r="F68">
            <v>327</v>
          </cell>
          <cell r="G68">
            <v>88</v>
          </cell>
          <cell r="H68">
            <v>239</v>
          </cell>
          <cell r="P68">
            <v>720</v>
          </cell>
          <cell r="S68">
            <v>1362.8000000000002</v>
          </cell>
          <cell r="T68">
            <v>340.70000000000005</v>
          </cell>
          <cell r="U68">
            <v>1022.1000000000001</v>
          </cell>
          <cell r="X68">
            <v>796.80000000000007</v>
          </cell>
          <cell r="Y68">
            <v>331</v>
          </cell>
          <cell r="Z68">
            <v>465.80000000000007</v>
          </cell>
          <cell r="AC68">
            <v>439.20000000000005</v>
          </cell>
          <cell r="AD68">
            <v>201</v>
          </cell>
          <cell r="AE68">
            <v>238.20000000000005</v>
          </cell>
          <cell r="AF68">
            <v>312.8</v>
          </cell>
          <cell r="AG68">
            <v>313</v>
          </cell>
          <cell r="AH68">
            <v>0</v>
          </cell>
          <cell r="AI68">
            <v>0</v>
          </cell>
          <cell r="AJ68">
            <v>0</v>
          </cell>
          <cell r="AK68">
            <v>3973.8</v>
          </cell>
          <cell r="AL68">
            <v>1340</v>
          </cell>
          <cell r="AM68">
            <v>2633.8</v>
          </cell>
          <cell r="AN68">
            <v>2633.8</v>
          </cell>
          <cell r="AO68">
            <v>532</v>
          </cell>
          <cell r="AP68">
            <v>1167</v>
          </cell>
          <cell r="AQ68">
            <v>808</v>
          </cell>
          <cell r="AR68">
            <v>1466.8000000000002</v>
          </cell>
        </row>
        <row r="69">
          <cell r="F69">
            <v>0</v>
          </cell>
          <cell r="G69">
            <v>0</v>
          </cell>
          <cell r="H69">
            <v>0</v>
          </cell>
          <cell r="P69">
            <v>50</v>
          </cell>
          <cell r="S69">
            <v>312.72727272727275</v>
          </cell>
          <cell r="T69">
            <v>146.88</v>
          </cell>
          <cell r="U69">
            <v>769.12</v>
          </cell>
          <cell r="X69">
            <v>180.36363636363637</v>
          </cell>
          <cell r="Y69">
            <v>75</v>
          </cell>
          <cell r="Z69">
            <v>105.36363636363637</v>
          </cell>
          <cell r="AC69">
            <v>138.18181818181819</v>
          </cell>
          <cell r="AD69">
            <v>63</v>
          </cell>
          <cell r="AE69">
            <v>75.181818181818187</v>
          </cell>
          <cell r="AF69">
            <v>114.90909090909091</v>
          </cell>
          <cell r="AG69">
            <v>114.90909090909091</v>
          </cell>
          <cell r="AH69">
            <v>0</v>
          </cell>
          <cell r="AI69">
            <v>-3332</v>
          </cell>
          <cell r="AK69">
            <v>796.18181818181813</v>
          </cell>
          <cell r="AL69">
            <v>188</v>
          </cell>
          <cell r="AM69">
            <v>608.18181818181813</v>
          </cell>
          <cell r="AN69">
            <v>608.18181818181824</v>
          </cell>
          <cell r="AO69">
            <v>502</v>
          </cell>
          <cell r="AP69">
            <v>1078</v>
          </cell>
        </row>
        <row r="70">
          <cell r="F70">
            <v>0</v>
          </cell>
          <cell r="G70">
            <v>0</v>
          </cell>
          <cell r="H70">
            <v>0</v>
          </cell>
          <cell r="P70">
            <v>3</v>
          </cell>
          <cell r="S70">
            <v>17</v>
          </cell>
          <cell r="T70">
            <v>479.6</v>
          </cell>
          <cell r="U70">
            <v>1438.8000000000002</v>
          </cell>
          <cell r="X70">
            <v>10</v>
          </cell>
          <cell r="Y70">
            <v>4</v>
          </cell>
          <cell r="Z70">
            <v>6</v>
          </cell>
          <cell r="AC70">
            <v>8</v>
          </cell>
          <cell r="AD70">
            <v>4</v>
          </cell>
          <cell r="AE70">
            <v>4</v>
          </cell>
          <cell r="AF70">
            <v>6</v>
          </cell>
          <cell r="AG70">
            <v>6</v>
          </cell>
          <cell r="AH70">
            <v>0</v>
          </cell>
          <cell r="AI70">
            <v>6117.4</v>
          </cell>
          <cell r="AJ70">
            <v>1964.4</v>
          </cell>
          <cell r="AK70">
            <v>44</v>
          </cell>
          <cell r="AL70">
            <v>11</v>
          </cell>
          <cell r="AM70">
            <v>33</v>
          </cell>
          <cell r="AN70">
            <v>33</v>
          </cell>
          <cell r="AO70">
            <v>998.40000000000009</v>
          </cell>
          <cell r="AP70">
            <v>2941</v>
          </cell>
        </row>
        <row r="71">
          <cell r="F71">
            <v>0</v>
          </cell>
          <cell r="G71">
            <v>0</v>
          </cell>
          <cell r="H71">
            <v>0</v>
          </cell>
          <cell r="P71">
            <v>16</v>
          </cell>
          <cell r="S71">
            <v>99</v>
          </cell>
          <cell r="X71">
            <v>58</v>
          </cell>
          <cell r="Y71">
            <v>24</v>
          </cell>
          <cell r="Z71">
            <v>34</v>
          </cell>
          <cell r="AC71">
            <v>45</v>
          </cell>
          <cell r="AD71">
            <v>21</v>
          </cell>
          <cell r="AE71">
            <v>24</v>
          </cell>
          <cell r="AF71">
            <v>37</v>
          </cell>
          <cell r="AG71">
            <v>37</v>
          </cell>
          <cell r="AH71">
            <v>0</v>
          </cell>
          <cell r="AI71">
            <v>1063.2727272727273</v>
          </cell>
          <cell r="AJ71">
            <v>248</v>
          </cell>
          <cell r="AK71">
            <v>255</v>
          </cell>
          <cell r="AL71">
            <v>61</v>
          </cell>
          <cell r="AM71">
            <v>194</v>
          </cell>
          <cell r="AN71">
            <v>194</v>
          </cell>
        </row>
        <row r="72">
          <cell r="F72">
            <v>0</v>
          </cell>
          <cell r="G72">
            <v>0</v>
          </cell>
          <cell r="H72">
            <v>0</v>
          </cell>
          <cell r="P72">
            <v>83</v>
          </cell>
          <cell r="S72">
            <v>27</v>
          </cell>
          <cell r="X72">
            <v>0</v>
          </cell>
          <cell r="Y72">
            <v>6</v>
          </cell>
          <cell r="Z72">
            <v>3</v>
          </cell>
          <cell r="AC72">
            <v>0</v>
          </cell>
          <cell r="AD72">
            <v>3</v>
          </cell>
          <cell r="AE72">
            <v>3</v>
          </cell>
          <cell r="AF72">
            <v>0</v>
          </cell>
          <cell r="AG72">
            <v>0</v>
          </cell>
          <cell r="AH72">
            <v>0</v>
          </cell>
          <cell r="AI72">
            <v>58</v>
          </cell>
          <cell r="AJ72">
            <v>13</v>
          </cell>
          <cell r="AK72">
            <v>83</v>
          </cell>
          <cell r="AL72">
            <v>83</v>
          </cell>
          <cell r="AM72">
            <v>0</v>
          </cell>
          <cell r="AN72">
            <v>0</v>
          </cell>
        </row>
        <row r="73">
          <cell r="F73">
            <v>0</v>
          </cell>
          <cell r="G73">
            <v>0</v>
          </cell>
          <cell r="H73">
            <v>0</v>
          </cell>
          <cell r="P73">
            <v>21</v>
          </cell>
          <cell r="S73">
            <v>1558</v>
          </cell>
          <cell r="X73">
            <v>1785</v>
          </cell>
          <cell r="Y73">
            <v>742</v>
          </cell>
          <cell r="Z73">
            <v>1043</v>
          </cell>
          <cell r="AC73">
            <v>633</v>
          </cell>
          <cell r="AD73">
            <v>289</v>
          </cell>
          <cell r="AE73">
            <v>344</v>
          </cell>
          <cell r="AF73">
            <v>530</v>
          </cell>
          <cell r="AG73">
            <v>530</v>
          </cell>
          <cell r="AH73">
            <v>0</v>
          </cell>
          <cell r="AI73">
            <v>340</v>
          </cell>
          <cell r="AJ73">
            <v>79</v>
          </cell>
          <cell r="AK73">
            <v>4506</v>
          </cell>
          <cell r="AL73">
            <v>1031</v>
          </cell>
          <cell r="AM73">
            <v>3475</v>
          </cell>
          <cell r="AN73">
            <v>3475</v>
          </cell>
        </row>
        <row r="74">
          <cell r="F74">
            <v>0</v>
          </cell>
          <cell r="G74">
            <v>0</v>
          </cell>
          <cell r="P74">
            <v>63</v>
          </cell>
          <cell r="S74">
            <v>0</v>
          </cell>
          <cell r="X74">
            <v>0</v>
          </cell>
          <cell r="Z74">
            <v>0</v>
          </cell>
          <cell r="AC74">
            <v>0</v>
          </cell>
          <cell r="AD74">
            <v>0</v>
          </cell>
          <cell r="AE74">
            <v>0</v>
          </cell>
          <cell r="AF74">
            <v>0</v>
          </cell>
          <cell r="AG74">
            <v>0</v>
          </cell>
          <cell r="AH74">
            <v>0</v>
          </cell>
          <cell r="AI74">
            <v>63</v>
          </cell>
          <cell r="AJ74">
            <v>63</v>
          </cell>
          <cell r="AK74">
            <v>0</v>
          </cell>
          <cell r="AL74">
            <v>0</v>
          </cell>
          <cell r="AM74">
            <v>0</v>
          </cell>
          <cell r="AN74">
            <v>0</v>
          </cell>
        </row>
        <row r="75">
          <cell r="F75">
            <v>3060</v>
          </cell>
          <cell r="G75">
            <v>825</v>
          </cell>
          <cell r="H75">
            <v>2235</v>
          </cell>
          <cell r="P75">
            <v>156.66666666666669</v>
          </cell>
          <cell r="S75">
            <v>172.46666666666664</v>
          </cell>
          <cell r="T75">
            <v>65.78</v>
          </cell>
          <cell r="U75">
            <v>106.68666666666664</v>
          </cell>
          <cell r="X75">
            <v>142.33666666666667</v>
          </cell>
          <cell r="Y75">
            <v>59</v>
          </cell>
          <cell r="Z75">
            <v>83.336666666666673</v>
          </cell>
          <cell r="AC75">
            <v>56.933333333333337</v>
          </cell>
          <cell r="AD75">
            <v>26</v>
          </cell>
          <cell r="AE75">
            <v>30.933333333333337</v>
          </cell>
          <cell r="AF75">
            <v>251.33333333333331</v>
          </cell>
          <cell r="AG75">
            <v>238</v>
          </cell>
          <cell r="AH75">
            <v>13</v>
          </cell>
          <cell r="AI75">
            <v>870.40000000000009</v>
          </cell>
          <cell r="AJ75">
            <v>870.40000000000009</v>
          </cell>
          <cell r="AK75">
            <v>4620.4033333333336</v>
          </cell>
          <cell r="AL75">
            <v>1627.6666666666667</v>
          </cell>
          <cell r="AM75">
            <v>2992.7366666666667</v>
          </cell>
          <cell r="AN75">
            <v>2992.7366666666667</v>
          </cell>
          <cell r="AO75">
            <v>85</v>
          </cell>
          <cell r="AP75">
            <v>173</v>
          </cell>
          <cell r="AQ75">
            <v>1542.6666666666667</v>
          </cell>
          <cell r="AR75">
            <v>2819.7366666666667</v>
          </cell>
        </row>
        <row r="76">
          <cell r="F76">
            <v>2</v>
          </cell>
          <cell r="G76">
            <v>1</v>
          </cell>
          <cell r="H76">
            <v>1</v>
          </cell>
          <cell r="P76">
            <v>935</v>
          </cell>
          <cell r="S76">
            <v>4732.8</v>
          </cell>
          <cell r="T76">
            <v>0</v>
          </cell>
          <cell r="U76">
            <v>0</v>
          </cell>
          <cell r="X76">
            <v>80</v>
          </cell>
          <cell r="Y76">
            <v>0</v>
          </cell>
          <cell r="Z76">
            <v>0</v>
          </cell>
          <cell r="AC76">
            <v>85</v>
          </cell>
          <cell r="AD76">
            <v>45</v>
          </cell>
          <cell r="AE76">
            <v>0</v>
          </cell>
          <cell r="AH76">
            <v>0</v>
          </cell>
          <cell r="AI76">
            <v>5832.8</v>
          </cell>
          <cell r="AJ76">
            <v>980</v>
          </cell>
          <cell r="AK76">
            <v>2</v>
          </cell>
          <cell r="AL76">
            <v>1</v>
          </cell>
          <cell r="AM76">
            <v>1</v>
          </cell>
          <cell r="AN76">
            <v>1</v>
          </cell>
          <cell r="AO76">
            <v>0</v>
          </cell>
          <cell r="AP76">
            <v>0</v>
          </cell>
          <cell r="AQ76">
            <v>1</v>
          </cell>
          <cell r="AR76">
            <v>1</v>
          </cell>
        </row>
        <row r="77">
          <cell r="F77">
            <v>3058</v>
          </cell>
          <cell r="G77">
            <v>824</v>
          </cell>
          <cell r="H77">
            <v>2234</v>
          </cell>
          <cell r="P77">
            <v>156.66666666666669</v>
          </cell>
          <cell r="S77">
            <v>172.46666666666664</v>
          </cell>
          <cell r="T77">
            <v>65.78</v>
          </cell>
          <cell r="U77">
            <v>106.68666666666664</v>
          </cell>
          <cell r="X77">
            <v>142.33666666666667</v>
          </cell>
          <cell r="Y77">
            <v>59</v>
          </cell>
          <cell r="Z77">
            <v>83.336666666666673</v>
          </cell>
          <cell r="AC77">
            <v>56.933333333333337</v>
          </cell>
          <cell r="AD77">
            <v>26</v>
          </cell>
          <cell r="AE77">
            <v>30.933333333333337</v>
          </cell>
          <cell r="AF77">
            <v>251.33333333333331</v>
          </cell>
          <cell r="AG77">
            <v>232</v>
          </cell>
          <cell r="AH77">
            <v>19.333333333333314</v>
          </cell>
          <cell r="AI77">
            <v>5147.7666666666664</v>
          </cell>
          <cell r="AJ77">
            <v>2074.1999999999998</v>
          </cell>
          <cell r="AK77">
            <v>4612.4033333333336</v>
          </cell>
          <cell r="AL77">
            <v>1626.6666666666667</v>
          </cell>
          <cell r="AM77">
            <v>2985.7366666666667</v>
          </cell>
          <cell r="AN77">
            <v>2985.7366666666667</v>
          </cell>
          <cell r="AO77">
            <v>85</v>
          </cell>
          <cell r="AP77">
            <v>173</v>
          </cell>
          <cell r="AQ77">
            <v>1541.6666666666667</v>
          </cell>
          <cell r="AR77">
            <v>2812.7366666666667</v>
          </cell>
        </row>
        <row r="78">
          <cell r="F78">
            <v>1786</v>
          </cell>
          <cell r="G78">
            <v>481</v>
          </cell>
          <cell r="H78">
            <v>1305</v>
          </cell>
          <cell r="P78">
            <v>72.666666666666671</v>
          </cell>
          <cell r="S78">
            <v>99.666666666666657</v>
          </cell>
          <cell r="T78">
            <v>65.78</v>
          </cell>
          <cell r="U78">
            <v>33.886666666666656</v>
          </cell>
          <cell r="X78">
            <v>66</v>
          </cell>
          <cell r="Y78">
            <v>27</v>
          </cell>
          <cell r="Z78">
            <v>39</v>
          </cell>
          <cell r="AC78">
            <v>29.6</v>
          </cell>
          <cell r="AD78">
            <v>26</v>
          </cell>
          <cell r="AE78">
            <v>3.6000000000000014</v>
          </cell>
          <cell r="AF78">
            <v>142.66666666666666</v>
          </cell>
          <cell r="AG78">
            <v>137</v>
          </cell>
          <cell r="AH78">
            <v>5.6666666666666572</v>
          </cell>
          <cell r="AI78" t="e">
            <v>#REF!</v>
          </cell>
          <cell r="AJ78">
            <v>115</v>
          </cell>
          <cell r="AK78">
            <v>2600.9333333333329</v>
          </cell>
          <cell r="AL78">
            <v>996.66666666666663</v>
          </cell>
          <cell r="AM78">
            <v>1604.2666666666664</v>
          </cell>
          <cell r="AN78">
            <v>1604.2666666666667</v>
          </cell>
          <cell r="AO78">
            <v>115</v>
          </cell>
          <cell r="AP78" t="e">
            <v>#REF!</v>
          </cell>
          <cell r="AR78">
            <v>1604.2666666666664</v>
          </cell>
        </row>
        <row r="79">
          <cell r="F79">
            <v>3690.5</v>
          </cell>
          <cell r="G79">
            <v>0</v>
          </cell>
          <cell r="H79">
            <v>0</v>
          </cell>
          <cell r="P79">
            <v>0</v>
          </cell>
          <cell r="S79">
            <v>0</v>
          </cell>
          <cell r="T79">
            <v>80.431999999999974</v>
          </cell>
          <cell r="U79">
            <v>121.43466666666664</v>
          </cell>
          <cell r="X79">
            <v>84.800000000000011</v>
          </cell>
          <cell r="Y79">
            <v>60</v>
          </cell>
          <cell r="Z79">
            <v>24.800000000000011</v>
          </cell>
          <cell r="AC79">
            <v>135.4</v>
          </cell>
          <cell r="AD79">
            <v>71</v>
          </cell>
          <cell r="AE79">
            <v>64.400000000000006</v>
          </cell>
          <cell r="AF79">
            <v>168</v>
          </cell>
          <cell r="AG79">
            <v>140</v>
          </cell>
          <cell r="AH79">
            <v>28</v>
          </cell>
          <cell r="AI79">
            <v>4852.7666666666664</v>
          </cell>
          <cell r="AJ79">
            <v>1959.2</v>
          </cell>
          <cell r="AK79">
            <v>364</v>
          </cell>
          <cell r="AL79">
            <v>164</v>
          </cell>
          <cell r="AM79">
            <v>200</v>
          </cell>
          <cell r="AN79">
            <v>200</v>
          </cell>
          <cell r="AO79">
            <v>1828.2</v>
          </cell>
          <cell r="AP79">
            <v>2735.5666666666666</v>
          </cell>
          <cell r="AR79">
            <v>200</v>
          </cell>
        </row>
        <row r="80">
          <cell r="F80">
            <v>316</v>
          </cell>
          <cell r="G80">
            <v>85</v>
          </cell>
          <cell r="H80">
            <v>231</v>
          </cell>
          <cell r="P80">
            <v>10.333333333333334</v>
          </cell>
          <cell r="S80">
            <v>30.666666666666671</v>
          </cell>
          <cell r="T80">
            <v>80.431999999999974</v>
          </cell>
          <cell r="U80">
            <v>41.434666666666658</v>
          </cell>
          <cell r="X80">
            <v>51.333333333333336</v>
          </cell>
          <cell r="Y80">
            <v>21</v>
          </cell>
          <cell r="Z80">
            <v>30.333333333333336</v>
          </cell>
          <cell r="AC80">
            <v>7.333333333333333</v>
          </cell>
          <cell r="AD80">
            <v>3</v>
          </cell>
          <cell r="AE80">
            <v>4.333333333333333</v>
          </cell>
          <cell r="AF80">
            <v>55.666666666666664</v>
          </cell>
          <cell r="AG80">
            <v>50</v>
          </cell>
          <cell r="AH80">
            <v>5.6666666666666643</v>
          </cell>
          <cell r="AI80">
            <v>1201.8666666666668</v>
          </cell>
          <cell r="AJ80">
            <v>525.20000000000005</v>
          </cell>
          <cell r="AK80">
            <v>475.66666666666663</v>
          </cell>
          <cell r="AL80">
            <v>121.33333333333333</v>
          </cell>
          <cell r="AM80">
            <v>354.33333333333331</v>
          </cell>
          <cell r="AN80">
            <v>354.33333333333331</v>
          </cell>
          <cell r="AP80">
            <v>676.66666666666674</v>
          </cell>
        </row>
        <row r="81">
          <cell r="F81">
            <v>956</v>
          </cell>
          <cell r="G81">
            <v>257</v>
          </cell>
          <cell r="H81">
            <v>699</v>
          </cell>
          <cell r="P81">
            <v>73.666666666666671</v>
          </cell>
          <cell r="S81">
            <v>42.133333333333333</v>
          </cell>
          <cell r="X81">
            <v>25.003333333333334</v>
          </cell>
          <cell r="Y81">
            <v>10</v>
          </cell>
          <cell r="Z81">
            <v>15.003333333333334</v>
          </cell>
          <cell r="AC81">
            <v>20</v>
          </cell>
          <cell r="AD81">
            <v>9</v>
          </cell>
          <cell r="AE81">
            <v>11</v>
          </cell>
          <cell r="AF81">
            <v>53</v>
          </cell>
          <cell r="AG81">
            <v>45</v>
          </cell>
          <cell r="AH81">
            <v>8</v>
          </cell>
          <cell r="AI81">
            <v>389</v>
          </cell>
          <cell r="AJ81">
            <v>156</v>
          </cell>
          <cell r="AK81">
            <v>1171.8033333333335</v>
          </cell>
          <cell r="AL81">
            <v>354.66666666666669</v>
          </cell>
          <cell r="AM81">
            <v>817.13666666666677</v>
          </cell>
          <cell r="AN81">
            <v>817.13666666666666</v>
          </cell>
          <cell r="AP81">
            <v>233</v>
          </cell>
        </row>
        <row r="82">
          <cell r="F82">
            <v>239</v>
          </cell>
          <cell r="G82">
            <v>0</v>
          </cell>
          <cell r="H82">
            <v>0</v>
          </cell>
          <cell r="P82">
            <v>5</v>
          </cell>
          <cell r="S82">
            <v>40</v>
          </cell>
          <cell r="X82">
            <v>0</v>
          </cell>
          <cell r="Y82">
            <v>0</v>
          </cell>
          <cell r="Z82">
            <v>0</v>
          </cell>
          <cell r="AC82">
            <v>27.200000000000003</v>
          </cell>
          <cell r="AD82">
            <v>14</v>
          </cell>
          <cell r="AE82">
            <v>13.200000000000003</v>
          </cell>
          <cell r="AF82">
            <v>25.6</v>
          </cell>
          <cell r="AG82">
            <v>20</v>
          </cell>
          <cell r="AH82">
            <v>5.6000000000000014</v>
          </cell>
          <cell r="AI82">
            <v>334.2</v>
          </cell>
          <cell r="AJ82">
            <v>114</v>
          </cell>
          <cell r="AK82">
            <v>0</v>
          </cell>
          <cell r="AL82">
            <v>0</v>
          </cell>
          <cell r="AM82">
            <v>0</v>
          </cell>
          <cell r="AN82">
            <v>0</v>
          </cell>
        </row>
        <row r="83">
          <cell r="F83">
            <v>0</v>
          </cell>
          <cell r="G83">
            <v>0</v>
          </cell>
          <cell r="H83">
            <v>0</v>
          </cell>
          <cell r="P83">
            <v>14</v>
          </cell>
          <cell r="S83">
            <v>10</v>
          </cell>
          <cell r="X83">
            <v>0</v>
          </cell>
          <cell r="Y83">
            <v>14</v>
          </cell>
          <cell r="Z83">
            <v>5.2000000000000028</v>
          </cell>
          <cell r="AC83">
            <v>2</v>
          </cell>
          <cell r="AD83">
            <v>42</v>
          </cell>
          <cell r="AE83">
            <v>39</v>
          </cell>
          <cell r="AF83">
            <v>43</v>
          </cell>
          <cell r="AG83">
            <v>43</v>
          </cell>
          <cell r="AH83">
            <v>0</v>
          </cell>
          <cell r="AI83" t="e">
            <v>#REF!</v>
          </cell>
          <cell r="AJ83" t="e">
            <v>#REF!</v>
          </cell>
          <cell r="AK83">
            <v>69</v>
          </cell>
          <cell r="AL83">
            <v>14</v>
          </cell>
          <cell r="AM83">
            <v>55</v>
          </cell>
          <cell r="AN83">
            <v>53</v>
          </cell>
        </row>
        <row r="84">
          <cell r="F84">
            <v>4702</v>
          </cell>
          <cell r="G84">
            <v>1267</v>
          </cell>
          <cell r="H84">
            <v>3435</v>
          </cell>
          <cell r="P84">
            <v>2660.9166666666665</v>
          </cell>
          <cell r="Q84">
            <v>0</v>
          </cell>
          <cell r="R84">
            <v>0</v>
          </cell>
          <cell r="S84">
            <v>26690.026060606062</v>
          </cell>
          <cell r="T84">
            <v>23669.785436363636</v>
          </cell>
          <cell r="U84">
            <v>3019.240624242424</v>
          </cell>
          <cell r="X84">
            <v>28231.389696969698</v>
          </cell>
          <cell r="Y84">
            <v>12611</v>
          </cell>
          <cell r="Z84">
            <v>15620.389696969694</v>
          </cell>
          <cell r="AA84">
            <v>0</v>
          </cell>
          <cell r="AB84">
            <v>0</v>
          </cell>
          <cell r="AC84">
            <v>25802.811515151516</v>
          </cell>
          <cell r="AD84">
            <v>12625</v>
          </cell>
          <cell r="AE84">
            <v>13177.811515151516</v>
          </cell>
          <cell r="AF84">
            <v>4169.1842424242423</v>
          </cell>
          <cell r="AG84">
            <v>3396</v>
          </cell>
          <cell r="AH84">
            <v>773.05090909090904</v>
          </cell>
          <cell r="AI84" t="e">
            <v>#REF!</v>
          </cell>
          <cell r="AJ84">
            <v>0</v>
          </cell>
          <cell r="AK84">
            <v>92938.143939393951</v>
          </cell>
          <cell r="AL84">
            <v>30224.916666666668</v>
          </cell>
          <cell r="AM84">
            <v>62713.227272727272</v>
          </cell>
          <cell r="AN84">
            <v>62712.227272727272</v>
          </cell>
          <cell r="AO84">
            <v>25161</v>
          </cell>
          <cell r="AP84">
            <v>50552</v>
          </cell>
          <cell r="AQ84">
            <v>4709.916666666667</v>
          </cell>
          <cell r="AR84">
            <v>11353.227272727272</v>
          </cell>
        </row>
        <row r="85">
          <cell r="F85">
            <v>587</v>
          </cell>
          <cell r="G85">
            <v>115</v>
          </cell>
          <cell r="H85">
            <v>312</v>
          </cell>
          <cell r="P85">
            <v>627.25</v>
          </cell>
          <cell r="Q85">
            <v>0</v>
          </cell>
          <cell r="R85">
            <v>0</v>
          </cell>
          <cell r="S85">
            <v>0</v>
          </cell>
          <cell r="T85">
            <v>403.80543636363632</v>
          </cell>
          <cell r="U85">
            <v>420.28729090909087</v>
          </cell>
          <cell r="V85">
            <v>0</v>
          </cell>
          <cell r="W85">
            <v>0</v>
          </cell>
          <cell r="X85">
            <v>0</v>
          </cell>
          <cell r="Y85">
            <v>194</v>
          </cell>
          <cell r="Z85">
            <v>271.95000000000005</v>
          </cell>
          <cell r="AA85">
            <v>0</v>
          </cell>
          <cell r="AB85">
            <v>0</v>
          </cell>
          <cell r="AC85">
            <v>2.4000000000000004</v>
          </cell>
          <cell r="AD85">
            <v>178</v>
          </cell>
          <cell r="AE85">
            <v>210.86</v>
          </cell>
          <cell r="AF85">
            <v>44</v>
          </cell>
          <cell r="AG85">
            <v>44</v>
          </cell>
          <cell r="AH85">
            <v>62.950909090909136</v>
          </cell>
          <cell r="AI85" t="e">
            <v>#REF!</v>
          </cell>
          <cell r="AJ85">
            <v>10.600000000000001</v>
          </cell>
          <cell r="AK85">
            <v>4423.7890909090911</v>
          </cell>
          <cell r="AL85">
            <v>1294.25</v>
          </cell>
          <cell r="AM85">
            <v>3129.5390909090906</v>
          </cell>
          <cell r="AN85">
            <v>877.81000000000006</v>
          </cell>
        </row>
        <row r="86">
          <cell r="F86">
            <v>5648.1970000000001</v>
          </cell>
          <cell r="G86">
            <v>2210</v>
          </cell>
          <cell r="H86">
            <v>3438.1970000000001</v>
          </cell>
          <cell r="P86">
            <v>2586.1559999999999</v>
          </cell>
          <cell r="Q86">
            <v>0</v>
          </cell>
          <cell r="R86">
            <v>0</v>
          </cell>
          <cell r="S86">
            <v>7247.7078787878781</v>
          </cell>
          <cell r="T86">
            <v>3771.5508606060603</v>
          </cell>
          <cell r="U86">
            <v>3476.1570181818183</v>
          </cell>
          <cell r="X86">
            <v>16562.486363636363</v>
          </cell>
          <cell r="Y86">
            <v>11736</v>
          </cell>
          <cell r="Z86">
            <v>4826.4863636363634</v>
          </cell>
          <cell r="AA86">
            <v>0</v>
          </cell>
          <cell r="AB86">
            <v>0</v>
          </cell>
          <cell r="AC86">
            <v>13534.196363636363</v>
          </cell>
          <cell r="AD86">
            <v>7091</v>
          </cell>
          <cell r="AE86">
            <v>6443.1963636363625</v>
          </cell>
          <cell r="AF86">
            <v>4694.9539393939394</v>
          </cell>
          <cell r="AG86">
            <v>3851.2</v>
          </cell>
          <cell r="AH86">
            <v>843.7539393939395</v>
          </cell>
          <cell r="AI86">
            <v>50553.943606060609</v>
          </cell>
          <cell r="AJ86">
            <v>24382.156000000003</v>
          </cell>
          <cell r="AK86">
            <v>26171.787606060607</v>
          </cell>
          <cell r="AL86">
            <v>30225.916666666664</v>
          </cell>
          <cell r="AM86">
            <v>18714</v>
          </cell>
          <cell r="AN86">
            <v>0</v>
          </cell>
          <cell r="AO86">
            <v>5261.1559999999999</v>
          </cell>
          <cell r="AP86">
            <v>10831.787606060607</v>
          </cell>
        </row>
        <row r="87">
          <cell r="F87">
            <v>6264</v>
          </cell>
          <cell r="G87">
            <v>6264</v>
          </cell>
          <cell r="H87">
            <v>239.697</v>
          </cell>
          <cell r="P87">
            <v>611.32000000000005</v>
          </cell>
          <cell r="Q87">
            <v>0</v>
          </cell>
          <cell r="R87">
            <v>0</v>
          </cell>
          <cell r="T87">
            <v>435.00952727272721</v>
          </cell>
          <cell r="U87">
            <v>452.76501818181811</v>
          </cell>
          <cell r="V87">
            <v>0</v>
          </cell>
          <cell r="W87">
            <v>0</v>
          </cell>
          <cell r="Y87">
            <v>332</v>
          </cell>
          <cell r="Z87">
            <v>136.65000000000003</v>
          </cell>
          <cell r="AA87">
            <v>0</v>
          </cell>
          <cell r="AB87">
            <v>0</v>
          </cell>
          <cell r="AD87">
            <v>205</v>
          </cell>
          <cell r="AE87">
            <v>186.76000000000005</v>
          </cell>
          <cell r="AH87">
            <v>219.55999999999997</v>
          </cell>
          <cell r="AI87">
            <v>4595.9470000000001</v>
          </cell>
          <cell r="AJ87">
            <v>1521.3200000000002</v>
          </cell>
          <cell r="AK87">
            <v>15510</v>
          </cell>
          <cell r="AL87">
            <v>15510</v>
          </cell>
          <cell r="AM87">
            <v>0</v>
          </cell>
          <cell r="AN87">
            <v>0</v>
          </cell>
          <cell r="AO87">
            <v>0</v>
          </cell>
          <cell r="AP87">
            <v>0</v>
          </cell>
          <cell r="AQ87">
            <v>0</v>
          </cell>
          <cell r="AR87">
            <v>0</v>
          </cell>
        </row>
        <row r="88">
          <cell r="F88">
            <v>10966</v>
          </cell>
          <cell r="G88">
            <v>7531</v>
          </cell>
          <cell r="H88">
            <v>3435</v>
          </cell>
          <cell r="P88">
            <v>2660.9166666666665</v>
          </cell>
          <cell r="Q88">
            <v>0</v>
          </cell>
          <cell r="R88">
            <v>0</v>
          </cell>
          <cell r="S88">
            <v>26690.026060606062</v>
          </cell>
          <cell r="T88">
            <v>23669.785436363636</v>
          </cell>
          <cell r="U88">
            <v>3019.240624242424</v>
          </cell>
          <cell r="V88">
            <v>0</v>
          </cell>
          <cell r="W88">
            <v>0</v>
          </cell>
          <cell r="X88">
            <v>28231.389696969698</v>
          </cell>
          <cell r="Y88">
            <v>12611</v>
          </cell>
          <cell r="Z88">
            <v>15620.389696969694</v>
          </cell>
          <cell r="AA88">
            <v>0</v>
          </cell>
          <cell r="AB88">
            <v>0</v>
          </cell>
          <cell r="AC88">
            <v>25802.811515151516</v>
          </cell>
          <cell r="AD88">
            <v>12625</v>
          </cell>
          <cell r="AE88">
            <v>13177.811515151516</v>
          </cell>
          <cell r="AF88">
            <v>4169.1842424242423</v>
          </cell>
          <cell r="AG88">
            <v>3396</v>
          </cell>
          <cell r="AH88">
            <v>773.05090909090904</v>
          </cell>
          <cell r="AJ88">
            <v>24382.156000000006</v>
          </cell>
          <cell r="AK88">
            <v>108448.14393939395</v>
          </cell>
          <cell r="AL88">
            <v>45734.916666666672</v>
          </cell>
          <cell r="AM88">
            <v>62713.227272727272</v>
          </cell>
          <cell r="AN88">
            <v>62712.227272727272</v>
          </cell>
          <cell r="AO88">
            <v>25161</v>
          </cell>
          <cell r="AP88">
            <v>50552</v>
          </cell>
          <cell r="AQ88">
            <v>4709.916666666667</v>
          </cell>
          <cell r="AR88">
            <v>11353.227272727272</v>
          </cell>
        </row>
        <row r="89">
          <cell r="F89">
            <v>0</v>
          </cell>
          <cell r="G89">
            <v>0</v>
          </cell>
          <cell r="H89">
            <v>0</v>
          </cell>
          <cell r="AH89">
            <v>0</v>
          </cell>
          <cell r="AI89">
            <v>5607</v>
          </cell>
          <cell r="AJ89">
            <v>5607</v>
          </cell>
          <cell r="AK89">
            <v>0</v>
          </cell>
          <cell r="AL89">
            <v>0</v>
          </cell>
          <cell r="AM89">
            <v>0</v>
          </cell>
          <cell r="AN89">
            <v>0</v>
          </cell>
          <cell r="AO89">
            <v>0</v>
          </cell>
          <cell r="AP89">
            <v>0</v>
          </cell>
          <cell r="AQ89">
            <v>0</v>
          </cell>
          <cell r="AR89">
            <v>-1</v>
          </cell>
        </row>
        <row r="90">
          <cell r="F90">
            <v>1151</v>
          </cell>
          <cell r="G90">
            <v>570</v>
          </cell>
          <cell r="H90">
            <v>581</v>
          </cell>
          <cell r="P90">
            <v>2586.1559999999999</v>
          </cell>
          <cell r="Q90">
            <v>0</v>
          </cell>
          <cell r="R90">
            <v>0</v>
          </cell>
          <cell r="S90">
            <v>7247.7078787878781</v>
          </cell>
          <cell r="T90">
            <v>3771.5508606060603</v>
          </cell>
          <cell r="U90">
            <v>3476.1570181818183</v>
          </cell>
          <cell r="V90">
            <v>0</v>
          </cell>
          <cell r="W90">
            <v>0</v>
          </cell>
          <cell r="X90">
            <v>16562.486363636363</v>
          </cell>
          <cell r="Y90">
            <v>11736</v>
          </cell>
          <cell r="Z90">
            <v>4826.4863636363634</v>
          </cell>
          <cell r="AA90">
            <v>0</v>
          </cell>
          <cell r="AB90">
            <v>0</v>
          </cell>
          <cell r="AC90">
            <v>13534.196363636363</v>
          </cell>
          <cell r="AD90">
            <v>7091</v>
          </cell>
          <cell r="AE90">
            <v>6443.1963636363625</v>
          </cell>
          <cell r="AF90">
            <v>4694.9539393939394</v>
          </cell>
          <cell r="AG90">
            <v>3851.2</v>
          </cell>
          <cell r="AH90">
            <v>0</v>
          </cell>
          <cell r="AI90">
            <v>56160.943606060609</v>
          </cell>
          <cell r="AJ90">
            <v>29989.156000000003</v>
          </cell>
          <cell r="AK90">
            <v>1151</v>
          </cell>
          <cell r="AL90">
            <v>570</v>
          </cell>
          <cell r="AM90">
            <v>581</v>
          </cell>
          <cell r="AN90">
            <v>581</v>
          </cell>
          <cell r="AO90">
            <v>0</v>
          </cell>
          <cell r="AP90">
            <v>0</v>
          </cell>
          <cell r="AQ90">
            <v>233.04870264889442</v>
          </cell>
          <cell r="AR90">
            <v>39.122183718843182</v>
          </cell>
        </row>
        <row r="91">
          <cell r="F91">
            <v>49</v>
          </cell>
          <cell r="G91">
            <v>14.990752632930899</v>
          </cell>
          <cell r="H91">
            <v>34.009247367069101</v>
          </cell>
          <cell r="S91">
            <v>0</v>
          </cell>
          <cell r="T91">
            <v>0</v>
          </cell>
          <cell r="U91">
            <v>0</v>
          </cell>
          <cell r="X91">
            <v>0</v>
          </cell>
          <cell r="Y91">
            <v>0</v>
          </cell>
          <cell r="Z91">
            <v>0</v>
          </cell>
          <cell r="AA91">
            <v>0</v>
          </cell>
          <cell r="AB91">
            <v>0</v>
          </cell>
          <cell r="AC91">
            <v>0</v>
          </cell>
          <cell r="AD91">
            <v>0</v>
          </cell>
          <cell r="AE91">
            <v>0</v>
          </cell>
          <cell r="AH91">
            <v>0</v>
          </cell>
          <cell r="AK91">
            <v>49</v>
          </cell>
          <cell r="AL91">
            <v>14.990752632930899</v>
          </cell>
          <cell r="AM91">
            <v>34.009247367069101</v>
          </cell>
          <cell r="AN91">
            <v>34.009247367069101</v>
          </cell>
          <cell r="AO91">
            <v>0</v>
          </cell>
          <cell r="AP91">
            <v>0</v>
          </cell>
          <cell r="AQ91">
            <v>0</v>
          </cell>
          <cell r="AR91">
            <v>0</v>
          </cell>
        </row>
        <row r="92">
          <cell r="F92">
            <v>0</v>
          </cell>
          <cell r="G92">
            <v>0</v>
          </cell>
          <cell r="H92">
            <v>0</v>
          </cell>
          <cell r="P92">
            <v>-51</v>
          </cell>
          <cell r="S92">
            <v>-90</v>
          </cell>
          <cell r="X92">
            <v>0</v>
          </cell>
          <cell r="Y92">
            <v>0</v>
          </cell>
          <cell r="Z92">
            <v>0</v>
          </cell>
          <cell r="AC92">
            <v>0</v>
          </cell>
          <cell r="AD92">
            <v>0</v>
          </cell>
          <cell r="AE92">
            <v>0</v>
          </cell>
          <cell r="AF92">
            <v>-1</v>
          </cell>
          <cell r="AG92">
            <v>2</v>
          </cell>
          <cell r="AH92">
            <v>-3</v>
          </cell>
          <cell r="AI92">
            <v>497</v>
          </cell>
          <cell r="AJ92">
            <v>389</v>
          </cell>
          <cell r="AK92">
            <v>-139</v>
          </cell>
          <cell r="AL92">
            <v>-51</v>
          </cell>
          <cell r="AM92">
            <v>-88</v>
          </cell>
          <cell r="AN92">
            <v>-88</v>
          </cell>
          <cell r="AO92">
            <v>0</v>
          </cell>
          <cell r="AP92">
            <v>-25</v>
          </cell>
          <cell r="AQ92">
            <v>-51</v>
          </cell>
          <cell r="AR92">
            <v>-63</v>
          </cell>
        </row>
        <row r="93">
          <cell r="F93">
            <v>41</v>
          </cell>
          <cell r="G93">
            <v>24</v>
          </cell>
          <cell r="H93">
            <v>17</v>
          </cell>
          <cell r="S93">
            <v>0</v>
          </cell>
          <cell r="T93">
            <v>0</v>
          </cell>
          <cell r="U93">
            <v>0</v>
          </cell>
          <cell r="X93">
            <v>0</v>
          </cell>
          <cell r="Y93">
            <v>0</v>
          </cell>
          <cell r="Z93">
            <v>0</v>
          </cell>
          <cell r="AA93">
            <v>0</v>
          </cell>
          <cell r="AB93">
            <v>0</v>
          </cell>
          <cell r="AC93">
            <v>0</v>
          </cell>
          <cell r="AD93">
            <v>0</v>
          </cell>
          <cell r="AE93">
            <v>0</v>
          </cell>
          <cell r="AH93">
            <v>0</v>
          </cell>
          <cell r="AI93">
            <v>41</v>
          </cell>
          <cell r="AJ93">
            <v>24</v>
          </cell>
          <cell r="AK93">
            <v>17</v>
          </cell>
          <cell r="AL93">
            <v>17</v>
          </cell>
          <cell r="AM93">
            <v>0</v>
          </cell>
          <cell r="AN93">
            <v>0</v>
          </cell>
          <cell r="AO93">
            <v>0</v>
          </cell>
          <cell r="AP93">
            <v>0</v>
          </cell>
        </row>
        <row r="94">
          <cell r="F94">
            <v>0</v>
          </cell>
          <cell r="G94">
            <v>0</v>
          </cell>
          <cell r="H94">
            <v>0</v>
          </cell>
          <cell r="P94">
            <v>0</v>
          </cell>
          <cell r="S94">
            <v>0</v>
          </cell>
          <cell r="X94">
            <v>0</v>
          </cell>
          <cell r="Y94">
            <v>0</v>
          </cell>
          <cell r="Z94">
            <v>0</v>
          </cell>
          <cell r="AC94">
            <v>0</v>
          </cell>
          <cell r="AD94">
            <v>0</v>
          </cell>
          <cell r="AE94">
            <v>0</v>
          </cell>
          <cell r="AF94">
            <v>12</v>
          </cell>
          <cell r="AG94">
            <v>10</v>
          </cell>
          <cell r="AH94">
            <v>2</v>
          </cell>
          <cell r="AI94">
            <v>10</v>
          </cell>
          <cell r="AJ94">
            <v>0</v>
          </cell>
          <cell r="AK94">
            <v>10</v>
          </cell>
          <cell r="AL94">
            <v>10</v>
          </cell>
          <cell r="AM94">
            <v>0</v>
          </cell>
          <cell r="AN94">
            <v>0</v>
          </cell>
          <cell r="AO94">
            <v>0</v>
          </cell>
          <cell r="AP94">
            <v>10</v>
          </cell>
        </row>
        <row r="95">
          <cell r="F95">
            <v>12166</v>
          </cell>
          <cell r="G95">
            <v>8115.9907526329307</v>
          </cell>
          <cell r="H95">
            <v>4050.0092473670693</v>
          </cell>
          <cell r="P95">
            <v>2609.9166666666665</v>
          </cell>
          <cell r="Q95">
            <v>0</v>
          </cell>
          <cell r="R95">
            <v>0</v>
          </cell>
          <cell r="S95">
            <v>26600.026060606062</v>
          </cell>
          <cell r="T95">
            <v>23669.785436363636</v>
          </cell>
          <cell r="U95">
            <v>3019.240624242424</v>
          </cell>
          <cell r="V95">
            <v>0</v>
          </cell>
          <cell r="W95">
            <v>0</v>
          </cell>
          <cell r="X95">
            <v>28231.389696969698</v>
          </cell>
          <cell r="Y95">
            <v>12611</v>
          </cell>
          <cell r="Z95">
            <v>15620.389696969694</v>
          </cell>
          <cell r="AA95">
            <v>0</v>
          </cell>
          <cell r="AB95">
            <v>0</v>
          </cell>
          <cell r="AC95">
            <v>25802.811515151516</v>
          </cell>
          <cell r="AD95">
            <v>12625</v>
          </cell>
          <cell r="AE95">
            <v>13177.811515151516</v>
          </cell>
          <cell r="AF95">
            <v>4168.1842424242423</v>
          </cell>
          <cell r="AG95">
            <v>3398</v>
          </cell>
          <cell r="AH95">
            <v>770.05090909090904</v>
          </cell>
          <cell r="AJ95">
            <v>0</v>
          </cell>
          <cell r="AK95">
            <v>109509.14393939395</v>
          </cell>
          <cell r="AL95">
            <v>46268.907419299605</v>
          </cell>
          <cell r="AM95">
            <v>63240.236520094339</v>
          </cell>
          <cell r="AN95">
            <v>63239.236520094339</v>
          </cell>
          <cell r="AO95">
            <v>25161</v>
          </cell>
          <cell r="AP95">
            <v>50527</v>
          </cell>
          <cell r="AQ95">
            <v>4891.9653693155615</v>
          </cell>
          <cell r="AR95">
            <v>11328.349456446114</v>
          </cell>
        </row>
        <row r="96">
          <cell r="F96">
            <v>5902</v>
          </cell>
          <cell r="G96">
            <v>1851.9907526329307</v>
          </cell>
          <cell r="H96">
            <v>4050.0092473670693</v>
          </cell>
          <cell r="P96">
            <v>2609.9166666666665</v>
          </cell>
          <cell r="Q96">
            <v>0</v>
          </cell>
          <cell r="R96">
            <v>0</v>
          </cell>
          <cell r="S96">
            <v>7100.0260606060619</v>
          </cell>
          <cell r="T96">
            <v>4169.7854363636361</v>
          </cell>
          <cell r="U96">
            <v>3019.240624242424</v>
          </cell>
          <cell r="V96">
            <v>0</v>
          </cell>
          <cell r="W96">
            <v>0</v>
          </cell>
          <cell r="X96">
            <v>3262.389696969698</v>
          </cell>
          <cell r="Y96">
            <v>1356</v>
          </cell>
          <cell r="Z96">
            <v>1906.3896969696943</v>
          </cell>
          <cell r="AA96">
            <v>0</v>
          </cell>
          <cell r="AB96">
            <v>0</v>
          </cell>
          <cell r="AC96">
            <v>1774.8115151515158</v>
          </cell>
          <cell r="AD96">
            <v>812</v>
          </cell>
          <cell r="AE96">
            <v>962.81151515151578</v>
          </cell>
          <cell r="AF96">
            <v>4168.1842424242423</v>
          </cell>
          <cell r="AG96">
            <v>3398</v>
          </cell>
          <cell r="AH96">
            <v>770.05090909090904</v>
          </cell>
          <cell r="AJ96">
            <v>0</v>
          </cell>
          <cell r="AK96">
            <v>25502.143939393951</v>
          </cell>
          <cell r="AL96">
            <v>7690.907419299605</v>
          </cell>
          <cell r="AM96">
            <v>17811.236520094339</v>
          </cell>
          <cell r="AN96">
            <v>17810.236520094342</v>
          </cell>
          <cell r="AO96">
            <v>2093</v>
          </cell>
          <cell r="AP96">
            <v>5098</v>
          </cell>
          <cell r="AQ96">
            <v>4891.9653693155615</v>
          </cell>
          <cell r="AR96">
            <v>11328.349456446114</v>
          </cell>
        </row>
        <row r="97">
          <cell r="F97">
            <v>427</v>
          </cell>
          <cell r="G97">
            <v>8221</v>
          </cell>
          <cell r="H97">
            <v>3572.1970000000001</v>
          </cell>
          <cell r="P97">
            <v>1736</v>
          </cell>
          <cell r="Q97">
            <v>0</v>
          </cell>
          <cell r="R97">
            <v>0</v>
          </cell>
          <cell r="S97">
            <v>3416</v>
          </cell>
          <cell r="T97">
            <v>3771.5508606060603</v>
          </cell>
          <cell r="U97">
            <v>3476.1570181818183</v>
          </cell>
          <cell r="V97">
            <v>0</v>
          </cell>
          <cell r="W97">
            <v>0</v>
          </cell>
          <cell r="X97">
            <v>506</v>
          </cell>
          <cell r="Y97">
            <v>11736</v>
          </cell>
          <cell r="Z97">
            <v>4826.4863636363634</v>
          </cell>
          <cell r="AA97">
            <v>0</v>
          </cell>
          <cell r="AB97">
            <v>0</v>
          </cell>
          <cell r="AC97">
            <v>415</v>
          </cell>
          <cell r="AD97">
            <v>25802.811515151516</v>
          </cell>
          <cell r="AE97">
            <v>6443.1963636363625</v>
          </cell>
          <cell r="AF97">
            <v>454</v>
          </cell>
          <cell r="AG97">
            <v>454</v>
          </cell>
          <cell r="AH97">
            <v>0</v>
          </cell>
          <cell r="AI97">
            <v>56708.943606060609</v>
          </cell>
          <cell r="AJ97">
            <v>0</v>
          </cell>
          <cell r="AK97">
            <v>6977</v>
          </cell>
          <cell r="AL97">
            <v>26314.787606060603</v>
          </cell>
          <cell r="AM97">
            <v>18714</v>
          </cell>
          <cell r="AN97">
            <v>14616</v>
          </cell>
          <cell r="AO97" t="e">
            <v>#REF!</v>
          </cell>
          <cell r="AP97" t="e">
            <v>#REF!</v>
          </cell>
        </row>
        <row r="98">
          <cell r="F98">
            <v>6186.1970000000001</v>
          </cell>
          <cell r="G98">
            <v>2614</v>
          </cell>
          <cell r="H98">
            <v>3572.1970000000001</v>
          </cell>
          <cell r="P98">
            <v>1010</v>
          </cell>
          <cell r="Q98">
            <v>0</v>
          </cell>
          <cell r="R98">
            <v>0</v>
          </cell>
          <cell r="S98">
            <v>3280</v>
          </cell>
          <cell r="T98">
            <v>2173.5508606060603</v>
          </cell>
          <cell r="U98">
            <v>3476.1570181818183</v>
          </cell>
          <cell r="V98">
            <v>0</v>
          </cell>
          <cell r="W98">
            <v>0</v>
          </cell>
          <cell r="X98">
            <v>170</v>
          </cell>
          <cell r="Y98">
            <v>2091</v>
          </cell>
          <cell r="Z98">
            <v>861.48636363636342</v>
          </cell>
          <cell r="AA98">
            <v>0</v>
          </cell>
          <cell r="AB98">
            <v>0</v>
          </cell>
          <cell r="AC98">
            <v>0</v>
          </cell>
          <cell r="AD98">
            <v>1019</v>
          </cell>
          <cell r="AE98">
            <v>926.19636363636255</v>
          </cell>
          <cell r="AF98">
            <v>4706.9539393939394</v>
          </cell>
          <cell r="AG98">
            <v>3861.2</v>
          </cell>
          <cell r="AH98">
            <v>845.7539393939395</v>
          </cell>
          <cell r="AI98">
            <v>24304.943606060609</v>
          </cell>
          <cell r="AJ98">
            <v>9078.1560000000027</v>
          </cell>
          <cell r="AK98">
            <v>15226.787606060607</v>
          </cell>
          <cell r="AL98">
            <v>15234.787606060603</v>
          </cell>
          <cell r="AM98">
            <v>2997</v>
          </cell>
          <cell r="AN98">
            <v>3536</v>
          </cell>
          <cell r="AO98" t="e">
            <v>#REF!</v>
          </cell>
          <cell r="AP98" t="e">
            <v>#REF!</v>
          </cell>
        </row>
        <row r="99">
          <cell r="F99">
            <v>35</v>
          </cell>
          <cell r="P99">
            <v>923</v>
          </cell>
          <cell r="S99">
            <v>3416</v>
          </cell>
          <cell r="X99">
            <v>506</v>
          </cell>
          <cell r="AC99">
            <v>415</v>
          </cell>
          <cell r="AF99">
            <v>454</v>
          </cell>
          <cell r="AG99">
            <v>454</v>
          </cell>
          <cell r="AH99">
            <v>0</v>
          </cell>
          <cell r="AI99" t="e">
            <v>#REF!</v>
          </cell>
          <cell r="AJ99" t="e">
            <v>#REF!</v>
          </cell>
          <cell r="AK99">
            <v>5737</v>
          </cell>
          <cell r="AL99">
            <v>109509.14393939395</v>
          </cell>
          <cell r="AM99">
            <v>46269.90741929959</v>
          </cell>
        </row>
        <row r="100">
          <cell r="F100">
            <v>0</v>
          </cell>
          <cell r="P100">
            <v>967</v>
          </cell>
          <cell r="S100">
            <v>106</v>
          </cell>
          <cell r="X100">
            <v>0</v>
          </cell>
          <cell r="AC100">
            <v>170</v>
          </cell>
          <cell r="AF100">
            <v>861</v>
          </cell>
          <cell r="AG100">
            <v>861</v>
          </cell>
          <cell r="AH100">
            <v>0</v>
          </cell>
          <cell r="AI100" t="e">
            <v>#REF!</v>
          </cell>
          <cell r="AJ100">
            <v>56708.943606060609</v>
          </cell>
          <cell r="AK100">
            <v>0</v>
          </cell>
          <cell r="AL100">
            <v>85097.370909090911</v>
          </cell>
          <cell r="AM100">
            <v>40210.957581756855</v>
          </cell>
        </row>
        <row r="101">
          <cell r="F101">
            <v>427</v>
          </cell>
          <cell r="P101">
            <v>813</v>
          </cell>
          <cell r="S101">
            <v>0</v>
          </cell>
          <cell r="X101">
            <v>0</v>
          </cell>
          <cell r="AC101">
            <v>0</v>
          </cell>
          <cell r="AF101">
            <v>0</v>
          </cell>
          <cell r="AG101">
            <v>0</v>
          </cell>
          <cell r="AH101">
            <v>0</v>
          </cell>
          <cell r="AI101" t="e">
            <v>#REF!</v>
          </cell>
          <cell r="AK101">
            <v>1240</v>
          </cell>
          <cell r="AL101">
            <v>116775.1297878788</v>
          </cell>
          <cell r="AM101">
            <v>43965.116024096387</v>
          </cell>
        </row>
        <row r="102">
          <cell r="F102">
            <v>93</v>
          </cell>
          <cell r="P102">
            <v>3077</v>
          </cell>
          <cell r="S102">
            <v>0</v>
          </cell>
          <cell r="X102">
            <v>0</v>
          </cell>
          <cell r="AC102">
            <v>0</v>
          </cell>
          <cell r="AF102">
            <v>0</v>
          </cell>
          <cell r="AG102">
            <v>0</v>
          </cell>
          <cell r="AH102">
            <v>0</v>
          </cell>
          <cell r="AI102" t="e">
            <v>#REF!</v>
          </cell>
          <cell r="AK102">
            <v>93</v>
          </cell>
        </row>
        <row r="103">
          <cell r="F103">
            <v>0</v>
          </cell>
          <cell r="P103">
            <v>1206</v>
          </cell>
          <cell r="S103">
            <v>0</v>
          </cell>
          <cell r="X103">
            <v>0</v>
          </cell>
          <cell r="AC103">
            <v>0</v>
          </cell>
          <cell r="AF103">
            <v>0</v>
          </cell>
          <cell r="AG103">
            <v>0</v>
          </cell>
          <cell r="AH103">
            <v>0</v>
          </cell>
          <cell r="AK103">
            <v>1291</v>
          </cell>
        </row>
        <row r="104">
          <cell r="F104">
            <v>0</v>
          </cell>
          <cell r="P104">
            <v>800</v>
          </cell>
          <cell r="S104">
            <v>0</v>
          </cell>
          <cell r="X104">
            <v>0</v>
          </cell>
          <cell r="AC104">
            <v>85</v>
          </cell>
        </row>
        <row r="105">
          <cell r="F105">
            <v>0</v>
          </cell>
          <cell r="S105">
            <v>0</v>
          </cell>
          <cell r="X105">
            <v>0</v>
          </cell>
          <cell r="AK105">
            <v>0</v>
          </cell>
        </row>
        <row r="106">
          <cell r="P106">
            <v>935</v>
          </cell>
          <cell r="S106">
            <v>2100</v>
          </cell>
          <cell r="X106">
            <v>80</v>
          </cell>
          <cell r="AC106">
            <v>85</v>
          </cell>
          <cell r="AK106">
            <v>0</v>
          </cell>
        </row>
        <row r="107">
          <cell r="F107">
            <v>0</v>
          </cell>
          <cell r="P107">
            <v>0</v>
          </cell>
          <cell r="S107">
            <v>0</v>
          </cell>
          <cell r="X107">
            <v>0</v>
          </cell>
          <cell r="AC107">
            <v>0</v>
          </cell>
          <cell r="AF107">
            <v>0</v>
          </cell>
          <cell r="AG107">
            <v>0</v>
          </cell>
          <cell r="AH107">
            <v>0</v>
          </cell>
          <cell r="AI107" t="e">
            <v>#REF!</v>
          </cell>
          <cell r="AK107">
            <v>0</v>
          </cell>
        </row>
        <row r="108">
          <cell r="F108">
            <v>0</v>
          </cell>
          <cell r="P108">
            <v>0</v>
          </cell>
          <cell r="S108">
            <v>0</v>
          </cell>
          <cell r="X108">
            <v>0</v>
          </cell>
          <cell r="AC108">
            <v>0</v>
          </cell>
          <cell r="AF108">
            <v>0</v>
          </cell>
          <cell r="AG108">
            <v>0</v>
          </cell>
          <cell r="AH108">
            <v>0</v>
          </cell>
          <cell r="AI108" t="e">
            <v>#REF!</v>
          </cell>
          <cell r="AK108">
            <v>0</v>
          </cell>
        </row>
        <row r="109">
          <cell r="F109">
            <v>0</v>
          </cell>
          <cell r="P109">
            <v>0</v>
          </cell>
          <cell r="S109">
            <v>0</v>
          </cell>
          <cell r="X109">
            <v>0</v>
          </cell>
          <cell r="AC109">
            <v>0</v>
          </cell>
          <cell r="AF109">
            <v>0</v>
          </cell>
          <cell r="AG109">
            <v>0</v>
          </cell>
          <cell r="AH109">
            <v>0</v>
          </cell>
          <cell r="AI109" t="e">
            <v>#REF!</v>
          </cell>
          <cell r="AK109">
            <v>0</v>
          </cell>
        </row>
        <row r="110">
          <cell r="F110">
            <v>0</v>
          </cell>
          <cell r="P110">
            <v>0</v>
          </cell>
          <cell r="S110">
            <v>0</v>
          </cell>
          <cell r="X110">
            <v>0</v>
          </cell>
          <cell r="AC110">
            <v>0</v>
          </cell>
          <cell r="AF110">
            <v>0</v>
          </cell>
          <cell r="AG110">
            <v>0</v>
          </cell>
          <cell r="AH110">
            <v>0</v>
          </cell>
          <cell r="AI110" t="e">
            <v>#REF!</v>
          </cell>
          <cell r="AK110">
            <v>0</v>
          </cell>
        </row>
        <row r="111">
          <cell r="F111">
            <v>0</v>
          </cell>
          <cell r="P111">
            <v>0</v>
          </cell>
          <cell r="S111">
            <v>0</v>
          </cell>
          <cell r="X111">
            <v>0</v>
          </cell>
          <cell r="AC111">
            <v>0</v>
          </cell>
          <cell r="AF111">
            <v>0</v>
          </cell>
          <cell r="AG111">
            <v>0</v>
          </cell>
          <cell r="AH111">
            <v>0</v>
          </cell>
          <cell r="AI111" t="e">
            <v>#REF!</v>
          </cell>
          <cell r="AK111">
            <v>0</v>
          </cell>
        </row>
        <row r="112">
          <cell r="F112">
            <v>0</v>
          </cell>
          <cell r="P112">
            <v>0</v>
          </cell>
          <cell r="S112">
            <v>0</v>
          </cell>
          <cell r="X112">
            <v>0</v>
          </cell>
          <cell r="AC112">
            <v>0</v>
          </cell>
          <cell r="AF112">
            <v>0</v>
          </cell>
          <cell r="AG112">
            <v>0</v>
          </cell>
          <cell r="AH112">
            <v>0</v>
          </cell>
          <cell r="AI112" t="e">
            <v>#REF!</v>
          </cell>
          <cell r="AK112">
            <v>0</v>
          </cell>
        </row>
        <row r="113">
          <cell r="F113">
            <v>0</v>
          </cell>
          <cell r="P113">
            <v>0</v>
          </cell>
          <cell r="S113">
            <v>0</v>
          </cell>
          <cell r="X113">
            <v>0</v>
          </cell>
          <cell r="AC113">
            <v>0</v>
          </cell>
          <cell r="AF113">
            <v>0</v>
          </cell>
          <cell r="AG113">
            <v>0</v>
          </cell>
          <cell r="AH113">
            <v>0</v>
          </cell>
          <cell r="AI113" t="e">
            <v>#REF!</v>
          </cell>
          <cell r="AK113">
            <v>0</v>
          </cell>
        </row>
        <row r="114">
          <cell r="F114">
            <v>0</v>
          </cell>
          <cell r="P114">
            <v>0</v>
          </cell>
          <cell r="S114">
            <v>0</v>
          </cell>
          <cell r="X114">
            <v>0</v>
          </cell>
          <cell r="AC114">
            <v>0</v>
          </cell>
          <cell r="AF114">
            <v>0</v>
          </cell>
          <cell r="AG114">
            <v>0</v>
          </cell>
          <cell r="AH114">
            <v>0</v>
          </cell>
          <cell r="AI114" t="e">
            <v>#REF!</v>
          </cell>
          <cell r="AK114">
            <v>0</v>
          </cell>
          <cell r="AM114">
            <v>0</v>
          </cell>
        </row>
        <row r="115">
          <cell r="F115">
            <v>0</v>
          </cell>
          <cell r="P115">
            <v>0</v>
          </cell>
          <cell r="S115">
            <v>0</v>
          </cell>
          <cell r="X115">
            <v>0</v>
          </cell>
          <cell r="AC115">
            <v>0</v>
          </cell>
          <cell r="AF115">
            <v>0</v>
          </cell>
          <cell r="AG115">
            <v>0</v>
          </cell>
          <cell r="AH115">
            <v>0</v>
          </cell>
          <cell r="AI115" t="e">
            <v>#REF!</v>
          </cell>
          <cell r="AK115">
            <v>0</v>
          </cell>
          <cell r="AM115">
            <v>0</v>
          </cell>
        </row>
        <row r="116">
          <cell r="F116">
            <v>0</v>
          </cell>
          <cell r="P116">
            <v>0</v>
          </cell>
          <cell r="S116">
            <v>0</v>
          </cell>
          <cell r="AC116">
            <v>0</v>
          </cell>
          <cell r="AG116">
            <v>0</v>
          </cell>
          <cell r="AH116">
            <v>0</v>
          </cell>
          <cell r="AI116" t="e">
            <v>#REF!</v>
          </cell>
          <cell r="AK116">
            <v>0</v>
          </cell>
          <cell r="AL116">
            <v>0</v>
          </cell>
          <cell r="AM116">
            <v>0</v>
          </cell>
        </row>
        <row r="117">
          <cell r="F117">
            <v>0</v>
          </cell>
          <cell r="P117">
            <v>0</v>
          </cell>
          <cell r="S117">
            <v>0</v>
          </cell>
          <cell r="AC117">
            <v>0</v>
          </cell>
          <cell r="AG117">
            <v>0</v>
          </cell>
          <cell r="AH117">
            <v>0</v>
          </cell>
          <cell r="AI117" t="e">
            <v>#REF!</v>
          </cell>
          <cell r="AK117">
            <v>0</v>
          </cell>
          <cell r="AL117">
            <v>0</v>
          </cell>
          <cell r="AM117">
            <v>0</v>
          </cell>
        </row>
        <row r="118">
          <cell r="F118">
            <v>0</v>
          </cell>
          <cell r="P118">
            <v>0</v>
          </cell>
          <cell r="S118">
            <v>0</v>
          </cell>
          <cell r="AC118">
            <v>0</v>
          </cell>
          <cell r="AF118">
            <v>0</v>
          </cell>
          <cell r="AG118">
            <v>0</v>
          </cell>
          <cell r="AH118">
            <v>0</v>
          </cell>
          <cell r="AI118" t="e">
            <v>#REF!</v>
          </cell>
          <cell r="AJ118">
            <v>0</v>
          </cell>
          <cell r="AK118">
            <v>0</v>
          </cell>
          <cell r="AL118">
            <v>0</v>
          </cell>
          <cell r="AM118">
            <v>0</v>
          </cell>
        </row>
        <row r="119">
          <cell r="F119">
            <v>0</v>
          </cell>
          <cell r="P119">
            <v>0</v>
          </cell>
          <cell r="S119">
            <v>0</v>
          </cell>
          <cell r="X119">
            <v>0</v>
          </cell>
          <cell r="AC119">
            <v>0</v>
          </cell>
          <cell r="AF119">
            <v>0</v>
          </cell>
          <cell r="AG119">
            <v>0</v>
          </cell>
          <cell r="AH119">
            <v>0</v>
          </cell>
          <cell r="AI119" t="e">
            <v>#REF!</v>
          </cell>
          <cell r="AK119">
            <v>0</v>
          </cell>
        </row>
        <row r="120">
          <cell r="F120">
            <v>100</v>
          </cell>
          <cell r="P120">
            <v>0</v>
          </cell>
          <cell r="S120">
            <v>0</v>
          </cell>
          <cell r="X120">
            <v>0</v>
          </cell>
          <cell r="AC120">
            <v>0</v>
          </cell>
          <cell r="AF120">
            <v>0</v>
          </cell>
          <cell r="AG120">
            <v>0</v>
          </cell>
          <cell r="AH120">
            <v>0</v>
          </cell>
          <cell r="AI120" t="e">
            <v>#REF!</v>
          </cell>
          <cell r="AK120">
            <v>100</v>
          </cell>
        </row>
        <row r="121">
          <cell r="F121">
            <v>100</v>
          </cell>
          <cell r="P121">
            <v>0</v>
          </cell>
          <cell r="S121">
            <v>0</v>
          </cell>
          <cell r="X121">
            <v>0</v>
          </cell>
          <cell r="AC121">
            <v>0</v>
          </cell>
          <cell r="AF121">
            <v>0</v>
          </cell>
          <cell r="AG121">
            <v>0</v>
          </cell>
          <cell r="AH121">
            <v>0</v>
          </cell>
          <cell r="AI121" t="e">
            <v>#REF!</v>
          </cell>
          <cell r="AK121">
            <v>0</v>
          </cell>
        </row>
        <row r="122">
          <cell r="F122">
            <v>4000</v>
          </cell>
          <cell r="S122">
            <v>0</v>
          </cell>
          <cell r="X122">
            <v>0</v>
          </cell>
          <cell r="AF122">
            <v>0</v>
          </cell>
          <cell r="AI122" t="e">
            <v>#REF!</v>
          </cell>
          <cell r="AK122">
            <v>4000</v>
          </cell>
        </row>
        <row r="123">
          <cell r="F123">
            <v>3480</v>
          </cell>
          <cell r="S123">
            <v>0</v>
          </cell>
          <cell r="X123">
            <v>0</v>
          </cell>
          <cell r="AF123">
            <v>0</v>
          </cell>
          <cell r="AI123" t="e">
            <v>#REF!</v>
          </cell>
          <cell r="AK123">
            <v>0</v>
          </cell>
        </row>
        <row r="124">
          <cell r="F124">
            <v>3480</v>
          </cell>
          <cell r="AI124" t="e">
            <v>#REF!</v>
          </cell>
          <cell r="AK124">
            <v>0</v>
          </cell>
          <cell r="AL124">
            <v>396.87424242423458</v>
          </cell>
        </row>
        <row r="125">
          <cell r="F125">
            <v>0</v>
          </cell>
          <cell r="AI125" t="e">
            <v>#REF!</v>
          </cell>
          <cell r="AK125">
            <v>0</v>
          </cell>
          <cell r="AL125">
            <v>-8132.8846363636376</v>
          </cell>
        </row>
        <row r="126">
          <cell r="F126">
            <v>4527</v>
          </cell>
          <cell r="G126">
            <v>0</v>
          </cell>
          <cell r="H126">
            <v>0</v>
          </cell>
          <cell r="P126">
            <v>813</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t="e">
            <v>#REF!</v>
          </cell>
          <cell r="AJ126">
            <v>0</v>
          </cell>
          <cell r="AK126">
            <v>4100</v>
          </cell>
          <cell r="AL126">
            <v>13247.384148484838</v>
          </cell>
          <cell r="AO126">
            <v>0</v>
          </cell>
          <cell r="AP126">
            <v>0</v>
          </cell>
          <cell r="AQ126">
            <v>0</v>
          </cell>
          <cell r="AR126">
            <v>0</v>
          </cell>
        </row>
        <row r="127">
          <cell r="F127">
            <v>4527</v>
          </cell>
          <cell r="G127">
            <v>0</v>
          </cell>
          <cell r="H127">
            <v>0</v>
          </cell>
          <cell r="P127">
            <v>813</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4100</v>
          </cell>
          <cell r="AO127">
            <v>0</v>
          </cell>
          <cell r="AP127">
            <v>0</v>
          </cell>
          <cell r="AQ127">
            <v>0</v>
          </cell>
          <cell r="AR127">
            <v>0</v>
          </cell>
        </row>
        <row r="128">
          <cell r="F128">
            <v>3580</v>
          </cell>
          <cell r="G128">
            <v>0</v>
          </cell>
          <cell r="H128">
            <v>0</v>
          </cell>
          <cell r="P128">
            <v>1206</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t="e">
            <v>#REF!</v>
          </cell>
          <cell r="AJ128">
            <v>0</v>
          </cell>
          <cell r="AK128">
            <v>4496.8742424242346</v>
          </cell>
          <cell r="AL128">
            <v>5340</v>
          </cell>
          <cell r="AM128">
            <v>0</v>
          </cell>
          <cell r="AN128">
            <v>0</v>
          </cell>
          <cell r="AO128">
            <v>0</v>
          </cell>
          <cell r="AP128">
            <v>0</v>
          </cell>
          <cell r="AQ128">
            <v>0</v>
          </cell>
          <cell r="AR128">
            <v>0</v>
          </cell>
        </row>
        <row r="129">
          <cell r="F129">
            <v>3580</v>
          </cell>
          <cell r="G129">
            <v>0</v>
          </cell>
          <cell r="H129">
            <v>0</v>
          </cell>
          <cell r="P129">
            <v>1206</v>
          </cell>
          <cell r="S129">
            <v>-680</v>
          </cell>
          <cell r="X129">
            <v>0</v>
          </cell>
          <cell r="Y129">
            <v>0</v>
          </cell>
          <cell r="Z129">
            <v>0</v>
          </cell>
          <cell r="AC129">
            <v>0</v>
          </cell>
          <cell r="AD129">
            <v>0</v>
          </cell>
          <cell r="AE129">
            <v>0</v>
          </cell>
          <cell r="AF129">
            <v>0</v>
          </cell>
          <cell r="AG129">
            <v>0</v>
          </cell>
          <cell r="AH129">
            <v>0</v>
          </cell>
          <cell r="AI129" t="e">
            <v>#REF!</v>
          </cell>
          <cell r="AJ129">
            <v>0</v>
          </cell>
          <cell r="AK129">
            <v>4496.8742424242346</v>
          </cell>
          <cell r="AL129">
            <v>9106</v>
          </cell>
        </row>
        <row r="130">
          <cell r="AI130" t="e">
            <v>#REF!</v>
          </cell>
          <cell r="AJ130" t="e">
            <v>#REF!</v>
          </cell>
          <cell r="AK130">
            <v>6424.1060606060491</v>
          </cell>
          <cell r="AL130">
            <v>10691.092580700395</v>
          </cell>
          <cell r="AM130">
            <v>-5132.2365200943386</v>
          </cell>
        </row>
        <row r="131">
          <cell r="AI131" t="e">
            <v>#REF!</v>
          </cell>
          <cell r="AK131">
            <v>16827.384148484838</v>
          </cell>
          <cell r="AL131">
            <v>9186.0424182431379</v>
          </cell>
          <cell r="AM131">
            <v>-16555.413327334049</v>
          </cell>
        </row>
        <row r="132">
          <cell r="AI132">
            <v>-11929.693606060609</v>
          </cell>
          <cell r="AJ132">
            <v>2695.8439999999973</v>
          </cell>
          <cell r="AK132">
            <v>1927.2318181818146</v>
          </cell>
          <cell r="AL132">
            <v>13754.883975903613</v>
          </cell>
          <cell r="AM132">
            <v>9418.9862362175918</v>
          </cell>
          <cell r="AO132">
            <v>0</v>
          </cell>
        </row>
        <row r="133">
          <cell r="AK133">
            <v>-1951.236272727273</v>
          </cell>
          <cell r="AO133">
            <v>0</v>
          </cell>
        </row>
        <row r="134">
          <cell r="AI134" t="e">
            <v>#REF!</v>
          </cell>
          <cell r="AK134">
            <v>7211.7360636363592</v>
          </cell>
          <cell r="AM134">
            <v>0</v>
          </cell>
          <cell r="AO134">
            <v>0</v>
          </cell>
        </row>
        <row r="135">
          <cell r="AK135">
            <v>58108</v>
          </cell>
          <cell r="AM135">
            <v>58108</v>
          </cell>
          <cell r="AO135">
            <v>0</v>
          </cell>
          <cell r="AQ135">
            <v>0</v>
          </cell>
        </row>
        <row r="136">
          <cell r="AK136">
            <v>-5132.2365200943386</v>
          </cell>
          <cell r="AM136">
            <v>28333</v>
          </cell>
          <cell r="AO136">
            <v>0</v>
          </cell>
          <cell r="AQ136">
            <v>0</v>
          </cell>
        </row>
        <row r="137">
          <cell r="AI137">
            <v>10816</v>
          </cell>
          <cell r="AK137">
            <v>36.78</v>
          </cell>
          <cell r="AM137">
            <v>82229</v>
          </cell>
          <cell r="AO137" t="e">
            <v>#DIV/0!</v>
          </cell>
          <cell r="AQ137">
            <v>0</v>
          </cell>
        </row>
        <row r="138">
          <cell r="AI138">
            <v>-15490.787606060607</v>
          </cell>
          <cell r="AK138">
            <v>40.03</v>
          </cell>
          <cell r="AM138">
            <v>0</v>
          </cell>
          <cell r="AO138" t="e">
            <v>#DIV/0!</v>
          </cell>
        </row>
        <row r="139">
          <cell r="AI139">
            <v>6.85</v>
          </cell>
          <cell r="AK139">
            <v>0</v>
          </cell>
          <cell r="AM139" t="e">
            <v>#DIV/0!</v>
          </cell>
          <cell r="AO139">
            <v>0</v>
          </cell>
        </row>
        <row r="140">
          <cell r="AI140">
            <v>16.649999999999999</v>
          </cell>
          <cell r="AK140">
            <v>46.08</v>
          </cell>
          <cell r="AM140" t="e">
            <v>#REF!</v>
          </cell>
          <cell r="AO140" t="e">
            <v>#DIV/0!</v>
          </cell>
        </row>
        <row r="141">
          <cell r="AI141">
            <v>0</v>
          </cell>
          <cell r="AK141">
            <v>14.4</v>
          </cell>
          <cell r="AM141">
            <v>0</v>
          </cell>
          <cell r="AO141" t="e">
            <v>#DIV/0!</v>
          </cell>
        </row>
        <row r="142">
          <cell r="AK142">
            <v>12.49</v>
          </cell>
          <cell r="AO142" t="e">
            <v>#DIV/0!</v>
          </cell>
        </row>
        <row r="143">
          <cell r="AI143">
            <v>9.84</v>
          </cell>
          <cell r="AJ143">
            <v>0</v>
          </cell>
          <cell r="AK143">
            <v>11.7</v>
          </cell>
          <cell r="AM143" t="e">
            <v>#DIV/0!</v>
          </cell>
          <cell r="AO143" t="e">
            <v>#DIV/0!</v>
          </cell>
        </row>
        <row r="144">
          <cell r="AJ144">
            <v>0</v>
          </cell>
          <cell r="AK144">
            <v>56960</v>
          </cell>
          <cell r="AL144">
            <v>56960</v>
          </cell>
          <cell r="AO144" t="e">
            <v>#DIV/0!</v>
          </cell>
        </row>
        <row r="145">
          <cell r="AI145">
            <v>7.69</v>
          </cell>
          <cell r="AJ145">
            <v>0</v>
          </cell>
          <cell r="AK145">
            <v>11.11</v>
          </cell>
          <cell r="AL145">
            <v>49395</v>
          </cell>
          <cell r="AM145" t="e">
            <v>#DIV/0!</v>
          </cell>
          <cell r="AO145" t="e">
            <v>#DIV/0!</v>
          </cell>
        </row>
        <row r="146">
          <cell r="AI146">
            <v>38926</v>
          </cell>
          <cell r="AJ146">
            <v>300</v>
          </cell>
          <cell r="AK146">
            <v>57720</v>
          </cell>
          <cell r="AL146">
            <v>57720</v>
          </cell>
        </row>
        <row r="147">
          <cell r="AJ147">
            <v>300</v>
          </cell>
          <cell r="AK147">
            <v>5857.1428571428578</v>
          </cell>
          <cell r="AL147">
            <v>-46268.907419299605</v>
          </cell>
          <cell r="AM147">
            <v>-63240.236520094339</v>
          </cell>
        </row>
        <row r="148">
          <cell r="S148">
            <v>0</v>
          </cell>
          <cell r="AJ148">
            <v>300</v>
          </cell>
          <cell r="AK148">
            <v>865.25</v>
          </cell>
          <cell r="AL148">
            <v>-40208.957581756862</v>
          </cell>
          <cell r="AM148">
            <v>-44888.413327334049</v>
          </cell>
        </row>
        <row r="149">
          <cell r="S149">
            <v>0</v>
          </cell>
          <cell r="AI149" t="e">
            <v>#REF!</v>
          </cell>
          <cell r="AJ149">
            <v>-30402.156000000003</v>
          </cell>
          <cell r="AK149">
            <v>5114.2857142857147</v>
          </cell>
          <cell r="AL149">
            <v>-43965.116024096387</v>
          </cell>
          <cell r="AM149">
            <v>-72810.013763782408</v>
          </cell>
        </row>
        <row r="150">
          <cell r="S150">
            <v>0</v>
          </cell>
          <cell r="AI150">
            <v>865.25</v>
          </cell>
          <cell r="AJ150">
            <v>0</v>
          </cell>
          <cell r="AK150">
            <v>115068</v>
          </cell>
          <cell r="AL150">
            <v>56960</v>
          </cell>
          <cell r="AM150">
            <v>58108</v>
          </cell>
          <cell r="AO150">
            <v>0</v>
          </cell>
        </row>
        <row r="151">
          <cell r="AJ151">
            <v>0</v>
          </cell>
          <cell r="AK151">
            <v>0</v>
          </cell>
          <cell r="AL151">
            <v>49395</v>
          </cell>
          <cell r="AM151">
            <v>28333</v>
          </cell>
          <cell r="AO151">
            <v>0</v>
          </cell>
        </row>
        <row r="152">
          <cell r="AI152">
            <v>49742</v>
          </cell>
          <cell r="AJ152">
            <v>0</v>
          </cell>
          <cell r="AK152">
            <v>115068</v>
          </cell>
          <cell r="AL152">
            <v>56960</v>
          </cell>
          <cell r="AM152">
            <v>58108</v>
          </cell>
          <cell r="AO152">
            <v>0</v>
          </cell>
        </row>
        <row r="153">
          <cell r="AI153">
            <v>0</v>
          </cell>
          <cell r="AK153">
            <v>0</v>
          </cell>
          <cell r="AL153">
            <v>49395</v>
          </cell>
          <cell r="AM153">
            <v>28333</v>
          </cell>
          <cell r="AO153">
            <v>2093</v>
          </cell>
          <cell r="AP153">
            <v>5098</v>
          </cell>
          <cell r="AQ153">
            <v>4891.9653693155615</v>
          </cell>
          <cell r="AR153">
            <v>11328.349456446114</v>
          </cell>
        </row>
        <row r="154">
          <cell r="AI154">
            <v>43914</v>
          </cell>
          <cell r="AJ154">
            <v>33098</v>
          </cell>
          <cell r="AK154">
            <v>5.9</v>
          </cell>
          <cell r="AL154">
            <v>23.1</v>
          </cell>
          <cell r="AM154">
            <v>-8.1</v>
          </cell>
          <cell r="AO154">
            <v>2889</v>
          </cell>
          <cell r="AP154">
            <v>5865</v>
          </cell>
          <cell r="AQ154">
            <v>4320.2514445347797</v>
          </cell>
          <cell r="AR154">
            <v>12672.305468164745</v>
          </cell>
        </row>
        <row r="155">
          <cell r="AI155">
            <v>0</v>
          </cell>
          <cell r="AK155">
            <v>5.348542273679354</v>
          </cell>
          <cell r="AL155">
            <v>-100</v>
          </cell>
          <cell r="AM155">
            <v>-100</v>
          </cell>
          <cell r="AN155">
            <v>3536</v>
          </cell>
          <cell r="AO155">
            <v>2449</v>
          </cell>
          <cell r="AP155">
            <v>6659</v>
          </cell>
          <cell r="AQ155">
            <v>5344.308649356225</v>
          </cell>
          <cell r="AR155">
            <v>14571.544133725103</v>
          </cell>
        </row>
        <row r="156">
          <cell r="AI156">
            <v>-21</v>
          </cell>
          <cell r="AJ156">
            <v>8.9</v>
          </cell>
          <cell r="AK156">
            <v>20.6</v>
          </cell>
          <cell r="AL156">
            <v>0</v>
          </cell>
          <cell r="AM156">
            <v>0</v>
          </cell>
        </row>
        <row r="157">
          <cell r="AI157" t="e">
            <v>#REF!</v>
          </cell>
          <cell r="AJ157">
            <v>-100</v>
          </cell>
          <cell r="AK157">
            <v>4.3796018241005417</v>
          </cell>
          <cell r="AL157">
            <v>-100</v>
          </cell>
          <cell r="AM157">
            <v>-100</v>
          </cell>
        </row>
        <row r="158">
          <cell r="F158">
            <v>0</v>
          </cell>
          <cell r="P158">
            <v>0</v>
          </cell>
          <cell r="S158">
            <v>0</v>
          </cell>
          <cell r="X158">
            <v>0</v>
          </cell>
          <cell r="AC158">
            <v>0</v>
          </cell>
          <cell r="AJ158">
            <v>142</v>
          </cell>
          <cell r="AK158">
            <v>0</v>
          </cell>
          <cell r="AL158">
            <v>0</v>
          </cell>
          <cell r="AM158">
            <v>0</v>
          </cell>
        </row>
        <row r="159">
          <cell r="F159">
            <v>320</v>
          </cell>
          <cell r="P159">
            <v>720</v>
          </cell>
          <cell r="S159">
            <v>1362.8000000000002</v>
          </cell>
          <cell r="X159">
            <v>796.80000000000007</v>
          </cell>
          <cell r="AC159">
            <v>439.20000000000005</v>
          </cell>
          <cell r="AF159">
            <v>312.8</v>
          </cell>
          <cell r="AG159">
            <v>313</v>
          </cell>
          <cell r="AH159">
            <v>-0.19999999999998863</v>
          </cell>
          <cell r="AJ159">
            <v>142</v>
          </cell>
          <cell r="AK159">
            <v>3951.6000000000004</v>
          </cell>
        </row>
        <row r="160">
          <cell r="F160">
            <v>320</v>
          </cell>
          <cell r="P160">
            <v>340</v>
          </cell>
          <cell r="S160">
            <v>416</v>
          </cell>
          <cell r="X160">
            <v>560</v>
          </cell>
          <cell r="AC160">
            <v>260.8</v>
          </cell>
          <cell r="AF160">
            <v>141.6</v>
          </cell>
          <cell r="AG160">
            <v>142</v>
          </cell>
          <cell r="AH160">
            <v>-0.40000000000000568</v>
          </cell>
          <cell r="AI160" t="e">
            <v>#REF!</v>
          </cell>
          <cell r="AJ160">
            <v>142</v>
          </cell>
          <cell r="AK160">
            <v>1896.8</v>
          </cell>
        </row>
        <row r="161">
          <cell r="F161">
            <v>320</v>
          </cell>
          <cell r="P161">
            <v>200</v>
          </cell>
          <cell r="S161">
            <v>149.6</v>
          </cell>
          <cell r="X161">
            <v>173.60000000000002</v>
          </cell>
          <cell r="AC161">
            <v>100.80000000000001</v>
          </cell>
          <cell r="AF161">
            <v>73.600000000000009</v>
          </cell>
          <cell r="AG161">
            <v>73.600000000000009</v>
          </cell>
          <cell r="AH161">
            <v>0</v>
          </cell>
          <cell r="AI161" t="e">
            <v>#REF!</v>
          </cell>
          <cell r="AK161">
            <v>1017.6</v>
          </cell>
        </row>
        <row r="162">
          <cell r="F162">
            <v>0</v>
          </cell>
          <cell r="P162">
            <v>100</v>
          </cell>
          <cell r="S162">
            <v>101</v>
          </cell>
          <cell r="X162">
            <v>118</v>
          </cell>
          <cell r="AB162">
            <v>9</v>
          </cell>
          <cell r="AC162">
            <v>29</v>
          </cell>
          <cell r="AF162">
            <v>74</v>
          </cell>
          <cell r="AG162">
            <v>74</v>
          </cell>
          <cell r="AH162">
            <v>60</v>
          </cell>
          <cell r="AI162" t="e">
            <v>#REF!</v>
          </cell>
          <cell r="AK162">
            <v>348</v>
          </cell>
        </row>
        <row r="163">
          <cell r="F163">
            <v>0</v>
          </cell>
          <cell r="P163">
            <v>226</v>
          </cell>
          <cell r="S163">
            <v>133</v>
          </cell>
          <cell r="X163">
            <v>226</v>
          </cell>
          <cell r="AB163">
            <v>9</v>
          </cell>
          <cell r="AC163">
            <v>173</v>
          </cell>
          <cell r="AF163">
            <v>90</v>
          </cell>
          <cell r="AG163">
            <v>90</v>
          </cell>
          <cell r="AH163">
            <v>0</v>
          </cell>
          <cell r="AI163" t="e">
            <v>#REF!</v>
          </cell>
          <cell r="AK163">
            <v>0</v>
          </cell>
        </row>
        <row r="164">
          <cell r="F164">
            <v>14.170833333333334</v>
          </cell>
          <cell r="P164">
            <v>120</v>
          </cell>
          <cell r="S164">
            <v>94</v>
          </cell>
          <cell r="X164">
            <v>131</v>
          </cell>
          <cell r="AB164">
            <v>9</v>
          </cell>
          <cell r="AC164">
            <v>83</v>
          </cell>
          <cell r="AF164">
            <v>80</v>
          </cell>
          <cell r="AG164">
            <v>80</v>
          </cell>
          <cell r="AI164" t="e">
            <v>#REF!</v>
          </cell>
          <cell r="AK164">
            <v>14.170833333333334</v>
          </cell>
        </row>
        <row r="165">
          <cell r="F165">
            <v>14.170833333333334</v>
          </cell>
          <cell r="P165">
            <v>152</v>
          </cell>
          <cell r="S165">
            <v>428.72727272727275</v>
          </cell>
          <cell r="X165">
            <v>248.36363636363637</v>
          </cell>
          <cell r="AC165">
            <v>191.18181818181819</v>
          </cell>
          <cell r="AF165">
            <v>157.90909090909091</v>
          </cell>
          <cell r="AG165">
            <v>157.90909090909091</v>
          </cell>
          <cell r="AI165" t="e">
            <v>#REF!</v>
          </cell>
          <cell r="AK165">
            <v>1020.2727272727273</v>
          </cell>
        </row>
        <row r="166">
          <cell r="F166">
            <v>260</v>
          </cell>
          <cell r="P166">
            <v>180</v>
          </cell>
          <cell r="S166">
            <v>934.07272727272743</v>
          </cell>
          <cell r="X166">
            <v>548.43636363636369</v>
          </cell>
          <cell r="AC166">
            <v>248.01818181818186</v>
          </cell>
          <cell r="AF166">
            <v>157.90909090909091</v>
          </cell>
          <cell r="AG166">
            <v>157.90909090909091</v>
          </cell>
          <cell r="AI166" t="e">
            <v>#REF!</v>
          </cell>
          <cell r="AK166">
            <v>1990.5272727272729</v>
          </cell>
        </row>
        <row r="167">
          <cell r="F167">
            <v>260</v>
          </cell>
          <cell r="P167">
            <v>450</v>
          </cell>
          <cell r="S167">
            <v>1362.8000000000002</v>
          </cell>
          <cell r="X167">
            <v>796.80000000000007</v>
          </cell>
          <cell r="AC167">
            <v>439.20000000000005</v>
          </cell>
          <cell r="AF167">
            <v>157.90909090909091</v>
          </cell>
          <cell r="AG167">
            <v>157.90909090909091</v>
          </cell>
          <cell r="AI167" t="e">
            <v>#REF!</v>
          </cell>
          <cell r="AK167">
            <v>1734.9545454545455</v>
          </cell>
        </row>
        <row r="168">
          <cell r="F168">
            <v>60</v>
          </cell>
          <cell r="P168">
            <v>0</v>
          </cell>
          <cell r="S168">
            <v>0</v>
          </cell>
          <cell r="X168">
            <v>0</v>
          </cell>
          <cell r="AC168">
            <v>0</v>
          </cell>
          <cell r="AI168" t="e">
            <v>#REF!</v>
          </cell>
          <cell r="AK168">
            <v>60</v>
          </cell>
        </row>
        <row r="169">
          <cell r="F169">
            <v>60</v>
          </cell>
          <cell r="P169">
            <v>0</v>
          </cell>
          <cell r="S169">
            <v>0</v>
          </cell>
          <cell r="X169">
            <v>0</v>
          </cell>
          <cell r="AC169">
            <v>0</v>
          </cell>
          <cell r="AF169">
            <v>0</v>
          </cell>
          <cell r="AG169">
            <v>0</v>
          </cell>
          <cell r="AH169">
            <v>0</v>
          </cell>
          <cell r="AK169">
            <v>0</v>
          </cell>
        </row>
        <row r="170">
          <cell r="F170">
            <v>427</v>
          </cell>
          <cell r="G170">
            <v>0</v>
          </cell>
          <cell r="H170">
            <v>0</v>
          </cell>
          <cell r="P170">
            <v>1736</v>
          </cell>
          <cell r="Q170">
            <v>0</v>
          </cell>
          <cell r="R170">
            <v>0</v>
          </cell>
          <cell r="S170">
            <v>3416</v>
          </cell>
          <cell r="T170">
            <v>0</v>
          </cell>
          <cell r="U170">
            <v>0</v>
          </cell>
          <cell r="V170">
            <v>0</v>
          </cell>
          <cell r="W170">
            <v>0</v>
          </cell>
          <cell r="X170">
            <v>506</v>
          </cell>
          <cell r="Y170">
            <v>0</v>
          </cell>
          <cell r="Z170">
            <v>0</v>
          </cell>
          <cell r="AA170">
            <v>0</v>
          </cell>
          <cell r="AB170">
            <v>0</v>
          </cell>
          <cell r="AC170">
            <v>415</v>
          </cell>
          <cell r="AD170">
            <v>25802.811515151516</v>
          </cell>
          <cell r="AE170">
            <v>0</v>
          </cell>
          <cell r="AF170">
            <v>454</v>
          </cell>
          <cell r="AG170">
            <v>461</v>
          </cell>
          <cell r="AH170">
            <v>0</v>
          </cell>
          <cell r="AI170" t="e">
            <v>#REF!</v>
          </cell>
          <cell r="AJ170">
            <v>0</v>
          </cell>
          <cell r="AK170">
            <v>6984</v>
          </cell>
        </row>
        <row r="171">
          <cell r="F171">
            <v>427</v>
          </cell>
          <cell r="G171">
            <v>0</v>
          </cell>
          <cell r="H171">
            <v>0</v>
          </cell>
          <cell r="P171">
            <v>1736</v>
          </cell>
          <cell r="Q171">
            <v>0</v>
          </cell>
          <cell r="R171">
            <v>0</v>
          </cell>
          <cell r="S171">
            <v>3416</v>
          </cell>
          <cell r="T171">
            <v>0</v>
          </cell>
          <cell r="U171">
            <v>0</v>
          </cell>
          <cell r="V171">
            <v>0</v>
          </cell>
          <cell r="W171">
            <v>0</v>
          </cell>
          <cell r="X171">
            <v>506</v>
          </cell>
          <cell r="Y171">
            <v>0</v>
          </cell>
          <cell r="Z171">
            <v>0</v>
          </cell>
          <cell r="AA171">
            <v>0</v>
          </cell>
          <cell r="AB171">
            <v>0</v>
          </cell>
          <cell r="AC171">
            <v>415</v>
          </cell>
          <cell r="AD171">
            <v>25802.811515151516</v>
          </cell>
          <cell r="AE171">
            <v>0</v>
          </cell>
          <cell r="AF171">
            <v>454</v>
          </cell>
          <cell r="AG171">
            <v>454</v>
          </cell>
          <cell r="AH171">
            <v>0</v>
          </cell>
          <cell r="AI171" t="e">
            <v>#REF!</v>
          </cell>
          <cell r="AJ171">
            <v>0</v>
          </cell>
          <cell r="AK171">
            <v>6977</v>
          </cell>
        </row>
        <row r="172">
          <cell r="F172">
            <v>0</v>
          </cell>
          <cell r="G172">
            <v>0</v>
          </cell>
          <cell r="H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t="e">
            <v>#REF!</v>
          </cell>
          <cell r="AJ172">
            <v>0</v>
          </cell>
          <cell r="AK172">
            <v>0</v>
          </cell>
        </row>
        <row r="173">
          <cell r="F173">
            <v>0</v>
          </cell>
          <cell r="G173">
            <v>0</v>
          </cell>
          <cell r="H173">
            <v>0</v>
          </cell>
          <cell r="P173">
            <v>2016</v>
          </cell>
          <cell r="Q173">
            <v>0</v>
          </cell>
          <cell r="R173">
            <v>0</v>
          </cell>
          <cell r="S173">
            <v>-474</v>
          </cell>
          <cell r="T173">
            <v>0</v>
          </cell>
          <cell r="U173">
            <v>0</v>
          </cell>
          <cell r="V173">
            <v>0</v>
          </cell>
          <cell r="W173">
            <v>0</v>
          </cell>
          <cell r="X173">
            <v>1029</v>
          </cell>
          <cell r="Y173">
            <v>0</v>
          </cell>
          <cell r="Z173">
            <v>0</v>
          </cell>
          <cell r="AA173">
            <v>0</v>
          </cell>
          <cell r="AB173">
            <v>0</v>
          </cell>
          <cell r="AC173">
            <v>-117</v>
          </cell>
          <cell r="AD173">
            <v>0</v>
          </cell>
          <cell r="AE173">
            <v>0</v>
          </cell>
          <cell r="AF173">
            <v>266</v>
          </cell>
          <cell r="AG173">
            <v>0</v>
          </cell>
          <cell r="AH173">
            <v>0</v>
          </cell>
          <cell r="AI173" t="e">
            <v>#REF!</v>
          </cell>
          <cell r="AJ173">
            <v>0</v>
          </cell>
          <cell r="AK173">
            <v>0</v>
          </cell>
        </row>
        <row r="174">
          <cell r="F174">
            <v>0</v>
          </cell>
          <cell r="G174">
            <v>0</v>
          </cell>
          <cell r="H174">
            <v>0</v>
          </cell>
          <cell r="P174">
            <v>0</v>
          </cell>
          <cell r="R174">
            <v>0</v>
          </cell>
          <cell r="S174">
            <v>0</v>
          </cell>
          <cell r="T174">
            <v>0</v>
          </cell>
          <cell r="U174">
            <v>0</v>
          </cell>
          <cell r="V174">
            <v>0</v>
          </cell>
          <cell r="W174">
            <v>0</v>
          </cell>
          <cell r="X174">
            <v>0</v>
          </cell>
          <cell r="Y174">
            <v>0</v>
          </cell>
          <cell r="Z174">
            <v>0</v>
          </cell>
          <cell r="AA174">
            <v>0</v>
          </cell>
          <cell r="AB174">
            <v>0</v>
          </cell>
          <cell r="AC174">
            <v>0</v>
          </cell>
          <cell r="AE174">
            <v>0</v>
          </cell>
          <cell r="AF174">
            <v>0</v>
          </cell>
          <cell r="AG174">
            <v>0</v>
          </cell>
          <cell r="AH174">
            <v>0</v>
          </cell>
          <cell r="AI174" t="e">
            <v>#REF!</v>
          </cell>
          <cell r="AJ174">
            <v>0</v>
          </cell>
          <cell r="AK174">
            <v>0</v>
          </cell>
        </row>
        <row r="175">
          <cell r="F175">
            <v>4000</v>
          </cell>
          <cell r="AG175">
            <v>0</v>
          </cell>
          <cell r="AI175" t="e">
            <v>#REF!</v>
          </cell>
          <cell r="AK175">
            <v>4000</v>
          </cell>
        </row>
        <row r="176">
          <cell r="F176">
            <v>587</v>
          </cell>
          <cell r="P176">
            <v>863.25</v>
          </cell>
          <cell r="Q176">
            <v>0</v>
          </cell>
          <cell r="R176">
            <v>0</v>
          </cell>
          <cell r="S176">
            <v>1561.82</v>
          </cell>
          <cell r="T176">
            <v>554.80543636363632</v>
          </cell>
          <cell r="U176">
            <v>577.28729090909087</v>
          </cell>
          <cell r="V176">
            <v>0</v>
          </cell>
          <cell r="W176">
            <v>0</v>
          </cell>
          <cell r="X176">
            <v>640.95000000000005</v>
          </cell>
          <cell r="AA176">
            <v>0</v>
          </cell>
          <cell r="AB176">
            <v>0</v>
          </cell>
          <cell r="AC176">
            <v>535.86</v>
          </cell>
          <cell r="AF176">
            <v>1759.96</v>
          </cell>
          <cell r="AG176">
            <v>1532.909090909091</v>
          </cell>
          <cell r="AH176">
            <v>227.05090909090904</v>
          </cell>
          <cell r="AI176" t="e">
            <v>#REF!</v>
          </cell>
          <cell r="AJ176">
            <v>0</v>
          </cell>
          <cell r="AK176">
            <v>6084.7890909090902</v>
          </cell>
          <cell r="AO176">
            <v>247</v>
          </cell>
          <cell r="AP176">
            <v>610</v>
          </cell>
          <cell r="AQ176">
            <v>920.25</v>
          </cell>
          <cell r="AR176">
            <v>2050.3572727272726</v>
          </cell>
        </row>
        <row r="177">
          <cell r="F177">
            <v>0</v>
          </cell>
          <cell r="G177">
            <v>0</v>
          </cell>
          <cell r="H177">
            <v>0</v>
          </cell>
          <cell r="P177">
            <v>152</v>
          </cell>
          <cell r="Q177">
            <v>0</v>
          </cell>
          <cell r="R177">
            <v>0</v>
          </cell>
          <cell r="S177">
            <v>428.72727272727275</v>
          </cell>
          <cell r="T177">
            <v>0</v>
          </cell>
          <cell r="U177">
            <v>0</v>
          </cell>
          <cell r="V177">
            <v>0</v>
          </cell>
          <cell r="W177">
            <v>0</v>
          </cell>
          <cell r="X177">
            <v>248.36363636363637</v>
          </cell>
          <cell r="Y177">
            <v>103</v>
          </cell>
          <cell r="Z177">
            <v>145.36363636363637</v>
          </cell>
          <cell r="AA177">
            <v>0</v>
          </cell>
          <cell r="AB177">
            <v>0</v>
          </cell>
          <cell r="AC177">
            <v>191.18181818181819</v>
          </cell>
          <cell r="AD177">
            <v>88</v>
          </cell>
          <cell r="AE177">
            <v>103.18181818181819</v>
          </cell>
          <cell r="AF177">
            <v>157.90909090909091</v>
          </cell>
          <cell r="AG177">
            <v>157.90909090909091</v>
          </cell>
          <cell r="AH177">
            <v>0</v>
          </cell>
          <cell r="AI177" t="e">
            <v>#REF!</v>
          </cell>
          <cell r="AJ177">
            <v>0</v>
          </cell>
          <cell r="AK177">
            <v>3480</v>
          </cell>
          <cell r="AO177">
            <v>266</v>
          </cell>
          <cell r="AP177">
            <v>661</v>
          </cell>
          <cell r="AQ177">
            <v>907.25</v>
          </cell>
          <cell r="AR177">
            <v>2372.7209090909091</v>
          </cell>
        </row>
        <row r="178">
          <cell r="F178">
            <v>0</v>
          </cell>
          <cell r="G178">
            <v>0</v>
          </cell>
          <cell r="H178">
            <v>0</v>
          </cell>
          <cell r="P178">
            <v>-51</v>
          </cell>
          <cell r="Q178">
            <v>0</v>
          </cell>
          <cell r="R178">
            <v>0</v>
          </cell>
          <cell r="S178">
            <v>-76.333333333333329</v>
          </cell>
          <cell r="T178">
            <v>13.666666666666666</v>
          </cell>
          <cell r="U178">
            <v>0</v>
          </cell>
          <cell r="V178">
            <v>0</v>
          </cell>
          <cell r="W178">
            <v>0</v>
          </cell>
          <cell r="X178">
            <v>400</v>
          </cell>
          <cell r="Y178">
            <v>138</v>
          </cell>
          <cell r="Z178">
            <v>120.36363636363637</v>
          </cell>
          <cell r="AA178">
            <v>0</v>
          </cell>
          <cell r="AB178">
            <v>0</v>
          </cell>
          <cell r="AC178">
            <v>13.333333333333334</v>
          </cell>
          <cell r="AD178">
            <v>73</v>
          </cell>
          <cell r="AE178">
            <v>107.90909090909091</v>
          </cell>
          <cell r="AF178">
            <v>-0.7</v>
          </cell>
          <cell r="AG178">
            <v>2</v>
          </cell>
          <cell r="AH178">
            <v>-2.7</v>
          </cell>
          <cell r="AI178" t="e">
            <v>#REF!</v>
          </cell>
          <cell r="AJ178">
            <v>0</v>
          </cell>
          <cell r="AK178">
            <v>2215.2318181818146</v>
          </cell>
          <cell r="AM178">
            <v>373</v>
          </cell>
          <cell r="AN178">
            <v>542</v>
          </cell>
          <cell r="AO178">
            <v>172</v>
          </cell>
          <cell r="AP178">
            <v>221</v>
          </cell>
          <cell r="AQ178">
            <v>-51</v>
          </cell>
          <cell r="AR178">
            <v>-54</v>
          </cell>
        </row>
        <row r="179">
          <cell r="F179">
            <v>0</v>
          </cell>
          <cell r="G179">
            <v>0</v>
          </cell>
          <cell r="H179">
            <v>0</v>
          </cell>
          <cell r="P179">
            <v>450</v>
          </cell>
          <cell r="Q179">
            <v>0</v>
          </cell>
          <cell r="R179">
            <v>0</v>
          </cell>
          <cell r="S179">
            <v>688.5</v>
          </cell>
          <cell r="T179">
            <v>0</v>
          </cell>
          <cell r="U179">
            <v>0</v>
          </cell>
          <cell r="V179">
            <v>0</v>
          </cell>
          <cell r="W179">
            <v>0</v>
          </cell>
          <cell r="X179">
            <v>416.54545454545456</v>
          </cell>
          <cell r="Y179">
            <v>175</v>
          </cell>
          <cell r="Z179">
            <v>241.54545454545456</v>
          </cell>
          <cell r="AA179">
            <v>0</v>
          </cell>
          <cell r="AB179">
            <v>0</v>
          </cell>
          <cell r="AC179">
            <v>179.90909090909091</v>
          </cell>
          <cell r="AD179">
            <v>73</v>
          </cell>
          <cell r="AE179">
            <v>106.90909090909091</v>
          </cell>
          <cell r="AF179">
            <v>157.90909090909091</v>
          </cell>
          <cell r="AG179">
            <v>157.90909090909091</v>
          </cell>
          <cell r="AH179">
            <v>0</v>
          </cell>
          <cell r="AJ179">
            <v>0</v>
          </cell>
          <cell r="AK179">
            <v>-1272.236272727273</v>
          </cell>
          <cell r="AO179">
            <v>350</v>
          </cell>
          <cell r="AP179">
            <v>315</v>
          </cell>
          <cell r="AQ179">
            <v>0</v>
          </cell>
          <cell r="AR179">
            <v>14</v>
          </cell>
        </row>
        <row r="180">
          <cell r="F180">
            <v>0</v>
          </cell>
          <cell r="P180">
            <v>-107</v>
          </cell>
          <cell r="Q180">
            <v>0</v>
          </cell>
          <cell r="R180">
            <v>0</v>
          </cell>
          <cell r="S180">
            <v>-76.333333333333329</v>
          </cell>
          <cell r="T180">
            <v>13.666666666666666</v>
          </cell>
          <cell r="U180">
            <v>0</v>
          </cell>
          <cell r="V180">
            <v>0</v>
          </cell>
          <cell r="W180">
            <v>0</v>
          </cell>
          <cell r="X180">
            <v>623</v>
          </cell>
          <cell r="AA180">
            <v>0</v>
          </cell>
          <cell r="AB180">
            <v>0</v>
          </cell>
          <cell r="AC180">
            <v>13.333333333333334</v>
          </cell>
          <cell r="AF180">
            <v>1</v>
          </cell>
          <cell r="AG180">
            <v>1</v>
          </cell>
          <cell r="AH180">
            <v>0</v>
          </cell>
          <cell r="AI180" t="e">
            <v>#REF!</v>
          </cell>
          <cell r="AJ180">
            <v>0</v>
          </cell>
          <cell r="AK180">
            <v>7665.7360636363592</v>
          </cell>
          <cell r="AM180">
            <v>509</v>
          </cell>
          <cell r="AN180">
            <v>218</v>
          </cell>
          <cell r="AO180">
            <v>267</v>
          </cell>
          <cell r="AP180">
            <v>349</v>
          </cell>
          <cell r="AQ180">
            <v>-107</v>
          </cell>
          <cell r="AR180">
            <v>-55</v>
          </cell>
        </row>
        <row r="181">
          <cell r="F181">
            <v>9095</v>
          </cell>
          <cell r="P181">
            <v>676.66666666666652</v>
          </cell>
          <cell r="S181">
            <v>3680.4666666666681</v>
          </cell>
          <cell r="X181">
            <v>1136.003333333334</v>
          </cell>
          <cell r="AC181">
            <v>450.60000000000059</v>
          </cell>
          <cell r="AF181">
            <v>1854.0333333333331</v>
          </cell>
          <cell r="AG181">
            <v>1301</v>
          </cell>
          <cell r="AH181">
            <v>545.90000000000009</v>
          </cell>
          <cell r="AP181">
            <v>1507.2</v>
          </cell>
        </row>
        <row r="182">
          <cell r="F182">
            <v>6013</v>
          </cell>
          <cell r="P182">
            <v>478.66666666666606</v>
          </cell>
          <cell r="S182">
            <v>4076.6666666666688</v>
          </cell>
          <cell r="X182">
            <v>534.33333333333678</v>
          </cell>
          <cell r="AC182">
            <v>554.33333333333053</v>
          </cell>
          <cell r="AF182">
            <v>1865.0333333333331</v>
          </cell>
          <cell r="AG182">
            <v>1889.3999999999996</v>
          </cell>
          <cell r="AH182">
            <v>376.63333333333327</v>
          </cell>
          <cell r="AO182" t="str">
            <v>ОЧИК.18.02.</v>
          </cell>
          <cell r="AP182">
            <v>1507.2</v>
          </cell>
        </row>
        <row r="183">
          <cell r="F183">
            <v>8205</v>
          </cell>
          <cell r="P183">
            <v>848.19999999999959</v>
          </cell>
          <cell r="S183">
            <v>5161.6000000000004</v>
          </cell>
          <cell r="X183">
            <v>904.30000000000064</v>
          </cell>
          <cell r="AC183">
            <v>505.53333333333126</v>
          </cell>
          <cell r="AF183">
            <v>1767.9999999999995</v>
          </cell>
          <cell r="AG183">
            <v>1862</v>
          </cell>
          <cell r="AH183">
            <v>-289</v>
          </cell>
          <cell r="AN183">
            <v>1507.2</v>
          </cell>
          <cell r="AO183" t="str">
            <v>ОЧИК.18.02.</v>
          </cell>
          <cell r="AP183">
            <v>1507.2</v>
          </cell>
        </row>
        <row r="184">
          <cell r="AM184" t="str">
            <v>ОЧИК.18.02.</v>
          </cell>
          <cell r="AO184" t="str">
            <v>ОЧИК.18.02.</v>
          </cell>
        </row>
        <row r="185">
          <cell r="F185" t="str">
            <v>АПАРАТ ВСЬОГО</v>
          </cell>
          <cell r="G185" t="str">
            <v>АПАРАТ ЕЛЕКТРО</v>
          </cell>
          <cell r="H185" t="str">
            <v>АПАРАТ ТЕПЛО</v>
          </cell>
          <cell r="P185" t="str">
            <v>ККМ</v>
          </cell>
          <cell r="S185" t="str">
            <v>КТМ</v>
          </cell>
          <cell r="X185" t="str">
            <v>ТЕЦ-5 ВСЬОГО</v>
          </cell>
          <cell r="Y185" t="str">
            <v>Е/Е</v>
          </cell>
          <cell r="Z185" t="str">
            <v xml:space="preserve"> Т/Е</v>
          </cell>
          <cell r="AC185" t="str">
            <v>ТЕЦ-6 ВСЬОГО</v>
          </cell>
          <cell r="AD185" t="str">
            <v>Е/Е</v>
          </cell>
          <cell r="AE185" t="str">
            <v xml:space="preserve"> Т/Е</v>
          </cell>
          <cell r="AF185" t="str">
            <v>Е/Е</v>
          </cell>
          <cell r="AG185" t="str">
            <v xml:space="preserve"> Т/Е</v>
          </cell>
          <cell r="AJ185" t="str">
            <v>ДОП.ВИР. СТ.ОРГ.</v>
          </cell>
          <cell r="AK185" t="str">
            <v>АК КЕ ВСЬОГО</v>
          </cell>
          <cell r="AL185" t="str">
            <v>Е/Е</v>
          </cell>
          <cell r="AM185" t="str">
            <v xml:space="preserve"> Т/Е</v>
          </cell>
          <cell r="AO185" t="str">
            <v>СТАНЦІї ЕЛЕКТРО</v>
          </cell>
          <cell r="AP185" t="str">
            <v>СТАНЦІІ ТЕПЛОВІ</v>
          </cell>
          <cell r="AQ185" t="str">
            <v>МЕРЕЖІ ЕЛЕКТРО</v>
          </cell>
          <cell r="AR185" t="str">
            <v>МЕРЕЖІ ТЕПЛОВІ</v>
          </cell>
        </row>
        <row r="186">
          <cell r="F186" t="str">
            <v>АПАРАТ ВСЬОГО</v>
          </cell>
          <cell r="G186" t="str">
            <v>АПАРАТ ЕЛЕКТРО</v>
          </cell>
          <cell r="H186" t="str">
            <v>АПАРАТ ТЕПЛО</v>
          </cell>
          <cell r="P186" t="str">
            <v>ККМ</v>
          </cell>
          <cell r="S186" t="str">
            <v>КТМ</v>
          </cell>
          <cell r="X186" t="str">
            <v>ТЕЦ-5 ВСЬОГО</v>
          </cell>
          <cell r="Y186" t="str">
            <v>Е/Е</v>
          </cell>
          <cell r="Z186" t="str">
            <v xml:space="preserve"> Т/Е</v>
          </cell>
          <cell r="AC186" t="str">
            <v>ТЕЦ-6 ВСЬОГО</v>
          </cell>
          <cell r="AD186" t="str">
            <v>Е/Е</v>
          </cell>
          <cell r="AE186" t="str">
            <v xml:space="preserve"> Т/Е</v>
          </cell>
          <cell r="AF186" t="str">
            <v>Е/Е</v>
          </cell>
          <cell r="AG186" t="str">
            <v xml:space="preserve"> Т/Е</v>
          </cell>
          <cell r="AJ186" t="str">
            <v>ДОП.ВИР. СТ.ОРГ.</v>
          </cell>
          <cell r="AK186" t="str">
            <v>АК КЕ ВСЬОГО</v>
          </cell>
          <cell r="AL186" t="str">
            <v>Е/Е</v>
          </cell>
          <cell r="AM186" t="str">
            <v xml:space="preserve"> Т/Е</v>
          </cell>
          <cell r="AO186" t="str">
            <v>СТАНЦІї ЕЛЕКТРО</v>
          </cell>
          <cell r="AP186" t="str">
            <v>СТАНЦІІ ТЕПЛОВІ</v>
          </cell>
          <cell r="AQ186" t="str">
            <v>МЕРЕЖІ ЕЛЕКТРО</v>
          </cell>
          <cell r="AR186" t="str">
            <v>МЕРЕЖІ ТЕПЛОВІ</v>
          </cell>
        </row>
        <row r="187">
          <cell r="F187" t="str">
            <v>АПАРАТ ВСЬОГО</v>
          </cell>
          <cell r="G187" t="str">
            <v>АПАРАТ ЕЛЕКТРО</v>
          </cell>
          <cell r="H187" t="str">
            <v>АПАРАТ ТЕПЛО</v>
          </cell>
          <cell r="P187" t="str">
            <v>ККМ</v>
          </cell>
          <cell r="S187" t="str">
            <v>КТМ</v>
          </cell>
          <cell r="X187" t="str">
            <v>ТЕЦ-5 ВСЬОГО</v>
          </cell>
          <cell r="Y187" t="str">
            <v>Е/Е</v>
          </cell>
          <cell r="Z187" t="str">
            <v xml:space="preserve"> Т/Е</v>
          </cell>
          <cell r="AC187" t="str">
            <v>ТЕЦ-6 ВСЬОГО</v>
          </cell>
          <cell r="AD187" t="str">
            <v>Е/Е</v>
          </cell>
          <cell r="AE187" t="str">
            <v xml:space="preserve"> Т/Е</v>
          </cell>
          <cell r="AF187" t="str">
            <v>Е/Е</v>
          </cell>
          <cell r="AG187" t="str">
            <v xml:space="preserve"> Т/Е</v>
          </cell>
          <cell r="AI187" t="str">
            <v>АК КЕ ВСЬОГО</v>
          </cell>
          <cell r="AJ187" t="str">
            <v>ДОП.ВИР. СТ.ОРГ.</v>
          </cell>
          <cell r="AK187" t="str">
            <v>АК КЕ ВСЬОГО</v>
          </cell>
          <cell r="AL187" t="str">
            <v>Е/Е</v>
          </cell>
          <cell r="AM187" t="str">
            <v xml:space="preserve"> Т/Е</v>
          </cell>
          <cell r="AN187" t="str">
            <v>СТАНЦІІ ТЕПЛОВІ</v>
          </cell>
          <cell r="AO187" t="str">
            <v>СТАНЦІї ЕЛЕКТРО</v>
          </cell>
          <cell r="AP187" t="str">
            <v>СТАНЦІІ ТЕПЛОВІ</v>
          </cell>
          <cell r="AQ187" t="str">
            <v>МЕРЕЖІ ЕЛЕКТРО</v>
          </cell>
          <cell r="AR187" t="str">
            <v>МЕРЕЖІ ТЕПЛОВІ</v>
          </cell>
        </row>
        <row r="188">
          <cell r="S188">
            <v>101.3</v>
          </cell>
          <cell r="X188">
            <v>116.9</v>
          </cell>
          <cell r="AC188">
            <v>111.7</v>
          </cell>
          <cell r="AK188">
            <v>329.90000000000003</v>
          </cell>
          <cell r="AO188">
            <v>221.49122807017542</v>
          </cell>
        </row>
        <row r="189">
          <cell r="S189">
            <v>116</v>
          </cell>
          <cell r="X189">
            <v>133.9</v>
          </cell>
          <cell r="AC189">
            <v>127.8</v>
          </cell>
          <cell r="AK189">
            <v>377.7</v>
          </cell>
          <cell r="AO189">
            <v>252.49999999999997</v>
          </cell>
        </row>
        <row r="190">
          <cell r="P190">
            <v>0</v>
          </cell>
          <cell r="S190">
            <v>0</v>
          </cell>
          <cell r="X190">
            <v>0</v>
          </cell>
          <cell r="AC190">
            <v>0</v>
          </cell>
          <cell r="AI190">
            <v>139.20000000000002</v>
          </cell>
          <cell r="AK190">
            <v>362.5</v>
          </cell>
          <cell r="AM190">
            <v>221.49122807017542</v>
          </cell>
          <cell r="AO190">
            <v>66</v>
          </cell>
        </row>
        <row r="191">
          <cell r="P191">
            <v>0</v>
          </cell>
          <cell r="S191">
            <v>192.5</v>
          </cell>
          <cell r="X191">
            <v>192.5</v>
          </cell>
          <cell r="AC191">
            <v>192.5</v>
          </cell>
          <cell r="AI191">
            <v>159.4</v>
          </cell>
          <cell r="AK191">
            <v>192.5</v>
          </cell>
          <cell r="AM191">
            <v>252.49999999999997</v>
          </cell>
          <cell r="AO191">
            <v>0</v>
          </cell>
        </row>
        <row r="192">
          <cell r="P192">
            <v>0</v>
          </cell>
          <cell r="S192">
            <v>19500</v>
          </cell>
          <cell r="X192">
            <v>22503</v>
          </cell>
          <cell r="AC192">
            <v>21502</v>
          </cell>
          <cell r="AK192">
            <v>63506</v>
          </cell>
          <cell r="AM192">
            <v>66</v>
          </cell>
          <cell r="AO192">
            <v>0</v>
          </cell>
        </row>
        <row r="193">
          <cell r="P193">
            <v>0</v>
          </cell>
          <cell r="S193">
            <v>192.5</v>
          </cell>
          <cell r="X193">
            <v>192.5</v>
          </cell>
          <cell r="AC193">
            <v>192.5</v>
          </cell>
          <cell r="AI193">
            <v>192.5</v>
          </cell>
          <cell r="AK193">
            <v>63505</v>
          </cell>
          <cell r="AM193">
            <v>0</v>
          </cell>
          <cell r="AO193">
            <v>0</v>
          </cell>
        </row>
        <row r="194">
          <cell r="S194">
            <v>21522</v>
          </cell>
          <cell r="X194">
            <v>0</v>
          </cell>
          <cell r="AC194">
            <v>0</v>
          </cell>
          <cell r="AI194">
            <v>26797</v>
          </cell>
          <cell r="AK194">
            <v>0</v>
          </cell>
          <cell r="AM194">
            <v>0</v>
          </cell>
          <cell r="AO194">
            <v>0</v>
          </cell>
        </row>
        <row r="195">
          <cell r="X195">
            <v>0</v>
          </cell>
          <cell r="AC195">
            <v>0</v>
          </cell>
          <cell r="AI195">
            <v>26797</v>
          </cell>
          <cell r="AK195">
            <v>0</v>
          </cell>
        </row>
        <row r="196">
          <cell r="X196">
            <v>82.5</v>
          </cell>
          <cell r="AC196">
            <v>82.5</v>
          </cell>
          <cell r="AI196">
            <v>0</v>
          </cell>
          <cell r="AK196">
            <v>0</v>
          </cell>
        </row>
        <row r="197">
          <cell r="X197">
            <v>0</v>
          </cell>
          <cell r="AC197">
            <v>0</v>
          </cell>
          <cell r="AI197">
            <v>0</v>
          </cell>
          <cell r="AK197">
            <v>0</v>
          </cell>
        </row>
        <row r="198">
          <cell r="S198">
            <v>0</v>
          </cell>
          <cell r="X198">
            <v>0</v>
          </cell>
          <cell r="AC198">
            <v>0</v>
          </cell>
          <cell r="AK198">
            <v>0</v>
          </cell>
        </row>
        <row r="199">
          <cell r="S199">
            <v>0</v>
          </cell>
          <cell r="X199">
            <v>0</v>
          </cell>
          <cell r="AC199">
            <v>0</v>
          </cell>
          <cell r="AI199">
            <v>0</v>
          </cell>
          <cell r="AK199">
            <v>0</v>
          </cell>
        </row>
        <row r="200">
          <cell r="S200">
            <v>0</v>
          </cell>
          <cell r="X200">
            <v>4.0999999999999996</v>
          </cell>
          <cell r="AC200">
            <v>4.2</v>
          </cell>
          <cell r="AI200">
            <v>0</v>
          </cell>
          <cell r="AK200">
            <v>8.3000000000000007</v>
          </cell>
          <cell r="AO200">
            <v>75.839416058394164</v>
          </cell>
        </row>
        <row r="201">
          <cell r="X201">
            <v>5.7</v>
          </cell>
          <cell r="AC201">
            <v>5.9</v>
          </cell>
          <cell r="AD201">
            <v>5</v>
          </cell>
          <cell r="AE201">
            <v>7</v>
          </cell>
          <cell r="AK201">
            <v>11.600000000000001</v>
          </cell>
          <cell r="AO201">
            <v>103.9</v>
          </cell>
        </row>
        <row r="202">
          <cell r="F202">
            <v>75</v>
          </cell>
          <cell r="X202">
            <v>7</v>
          </cell>
          <cell r="AC202">
            <v>7</v>
          </cell>
          <cell r="AI202">
            <v>0</v>
          </cell>
          <cell r="AJ202">
            <v>0</v>
          </cell>
          <cell r="AK202">
            <v>0</v>
          </cell>
          <cell r="AM202">
            <v>75.839416058394164</v>
          </cell>
          <cell r="AO202" t="e">
            <v>#DIV/0!</v>
          </cell>
          <cell r="AR202">
            <v>75</v>
          </cell>
        </row>
        <row r="203">
          <cell r="F203">
            <v>75</v>
          </cell>
          <cell r="S203">
            <v>601.41999999999996</v>
          </cell>
          <cell r="X203">
            <v>601.41999999999996</v>
          </cell>
          <cell r="AC203">
            <v>601.41999999999996</v>
          </cell>
          <cell r="AI203">
            <v>0</v>
          </cell>
          <cell r="AJ203">
            <v>0</v>
          </cell>
          <cell r="AK203">
            <v>601.41999999999996</v>
          </cell>
          <cell r="AM203">
            <v>103.9</v>
          </cell>
          <cell r="AO203">
            <v>195.28</v>
          </cell>
          <cell r="AR203">
            <v>75</v>
          </cell>
        </row>
        <row r="204">
          <cell r="F204">
            <v>75</v>
          </cell>
          <cell r="P204">
            <v>75</v>
          </cell>
          <cell r="S204">
            <v>0</v>
          </cell>
          <cell r="X204">
            <v>2466</v>
          </cell>
          <cell r="AC204">
            <v>2526</v>
          </cell>
          <cell r="AJ204">
            <v>0</v>
          </cell>
          <cell r="AK204">
            <v>4992</v>
          </cell>
          <cell r="AM204" t="e">
            <v>#DIV/0!</v>
          </cell>
          <cell r="AO204">
            <v>14810</v>
          </cell>
          <cell r="AP204">
            <v>75</v>
          </cell>
          <cell r="AR204">
            <v>75</v>
          </cell>
        </row>
        <row r="205">
          <cell r="S205">
            <v>675</v>
          </cell>
          <cell r="X205">
            <v>675</v>
          </cell>
          <cell r="AC205">
            <v>601.41999999999996</v>
          </cell>
          <cell r="AI205">
            <v>385</v>
          </cell>
          <cell r="AK205">
            <v>4992</v>
          </cell>
          <cell r="AM205">
            <v>195.28</v>
          </cell>
          <cell r="AO205">
            <v>195.28</v>
          </cell>
        </row>
        <row r="206">
          <cell r="S206">
            <v>116</v>
          </cell>
          <cell r="X206">
            <v>139.6</v>
          </cell>
          <cell r="Y206">
            <v>58</v>
          </cell>
          <cell r="Z206">
            <v>81.600000000000009</v>
          </cell>
          <cell r="AC206">
            <v>133.69999999999999</v>
          </cell>
          <cell r="AD206">
            <v>61.1</v>
          </cell>
          <cell r="AE206">
            <v>72.599999999999994</v>
          </cell>
          <cell r="AI206">
            <v>0</v>
          </cell>
          <cell r="AK206">
            <v>389.3</v>
          </cell>
          <cell r="AL206">
            <v>119.1</v>
          </cell>
          <cell r="AM206">
            <v>270.2</v>
          </cell>
          <cell r="AO206">
            <v>356.4</v>
          </cell>
          <cell r="AP206">
            <v>74.900000000000006</v>
          </cell>
          <cell r="AQ206">
            <v>281.5</v>
          </cell>
        </row>
        <row r="207">
          <cell r="S207">
            <v>19500</v>
          </cell>
          <cell r="X207">
            <v>24969</v>
          </cell>
          <cell r="Y207">
            <v>11255</v>
          </cell>
          <cell r="Z207">
            <v>13714</v>
          </cell>
          <cell r="AA207">
            <v>13714</v>
          </cell>
          <cell r="AC207">
            <v>24028</v>
          </cell>
          <cell r="AD207">
            <v>11813</v>
          </cell>
          <cell r="AE207">
            <v>12215</v>
          </cell>
          <cell r="AI207">
            <v>0</v>
          </cell>
          <cell r="AK207">
            <v>68498</v>
          </cell>
          <cell r="AL207">
            <v>23068</v>
          </cell>
          <cell r="AM207">
            <v>45429</v>
          </cell>
          <cell r="AO207">
            <v>14810</v>
          </cell>
          <cell r="AP207">
            <v>3112.427048260382</v>
          </cell>
          <cell r="AQ207">
            <v>11697.572951739618</v>
          </cell>
        </row>
        <row r="208">
          <cell r="S208">
            <v>168.1</v>
          </cell>
          <cell r="X208">
            <v>178.86</v>
          </cell>
          <cell r="Y208">
            <v>194.05</v>
          </cell>
          <cell r="Z208">
            <v>168.06</v>
          </cell>
          <cell r="AA208">
            <v>6597</v>
          </cell>
          <cell r="AC208">
            <v>179.72</v>
          </cell>
          <cell r="AD208">
            <v>193.34</v>
          </cell>
          <cell r="AE208">
            <v>168.25</v>
          </cell>
          <cell r="AI208">
            <v>159.4</v>
          </cell>
          <cell r="AJ208">
            <v>0</v>
          </cell>
          <cell r="AK208">
            <v>175.95</v>
          </cell>
          <cell r="AL208">
            <v>193.69</v>
          </cell>
          <cell r="AM208">
            <v>168.13</v>
          </cell>
          <cell r="AN208">
            <v>74.900000000000006</v>
          </cell>
          <cell r="AO208">
            <v>41.55</v>
          </cell>
          <cell r="AP208">
            <v>41.55</v>
          </cell>
          <cell r="AQ208">
            <v>41.55</v>
          </cell>
          <cell r="AR208">
            <v>0</v>
          </cell>
        </row>
        <row r="209">
          <cell r="S209">
            <v>21522</v>
          </cell>
          <cell r="X209">
            <v>25680</v>
          </cell>
          <cell r="Y209">
            <v>10797</v>
          </cell>
          <cell r="Z209">
            <v>14883</v>
          </cell>
          <cell r="AA209">
            <v>14883</v>
          </cell>
          <cell r="AC209">
            <v>22580</v>
          </cell>
          <cell r="AD209">
            <v>9180</v>
          </cell>
          <cell r="AE209">
            <v>13400</v>
          </cell>
          <cell r="AI209">
            <v>26797</v>
          </cell>
          <cell r="AJ209">
            <v>0</v>
          </cell>
          <cell r="AK209">
            <v>69781</v>
          </cell>
          <cell r="AL209">
            <v>19977</v>
          </cell>
          <cell r="AM209">
            <v>0</v>
          </cell>
          <cell r="AN209">
            <v>3112.427048260382</v>
          </cell>
          <cell r="AO209">
            <v>52</v>
          </cell>
          <cell r="AP209">
            <v>52</v>
          </cell>
          <cell r="AQ209">
            <v>11697.572951739618</v>
          </cell>
          <cell r="AR209">
            <v>0</v>
          </cell>
        </row>
        <row r="210">
          <cell r="S210">
            <v>168.14</v>
          </cell>
          <cell r="X210">
            <v>24969</v>
          </cell>
          <cell r="Y210">
            <v>168.18</v>
          </cell>
          <cell r="Z210">
            <v>168.17</v>
          </cell>
          <cell r="AC210">
            <v>24028</v>
          </cell>
          <cell r="AD210">
            <v>168.13</v>
          </cell>
          <cell r="AE210">
            <v>168.13</v>
          </cell>
          <cell r="AI210">
            <v>168.11</v>
          </cell>
          <cell r="AJ210">
            <v>0</v>
          </cell>
          <cell r="AK210">
            <v>68498</v>
          </cell>
          <cell r="AL210">
            <v>23068</v>
          </cell>
          <cell r="AM210">
            <v>45430</v>
          </cell>
          <cell r="AN210">
            <v>41.55</v>
          </cell>
          <cell r="AO210">
            <v>14862</v>
          </cell>
          <cell r="AP210">
            <v>3164.427048260382</v>
          </cell>
          <cell r="AQ210">
            <v>11697.572951739618</v>
          </cell>
          <cell r="AR210">
            <v>0</v>
          </cell>
        </row>
        <row r="211">
          <cell r="X211">
            <v>15982</v>
          </cell>
          <cell r="AC211">
            <v>15481</v>
          </cell>
          <cell r="AK211">
            <v>41877</v>
          </cell>
          <cell r="AL211">
            <v>16729</v>
          </cell>
          <cell r="AM211">
            <v>0</v>
          </cell>
          <cell r="AN211">
            <v>52</v>
          </cell>
          <cell r="AO211">
            <v>52</v>
          </cell>
          <cell r="AP211">
            <v>52</v>
          </cell>
          <cell r="AQ211">
            <v>11697.572951739618</v>
          </cell>
        </row>
        <row r="212">
          <cell r="X212">
            <v>25680</v>
          </cell>
          <cell r="AC212">
            <v>22580</v>
          </cell>
          <cell r="AI212">
            <v>26797</v>
          </cell>
          <cell r="AJ212">
            <v>15717</v>
          </cell>
          <cell r="AK212">
            <v>69781</v>
          </cell>
          <cell r="AL212">
            <v>19977</v>
          </cell>
          <cell r="AM212">
            <v>49804</v>
          </cell>
          <cell r="AN212">
            <v>3164.427048260382</v>
          </cell>
          <cell r="AO212">
            <v>14862</v>
          </cell>
          <cell r="AP212">
            <v>3164.427048260382</v>
          </cell>
          <cell r="AQ212">
            <v>11697.572951739618</v>
          </cell>
        </row>
        <row r="220">
          <cell r="G220" t="str">
            <v>Б.В.ЯЩЕНКО</v>
          </cell>
        </row>
        <row r="221">
          <cell r="G221" t="str">
            <v>Б.В.ЯЩЕНКО</v>
          </cell>
        </row>
        <row r="222">
          <cell r="G222" t="str">
            <v>М.В.ТЕРПИЛО</v>
          </cell>
        </row>
        <row r="223">
          <cell r="G223" t="str">
            <v xml:space="preserve">В.І.МИРГОРОДСЬКИЙ                                  </v>
          </cell>
          <cell r="AN223">
            <v>1507.2</v>
          </cell>
        </row>
        <row r="224">
          <cell r="G224" t="str">
            <v xml:space="preserve">М.І.ШЕВЧЕНКО                                 </v>
          </cell>
        </row>
        <row r="225">
          <cell r="G225" t="str">
            <v>В.Ю.МОНТЬЕВ</v>
          </cell>
        </row>
        <row r="226">
          <cell r="G226" t="str">
            <v xml:space="preserve">О.М.НИКОЛЕНКО      </v>
          </cell>
        </row>
        <row r="229">
          <cell r="AP229">
            <v>1507.2</v>
          </cell>
        </row>
        <row r="230">
          <cell r="AP230">
            <v>1507.2</v>
          </cell>
        </row>
        <row r="238">
          <cell r="AG238" t="str">
            <v xml:space="preserve">         Затверджую</v>
          </cell>
        </row>
        <row r="239">
          <cell r="AG239" t="str">
            <v xml:space="preserve"> Голова правління </v>
          </cell>
        </row>
        <row r="240">
          <cell r="AG240" t="str">
            <v xml:space="preserve">                        І.В.Плачков</v>
          </cell>
        </row>
        <row r="241">
          <cell r="AG241" t="str">
            <v xml:space="preserve">   "_____" ________2000 р.</v>
          </cell>
        </row>
        <row r="244">
          <cell r="AG244" t="str">
            <v xml:space="preserve">         Затверджую</v>
          </cell>
        </row>
        <row r="245">
          <cell r="F245" t="str">
            <v>РОЗРАХУНОК ФІНАНСОВИХ ПОТОКІВ НА   березень  2000 року</v>
          </cell>
          <cell r="AG245" t="str">
            <v xml:space="preserve">         Затверджую</v>
          </cell>
        </row>
        <row r="246">
          <cell r="F246" t="str">
            <v>ПО ФІЛІАЛАХ АК КИЇВЕНЕРГО</v>
          </cell>
          <cell r="AG246" t="str">
            <v xml:space="preserve"> Голова правління </v>
          </cell>
        </row>
        <row r="247">
          <cell r="AG247" t="str">
            <v xml:space="preserve">                        І.В.Плачков</v>
          </cell>
        </row>
        <row r="248">
          <cell r="AG248" t="str">
            <v xml:space="preserve">   "_____" ________2000 р.</v>
          </cell>
        </row>
        <row r="251">
          <cell r="F251" t="str">
            <v>РОЗРАХУНОК ФІНАНСОВИХ ПОТОКІВ НА   березень  2000 року</v>
          </cell>
          <cell r="AI251" t="str">
            <v>тис.грн.</v>
          </cell>
        </row>
        <row r="252">
          <cell r="F252" t="str">
            <v>РОЗРАХУНОК ФІНАНСОВИХ ПОТОКІВ НА   березень  2000 року</v>
          </cell>
          <cell r="G252" t="str">
            <v>АПАРАТ ЕЛЕКТРО</v>
          </cell>
          <cell r="H252" t="str">
            <v>АПАРАТ ТЕПЛО</v>
          </cell>
          <cell r="P252" t="str">
            <v>КМ</v>
          </cell>
          <cell r="Q252" t="str">
            <v>ТМ</v>
          </cell>
          <cell r="S252" t="str">
            <v>КТМ</v>
          </cell>
          <cell r="T252" t="str">
            <v>ВИРОБН</v>
          </cell>
          <cell r="U252" t="str">
            <v>ПЕРЕД</v>
          </cell>
          <cell r="X252" t="str">
            <v>ТЕЦ-5 ВСЬОГО</v>
          </cell>
          <cell r="Y252" t="str">
            <v>Е/Е</v>
          </cell>
          <cell r="Z252" t="str">
            <v xml:space="preserve"> Т/Е</v>
          </cell>
          <cell r="AC252" t="str">
            <v>ТЕЦ-6 ВСЬОГО</v>
          </cell>
          <cell r="AD252" t="str">
            <v>Е/Е</v>
          </cell>
          <cell r="AE252" t="str">
            <v xml:space="preserve"> Т/Е</v>
          </cell>
          <cell r="AF252" t="str">
            <v>ТРМ ВСЬОГО</v>
          </cell>
          <cell r="AG252" t="str">
            <v>ТРМ  АК КЕ</v>
          </cell>
          <cell r="AH252" t="str">
            <v>ТРМ СТОР</v>
          </cell>
          <cell r="AI252" t="str">
            <v>АК КЕ осн.вир.</v>
          </cell>
          <cell r="AJ252" t="str">
            <v>АК КЕ ВСЬОГО</v>
          </cell>
          <cell r="AK252" t="str">
            <v xml:space="preserve"> Т/Е</v>
          </cell>
          <cell r="AM252" t="str">
            <v>СТАНЦІї ЕЛЕКТРО</v>
          </cell>
          <cell r="AN252" t="str">
            <v>СТАНЦІІ ТЕПЛОВІ</v>
          </cell>
          <cell r="AO252" t="str">
            <v>МЕРЕЖІ ЕЛЕКТРО</v>
          </cell>
          <cell r="AP252" t="str">
            <v>МЕРЕЖІ ТЕПЛОВІ</v>
          </cell>
        </row>
        <row r="253">
          <cell r="F253" t="str">
            <v>ПО ФІЛІАЛАХ АК КИЇВЕНЕРГО</v>
          </cell>
          <cell r="P253">
            <v>3631.1559999999999</v>
          </cell>
          <cell r="S253">
            <v>9526.8578787878778</v>
          </cell>
          <cell r="X253">
            <v>2672.4863636363625</v>
          </cell>
          <cell r="AC253">
            <v>1389.1963636363635</v>
          </cell>
          <cell r="AF253">
            <v>4185.9539393939394</v>
          </cell>
          <cell r="AG253">
            <v>3391.2</v>
          </cell>
          <cell r="AH253">
            <v>794.7539393939395</v>
          </cell>
          <cell r="AI253">
            <v>27896.847545454541</v>
          </cell>
        </row>
        <row r="255">
          <cell r="F255" t="e">
            <v>#REF!</v>
          </cell>
          <cell r="G255">
            <v>2614</v>
          </cell>
          <cell r="H255">
            <v>3572.1970000000001</v>
          </cell>
          <cell r="P255">
            <v>3631.1559999999999</v>
          </cell>
          <cell r="Q255">
            <v>0</v>
          </cell>
          <cell r="R255">
            <v>0</v>
          </cell>
          <cell r="S255">
            <v>9526.8578787878778</v>
          </cell>
          <cell r="T255">
            <v>2010.6708606060602</v>
          </cell>
          <cell r="U255">
            <v>2621.0370181818184</v>
          </cell>
          <cell r="V255">
            <v>0</v>
          </cell>
          <cell r="W255">
            <v>0</v>
          </cell>
          <cell r="X255">
            <v>2672.4863636363625</v>
          </cell>
          <cell r="Y255">
            <v>1687</v>
          </cell>
          <cell r="Z255">
            <v>695.48636363636342</v>
          </cell>
          <cell r="AA255">
            <v>0</v>
          </cell>
          <cell r="AB255">
            <v>0</v>
          </cell>
          <cell r="AC255">
            <v>1389.1963636363635</v>
          </cell>
          <cell r="AD255">
            <v>683</v>
          </cell>
          <cell r="AE255">
            <v>621.19636363636255</v>
          </cell>
          <cell r="AF255">
            <v>4185.9539393939394</v>
          </cell>
          <cell r="AG255">
            <v>3391.2</v>
          </cell>
          <cell r="AH255">
            <v>794.7539393939395</v>
          </cell>
          <cell r="AI255" t="e">
            <v>#REF!</v>
          </cell>
          <cell r="AK255">
            <v>50607.25</v>
          </cell>
        </row>
        <row r="256">
          <cell r="F256" t="e">
            <v>#REF!</v>
          </cell>
          <cell r="G256">
            <v>2402</v>
          </cell>
          <cell r="H256">
            <v>3242.5</v>
          </cell>
          <cell r="P256">
            <v>1276.2359999999999</v>
          </cell>
          <cell r="S256">
            <v>5217.4833333333318</v>
          </cell>
          <cell r="T256">
            <v>1249.7813333333329</v>
          </cell>
          <cell r="U256">
            <v>1143.1520000000005</v>
          </cell>
          <cell r="X256">
            <v>1178.9999999999986</v>
          </cell>
          <cell r="Y256">
            <v>995</v>
          </cell>
          <cell r="Z256">
            <v>410.19999999999976</v>
          </cell>
          <cell r="AC256">
            <v>204.39999999999986</v>
          </cell>
          <cell r="AD256">
            <v>149</v>
          </cell>
          <cell r="AE256">
            <v>135.79999999999887</v>
          </cell>
          <cell r="AF256">
            <v>314.4666666666667</v>
          </cell>
          <cell r="AG256">
            <v>497.99999999999977</v>
          </cell>
          <cell r="AH256">
            <v>177.46666666666684</v>
          </cell>
          <cell r="AI256" t="e">
            <v>#REF!</v>
          </cell>
          <cell r="AK256" t="e">
            <v>#REF!</v>
          </cell>
        </row>
        <row r="257">
          <cell r="F257" t="e">
            <v>#REF!</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t="e">
            <v>#REF!</v>
          </cell>
          <cell r="AK257" t="str">
            <v>тис.грн.</v>
          </cell>
        </row>
        <row r="258">
          <cell r="F258" t="str">
            <v>ВИКОН.ДИР.</v>
          </cell>
          <cell r="G258" t="str">
            <v>АПАРАТ ЕЛЕКТРО</v>
          </cell>
          <cell r="H258" t="str">
            <v>АПАРАТ ТЕПЛО</v>
          </cell>
          <cell r="P258" t="str">
            <v>КМ</v>
          </cell>
          <cell r="Q258" t="str">
            <v>ТМ</v>
          </cell>
          <cell r="S258" t="str">
            <v>КТМ</v>
          </cell>
          <cell r="T258" t="str">
            <v>ВИРОБН</v>
          </cell>
          <cell r="U258" t="str">
            <v>ПЕРЕД</v>
          </cell>
          <cell r="X258" t="str">
            <v>ТЕЦ-5 ВСЬОГО</v>
          </cell>
          <cell r="Y258" t="str">
            <v>Е/Е</v>
          </cell>
          <cell r="Z258" t="str">
            <v xml:space="preserve"> Т/Е</v>
          </cell>
          <cell r="AC258" t="str">
            <v>ТЕЦ-6 ВСЬОГО</v>
          </cell>
          <cell r="AD258" t="str">
            <v>Е/Е</v>
          </cell>
          <cell r="AE258" t="str">
            <v xml:space="preserve"> Т/Е</v>
          </cell>
          <cell r="AF258" t="str">
            <v>ТРМ ВСЬОГО</v>
          </cell>
          <cell r="AG258" t="str">
            <v>ТРМ  АК КЕ</v>
          </cell>
          <cell r="AH258" t="str">
            <v>ТРМ СТОР</v>
          </cell>
          <cell r="AI258">
            <v>26797</v>
          </cell>
          <cell r="AJ258" t="str">
            <v>ДОП.ВИР. СТ.ОРГ.</v>
          </cell>
          <cell r="AK258" t="str">
            <v>тис.грн.</v>
          </cell>
          <cell r="AL258" t="str">
            <v>АК КЕ ВСЬОГО</v>
          </cell>
          <cell r="AM258" t="str">
            <v xml:space="preserve"> Т/Е</v>
          </cell>
          <cell r="AO258" t="str">
            <v>СТАНЦІї ЕЛЕКТРО</v>
          </cell>
          <cell r="AP258" t="str">
            <v>СТАНЦІІ ТЕПЛОВІ</v>
          </cell>
          <cell r="AQ258" t="str">
            <v>МЕРЕЖІ ЕЛЕКТРО</v>
          </cell>
          <cell r="AR258" t="str">
            <v>МЕРЕЖІ ТЕПЛОВІ</v>
          </cell>
        </row>
        <row r="259">
          <cell r="F259" t="str">
            <v>ВИКОН.ДИР.</v>
          </cell>
          <cell r="G259" t="str">
            <v>АПАРАТ ЕЛЕКТРО</v>
          </cell>
          <cell r="H259" t="str">
            <v>АПАРАТ ТЕПЛО</v>
          </cell>
          <cell r="P259" t="str">
            <v>КМ</v>
          </cell>
          <cell r="Q259" t="str">
            <v>ТМ</v>
          </cell>
          <cell r="S259" t="str">
            <v>КТМ</v>
          </cell>
          <cell r="T259" t="str">
            <v>ВИРОБН</v>
          </cell>
          <cell r="U259" t="str">
            <v>ПЕРЕД</v>
          </cell>
          <cell r="X259" t="str">
            <v>ТЕЦ-5 ВСЬОГО</v>
          </cell>
          <cell r="Y259" t="str">
            <v>Е/Е</v>
          </cell>
          <cell r="Z259" t="str">
            <v xml:space="preserve"> Т/Е</v>
          </cell>
          <cell r="AC259" t="str">
            <v>ТЕЦ-6 ВСЬОГО</v>
          </cell>
          <cell r="AD259" t="str">
            <v>Е/Е</v>
          </cell>
          <cell r="AE259" t="str">
            <v xml:space="preserve"> Т/Е</v>
          </cell>
          <cell r="AF259" t="str">
            <v>ТРМ ВСЬОГО</v>
          </cell>
          <cell r="AG259" t="str">
            <v>ТРМ  АК КЕ</v>
          </cell>
          <cell r="AH259" t="str">
            <v>ТРМ СТОР</v>
          </cell>
          <cell r="AI259">
            <v>5607</v>
          </cell>
          <cell r="AJ259" t="str">
            <v>ДОП.ВИР. СТ.ОРГ.</v>
          </cell>
          <cell r="AK259" t="str">
            <v>АК КЕ осн.вир.</v>
          </cell>
          <cell r="AL259" t="str">
            <v>АК КЕ ВСЬОГО</v>
          </cell>
          <cell r="AM259" t="str">
            <v xml:space="preserve"> Т/Е</v>
          </cell>
          <cell r="AO259" t="str">
            <v>СТАНЦІї ЕЛЕКТРО</v>
          </cell>
          <cell r="AP259" t="str">
            <v>СТАНЦІІ ТЕПЛОВІ</v>
          </cell>
          <cell r="AQ259" t="str">
            <v>МЕРЕЖІ ЕЛЕКТРО</v>
          </cell>
          <cell r="AR259" t="str">
            <v>МЕРЕЖІ ТЕПЛОВІ</v>
          </cell>
        </row>
        <row r="260">
          <cell r="F260">
            <v>4700</v>
          </cell>
          <cell r="P260">
            <v>3875.9166666666665</v>
          </cell>
          <cell r="Q260">
            <v>0</v>
          </cell>
          <cell r="R260">
            <v>0</v>
          </cell>
          <cell r="S260">
            <v>9516.0260606060619</v>
          </cell>
          <cell r="T260">
            <v>0</v>
          </cell>
          <cell r="U260">
            <v>0</v>
          </cell>
          <cell r="V260">
            <v>0</v>
          </cell>
          <cell r="W260">
            <v>0</v>
          </cell>
          <cell r="X260">
            <v>3231.389696969698</v>
          </cell>
          <cell r="Y260">
            <v>0</v>
          </cell>
          <cell r="Z260">
            <v>0</v>
          </cell>
          <cell r="AA260">
            <v>0</v>
          </cell>
          <cell r="AB260">
            <v>0</v>
          </cell>
          <cell r="AC260">
            <v>1662.8115151515158</v>
          </cell>
          <cell r="AD260">
            <v>0</v>
          </cell>
          <cell r="AE260">
            <v>0</v>
          </cell>
          <cell r="AF260">
            <v>4222.1842424242423</v>
          </cell>
          <cell r="AG260">
            <v>3452</v>
          </cell>
          <cell r="AH260">
            <v>770.05090909090904</v>
          </cell>
          <cell r="AI260" t="e">
            <v>#REF!</v>
          </cell>
          <cell r="AJ260">
            <v>7599</v>
          </cell>
          <cell r="AK260">
            <v>28662.328181818182</v>
          </cell>
        </row>
        <row r="261">
          <cell r="F261">
            <v>13558.857142857143</v>
          </cell>
          <cell r="G261">
            <v>1680.0409150901905</v>
          </cell>
          <cell r="H261">
            <v>3353.9590849098108</v>
          </cell>
          <cell r="P261">
            <v>5528.9166666666661</v>
          </cell>
          <cell r="Q261">
            <v>0</v>
          </cell>
          <cell r="R261">
            <v>0</v>
          </cell>
          <cell r="S261">
            <v>11148.516969696972</v>
          </cell>
          <cell r="T261">
            <v>4612.7199818181807</v>
          </cell>
          <cell r="U261">
            <v>3068.7969878787876</v>
          </cell>
          <cell r="V261">
            <v>0</v>
          </cell>
          <cell r="W261">
            <v>0</v>
          </cell>
          <cell r="X261">
            <v>3572.9196969697005</v>
          </cell>
          <cell r="Y261">
            <v>1788</v>
          </cell>
          <cell r="Z261">
            <v>1559.9196969696968</v>
          </cell>
          <cell r="AA261">
            <v>0</v>
          </cell>
          <cell r="AB261">
            <v>0</v>
          </cell>
          <cell r="AC261">
            <v>1815.6175757575729</v>
          </cell>
          <cell r="AD261">
            <v>666</v>
          </cell>
          <cell r="AE261">
            <v>979.61757575757656</v>
          </cell>
          <cell r="AF261">
            <v>5288.3842424242421</v>
          </cell>
          <cell r="AG261">
            <v>4487.3999999999996</v>
          </cell>
          <cell r="AH261">
            <v>801.98424242424232</v>
          </cell>
          <cell r="AI261">
            <v>721.80000000000007</v>
          </cell>
          <cell r="AJ261">
            <v>0</v>
          </cell>
          <cell r="AK261">
            <v>95584.228051948041</v>
          </cell>
          <cell r="AM261">
            <v>78593.25</v>
          </cell>
        </row>
        <row r="262">
          <cell r="F262">
            <v>15510.428571428572</v>
          </cell>
          <cell r="G262">
            <v>1851.9907526329307</v>
          </cell>
          <cell r="H262">
            <v>3986.0092473670693</v>
          </cell>
          <cell r="P262">
            <v>3875.9166666666665</v>
          </cell>
          <cell r="Q262">
            <v>0</v>
          </cell>
          <cell r="R262">
            <v>0</v>
          </cell>
          <cell r="S262">
            <v>9516.0260606060619</v>
          </cell>
          <cell r="T262">
            <v>4009.7854363636361</v>
          </cell>
          <cell r="U262">
            <v>2179.240624242424</v>
          </cell>
          <cell r="V262">
            <v>0</v>
          </cell>
          <cell r="W262">
            <v>0</v>
          </cell>
          <cell r="X262">
            <v>3231.389696969698</v>
          </cell>
          <cell r="Y262">
            <v>1133</v>
          </cell>
          <cell r="Z262">
            <v>1592.3896969696943</v>
          </cell>
          <cell r="AA262">
            <v>0</v>
          </cell>
          <cell r="AB262">
            <v>0</v>
          </cell>
          <cell r="AC262">
            <v>1662.8115151515158</v>
          </cell>
          <cell r="AD262">
            <v>571</v>
          </cell>
          <cell r="AE262">
            <v>676.81151515151578</v>
          </cell>
          <cell r="AF262">
            <v>4222.1842424242423</v>
          </cell>
          <cell r="AG262">
            <v>3452</v>
          </cell>
          <cell r="AH262">
            <v>770.05090909090904</v>
          </cell>
          <cell r="AI262">
            <v>0</v>
          </cell>
          <cell r="AJ262">
            <v>0</v>
          </cell>
          <cell r="AK262">
            <v>116430.57251082252</v>
          </cell>
          <cell r="AM262">
            <v>115933.25</v>
          </cell>
        </row>
        <row r="263">
          <cell r="F263">
            <v>9201.1285714285732</v>
          </cell>
          <cell r="G263">
            <v>1693.9907526329307</v>
          </cell>
          <cell r="H263">
            <v>3557.0092473670693</v>
          </cell>
          <cell r="P263">
            <v>1563</v>
          </cell>
          <cell r="Q263">
            <v>0</v>
          </cell>
          <cell r="R263">
            <v>0</v>
          </cell>
          <cell r="S263">
            <v>3562.133333333335</v>
          </cell>
          <cell r="T263">
            <v>3294.9799999999996</v>
          </cell>
          <cell r="U263">
            <v>761.95333333333315</v>
          </cell>
          <cell r="V263">
            <v>0</v>
          </cell>
          <cell r="W263">
            <v>0</v>
          </cell>
          <cell r="X263">
            <v>1892.0033333333345</v>
          </cell>
          <cell r="Y263">
            <v>746</v>
          </cell>
          <cell r="Z263">
            <v>1049.8033333333306</v>
          </cell>
          <cell r="AA263">
            <v>0</v>
          </cell>
          <cell r="AB263">
            <v>0</v>
          </cell>
          <cell r="AC263">
            <v>692.93333333333385</v>
          </cell>
          <cell r="AD263">
            <v>172</v>
          </cell>
          <cell r="AE263">
            <v>204.13333333333395</v>
          </cell>
          <cell r="AF263">
            <v>957.66666666666663</v>
          </cell>
          <cell r="AG263">
            <v>902.99999999999989</v>
          </cell>
          <cell r="AH263">
            <v>54.53333333333336</v>
          </cell>
          <cell r="AI263" t="e">
            <v>#REF!</v>
          </cell>
          <cell r="AJ263">
            <v>-2455</v>
          </cell>
          <cell r="AK263">
            <v>103667.68099567101</v>
          </cell>
          <cell r="AM263">
            <v>17399.198571428577</v>
          </cell>
        </row>
        <row r="264">
          <cell r="F264">
            <v>94803.728571428568</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3500</v>
          </cell>
          <cell r="AK264">
            <v>94803.728571428568</v>
          </cell>
        </row>
        <row r="265">
          <cell r="F265">
            <v>68497</v>
          </cell>
          <cell r="AI265">
            <v>0</v>
          </cell>
          <cell r="AK265">
            <v>68497</v>
          </cell>
        </row>
        <row r="266">
          <cell r="F266">
            <v>15510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538</v>
          </cell>
          <cell r="AK266">
            <v>15510</v>
          </cell>
        </row>
        <row r="267">
          <cell r="F267">
            <v>6694.7285714285717</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t="e">
            <v>#REF!</v>
          </cell>
          <cell r="AK267">
            <v>6694.7285714285717</v>
          </cell>
        </row>
        <row r="268">
          <cell r="F268">
            <v>413.3</v>
          </cell>
          <cell r="P268">
            <v>0</v>
          </cell>
          <cell r="S268">
            <v>0</v>
          </cell>
          <cell r="X268">
            <v>0</v>
          </cell>
          <cell r="AC268">
            <v>0</v>
          </cell>
          <cell r="AF268">
            <v>0</v>
          </cell>
          <cell r="AG268">
            <v>0</v>
          </cell>
          <cell r="AH268">
            <v>0</v>
          </cell>
          <cell r="AI268">
            <v>295</v>
          </cell>
          <cell r="AK268">
            <v>413.3</v>
          </cell>
        </row>
        <row r="269">
          <cell r="F269">
            <v>0</v>
          </cell>
          <cell r="P269">
            <v>3631.1559999999999</v>
          </cell>
          <cell r="Q269">
            <v>0</v>
          </cell>
          <cell r="R269">
            <v>0</v>
          </cell>
          <cell r="S269">
            <v>9526.8578787878778</v>
          </cell>
          <cell r="T269">
            <v>0</v>
          </cell>
          <cell r="U269">
            <v>0</v>
          </cell>
          <cell r="V269">
            <v>0</v>
          </cell>
          <cell r="W269">
            <v>0</v>
          </cell>
          <cell r="X269">
            <v>2672.4863636363625</v>
          </cell>
          <cell r="Y269">
            <v>0</v>
          </cell>
          <cell r="Z269">
            <v>0</v>
          </cell>
          <cell r="AA269">
            <v>0</v>
          </cell>
          <cell r="AB269">
            <v>0</v>
          </cell>
          <cell r="AC269">
            <v>1389.1963636363635</v>
          </cell>
          <cell r="AD269">
            <v>0</v>
          </cell>
          <cell r="AE269">
            <v>0</v>
          </cell>
          <cell r="AF269">
            <v>4185.9539393939394</v>
          </cell>
          <cell r="AG269">
            <v>3391.2</v>
          </cell>
          <cell r="AH269">
            <v>794.7539393939395</v>
          </cell>
          <cell r="AI269" t="e">
            <v>#REF!</v>
          </cell>
          <cell r="AK269">
            <v>0</v>
          </cell>
        </row>
        <row r="270">
          <cell r="F270">
            <v>1581.4285714285716</v>
          </cell>
          <cell r="P270">
            <v>1864.5200000000002</v>
          </cell>
          <cell r="Q270">
            <v>0</v>
          </cell>
          <cell r="R270">
            <v>0</v>
          </cell>
          <cell r="S270">
            <v>3624.1866666666665</v>
          </cell>
          <cell r="T270">
            <v>611.67619393939378</v>
          </cell>
          <cell r="U270">
            <v>622.76501818181805</v>
          </cell>
          <cell r="V270">
            <v>0</v>
          </cell>
          <cell r="W270">
            <v>0</v>
          </cell>
          <cell r="X270">
            <v>1667.4500000000003</v>
          </cell>
          <cell r="Y270">
            <v>790</v>
          </cell>
          <cell r="Z270">
            <v>326.08636363636373</v>
          </cell>
          <cell r="AA270">
            <v>0</v>
          </cell>
          <cell r="AB270">
            <v>0</v>
          </cell>
          <cell r="AC270">
            <v>821.09333333333336</v>
          </cell>
          <cell r="AD270">
            <v>205</v>
          </cell>
          <cell r="AE270">
            <v>186.72969696969702</v>
          </cell>
          <cell r="AF270">
            <v>2892.76</v>
          </cell>
          <cell r="AG270">
            <v>1914.2</v>
          </cell>
          <cell r="AH270">
            <v>617.55999999999995</v>
          </cell>
          <cell r="AI270">
            <v>13501.707000000002</v>
          </cell>
          <cell r="AK270">
            <v>1581.4285714285716</v>
          </cell>
        </row>
        <row r="271">
          <cell r="F271">
            <v>3500</v>
          </cell>
          <cell r="G271">
            <v>212</v>
          </cell>
          <cell r="H271">
            <v>329.697</v>
          </cell>
          <cell r="P271">
            <v>904.32</v>
          </cell>
          <cell r="S271">
            <v>1900.3199999999997</v>
          </cell>
          <cell r="T271">
            <v>598.00952727272715</v>
          </cell>
          <cell r="U271">
            <v>622.76501818181805</v>
          </cell>
          <cell r="X271">
            <v>643.65000000000009</v>
          </cell>
          <cell r="Y271">
            <v>288</v>
          </cell>
          <cell r="Z271">
            <v>119.28636363636366</v>
          </cell>
          <cell r="AC271">
            <v>537.76</v>
          </cell>
          <cell r="AD271">
            <v>198</v>
          </cell>
          <cell r="AE271">
            <v>180.39636363636367</v>
          </cell>
          <cell r="AF271">
            <v>1730.76</v>
          </cell>
          <cell r="AG271">
            <v>1429.2</v>
          </cell>
          <cell r="AH271">
            <v>301.55999999999995</v>
          </cell>
          <cell r="AI271">
            <v>6683.5069999999996</v>
          </cell>
          <cell r="AK271">
            <v>3500</v>
          </cell>
        </row>
        <row r="272">
          <cell r="F272">
            <v>0</v>
          </cell>
          <cell r="P272">
            <v>0</v>
          </cell>
          <cell r="Q272">
            <v>0</v>
          </cell>
          <cell r="R272">
            <v>0</v>
          </cell>
          <cell r="S272">
            <v>0</v>
          </cell>
          <cell r="T272">
            <v>13.666666666666666</v>
          </cell>
          <cell r="U272">
            <v>0</v>
          </cell>
          <cell r="V272">
            <v>0</v>
          </cell>
          <cell r="W272">
            <v>0</v>
          </cell>
          <cell r="X272">
            <v>0</v>
          </cell>
          <cell r="Y272">
            <v>502</v>
          </cell>
          <cell r="Z272">
            <v>206.80000000000007</v>
          </cell>
          <cell r="AA272">
            <v>0</v>
          </cell>
          <cell r="AB272">
            <v>0</v>
          </cell>
          <cell r="AC272">
            <v>0</v>
          </cell>
          <cell r="AD272">
            <v>7</v>
          </cell>
          <cell r="AE272">
            <v>6.3333333333333339</v>
          </cell>
          <cell r="AF272">
            <v>0</v>
          </cell>
          <cell r="AG272">
            <v>0</v>
          </cell>
          <cell r="AH272">
            <v>0</v>
          </cell>
          <cell r="AI272">
            <v>721.80000000000007</v>
          </cell>
          <cell r="AK272">
            <v>0</v>
          </cell>
        </row>
        <row r="273">
          <cell r="F273">
            <v>1200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4672</v>
          </cell>
          <cell r="AK273">
            <v>1200</v>
          </cell>
        </row>
        <row r="274">
          <cell r="F274">
            <v>4100</v>
          </cell>
          <cell r="P274">
            <v>0</v>
          </cell>
          <cell r="S274">
            <v>0</v>
          </cell>
          <cell r="X274">
            <v>0</v>
          </cell>
          <cell r="AC274">
            <v>0</v>
          </cell>
          <cell r="AF274">
            <v>0</v>
          </cell>
          <cell r="AG274">
            <v>0</v>
          </cell>
          <cell r="AH274">
            <v>0</v>
          </cell>
          <cell r="AI274">
            <v>1640</v>
          </cell>
          <cell r="AK274">
            <v>4100</v>
          </cell>
        </row>
        <row r="275">
          <cell r="F275">
            <v>2</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952</v>
          </cell>
          <cell r="AK275">
            <v>2</v>
          </cell>
        </row>
        <row r="276">
          <cell r="F276">
            <v>99503.728571428568</v>
          </cell>
          <cell r="P276">
            <v>3875.9166666666665</v>
          </cell>
          <cell r="Q276">
            <v>0</v>
          </cell>
          <cell r="R276">
            <v>0</v>
          </cell>
          <cell r="S276">
            <v>9516.0260606060619</v>
          </cell>
          <cell r="T276">
            <v>0</v>
          </cell>
          <cell r="U276">
            <v>0</v>
          </cell>
          <cell r="V276">
            <v>0</v>
          </cell>
          <cell r="W276">
            <v>0</v>
          </cell>
          <cell r="X276">
            <v>3231.389696969698</v>
          </cell>
          <cell r="Y276">
            <v>0</v>
          </cell>
          <cell r="Z276">
            <v>0</v>
          </cell>
          <cell r="AA276">
            <v>0</v>
          </cell>
          <cell r="AB276">
            <v>0</v>
          </cell>
          <cell r="AC276">
            <v>1662.8115151515158</v>
          </cell>
          <cell r="AD276">
            <v>0</v>
          </cell>
          <cell r="AE276">
            <v>0</v>
          </cell>
          <cell r="AF276">
            <v>4222.1842424242423</v>
          </cell>
          <cell r="AG276">
            <v>3452</v>
          </cell>
          <cell r="AH276">
            <v>770.05090909090904</v>
          </cell>
          <cell r="AI276">
            <v>1370</v>
          </cell>
          <cell r="AK276">
            <v>123466.05675324675</v>
          </cell>
        </row>
        <row r="277">
          <cell r="F277">
            <v>1796</v>
          </cell>
          <cell r="G277">
            <v>162</v>
          </cell>
          <cell r="H277">
            <v>425</v>
          </cell>
          <cell r="P277">
            <v>1861.9166666666667</v>
          </cell>
          <cell r="Q277">
            <v>0</v>
          </cell>
          <cell r="R277">
            <v>0</v>
          </cell>
          <cell r="S277">
            <v>5485.4866666666667</v>
          </cell>
          <cell r="T277">
            <v>568.47210303030295</v>
          </cell>
          <cell r="U277">
            <v>577.28729090909087</v>
          </cell>
          <cell r="V277">
            <v>0</v>
          </cell>
          <cell r="W277">
            <v>0</v>
          </cell>
          <cell r="X277">
            <v>1426.95</v>
          </cell>
          <cell r="Y277">
            <v>330</v>
          </cell>
          <cell r="Z277">
            <v>462.58636363636367</v>
          </cell>
          <cell r="AA277">
            <v>0</v>
          </cell>
          <cell r="AB277">
            <v>9</v>
          </cell>
          <cell r="AC277">
            <v>779.19333333333338</v>
          </cell>
          <cell r="AD277">
            <v>164</v>
          </cell>
          <cell r="AE277">
            <v>194.01151515151517</v>
          </cell>
          <cell r="AF277">
            <v>3257.9266666666667</v>
          </cell>
          <cell r="AG277">
            <v>2541.909090909091</v>
          </cell>
          <cell r="AH277">
            <v>716.01757575757574</v>
          </cell>
          <cell r="AI277">
            <v>710</v>
          </cell>
          <cell r="AK277">
            <v>15573.473333333333</v>
          </cell>
        </row>
        <row r="278">
          <cell r="F278">
            <v>587</v>
          </cell>
          <cell r="G278">
            <v>158</v>
          </cell>
          <cell r="H278">
            <v>429</v>
          </cell>
          <cell r="P278">
            <v>946.25</v>
          </cell>
          <cell r="Q278">
            <v>0</v>
          </cell>
          <cell r="R278">
            <v>0</v>
          </cell>
          <cell r="S278">
            <v>1561.82</v>
          </cell>
          <cell r="T278">
            <v>554.80543636363632</v>
          </cell>
          <cell r="U278">
            <v>577.28729090909087</v>
          </cell>
          <cell r="V278">
            <v>0</v>
          </cell>
          <cell r="W278">
            <v>0</v>
          </cell>
          <cell r="X278">
            <v>640.95000000000005</v>
          </cell>
          <cell r="Y278">
            <v>164</v>
          </cell>
          <cell r="Z278">
            <v>228.58636363636367</v>
          </cell>
          <cell r="AA278">
            <v>0</v>
          </cell>
          <cell r="AB278">
            <v>0</v>
          </cell>
          <cell r="AC278">
            <v>535.86</v>
          </cell>
          <cell r="AD278">
            <v>158</v>
          </cell>
          <cell r="AE278">
            <v>186.67818181818183</v>
          </cell>
          <cell r="AF278">
            <v>1759.96</v>
          </cell>
          <cell r="AG278">
            <v>1532.909090909091</v>
          </cell>
          <cell r="AH278">
            <v>227.05090909090904</v>
          </cell>
          <cell r="AI278">
            <v>1174.4000000000001</v>
          </cell>
          <cell r="AK278">
            <v>6394.8399999999992</v>
          </cell>
        </row>
        <row r="279">
          <cell r="F279">
            <v>0</v>
          </cell>
          <cell r="P279">
            <v>0</v>
          </cell>
          <cell r="Q279">
            <v>0</v>
          </cell>
          <cell r="R279">
            <v>0</v>
          </cell>
          <cell r="S279">
            <v>13.666666666666666</v>
          </cell>
          <cell r="T279">
            <v>13.666666666666666</v>
          </cell>
          <cell r="U279">
            <v>0</v>
          </cell>
          <cell r="V279">
            <v>0</v>
          </cell>
          <cell r="W279">
            <v>0</v>
          </cell>
          <cell r="X279">
            <v>400</v>
          </cell>
          <cell r="Y279">
            <v>166</v>
          </cell>
          <cell r="Z279">
            <v>234</v>
          </cell>
          <cell r="AA279">
            <v>0</v>
          </cell>
          <cell r="AB279">
            <v>0</v>
          </cell>
          <cell r="AC279">
            <v>-0.66666666666666607</v>
          </cell>
          <cell r="AD279">
            <v>6</v>
          </cell>
          <cell r="AE279">
            <v>7.3333333333333339</v>
          </cell>
          <cell r="AF279">
            <v>0.3</v>
          </cell>
          <cell r="AG279">
            <v>0</v>
          </cell>
          <cell r="AH279">
            <v>0.3</v>
          </cell>
          <cell r="AI279">
            <v>4</v>
          </cell>
          <cell r="AK279">
            <v>413.3</v>
          </cell>
        </row>
        <row r="280">
          <cell r="F280">
            <v>1202</v>
          </cell>
          <cell r="P280">
            <v>857</v>
          </cell>
          <cell r="Q280">
            <v>0</v>
          </cell>
          <cell r="R280">
            <v>0</v>
          </cell>
          <cell r="S280">
            <v>1290</v>
          </cell>
          <cell r="T280">
            <v>0</v>
          </cell>
          <cell r="U280">
            <v>0</v>
          </cell>
          <cell r="V280">
            <v>0</v>
          </cell>
          <cell r="W280">
            <v>0</v>
          </cell>
          <cell r="X280">
            <v>381</v>
          </cell>
          <cell r="Y280">
            <v>0</v>
          </cell>
          <cell r="Z280">
            <v>0</v>
          </cell>
          <cell r="AA280">
            <v>0</v>
          </cell>
          <cell r="AB280">
            <v>9</v>
          </cell>
          <cell r="AC280">
            <v>244</v>
          </cell>
          <cell r="AD280">
            <v>0</v>
          </cell>
          <cell r="AE280">
            <v>0</v>
          </cell>
          <cell r="AF280">
            <v>597</v>
          </cell>
          <cell r="AG280">
            <v>509</v>
          </cell>
          <cell r="AH280">
            <v>88</v>
          </cell>
          <cell r="AI280">
            <v>814.4</v>
          </cell>
          <cell r="AK280">
            <v>4810</v>
          </cell>
        </row>
        <row r="281">
          <cell r="F281">
            <v>122</v>
          </cell>
          <cell r="P281">
            <v>367</v>
          </cell>
          <cell r="S281">
            <v>688</v>
          </cell>
          <cell r="X281">
            <v>93</v>
          </cell>
          <cell r="AC281">
            <v>90</v>
          </cell>
          <cell r="AF281">
            <v>508</v>
          </cell>
          <cell r="AG281">
            <v>420</v>
          </cell>
          <cell r="AH281">
            <v>88</v>
          </cell>
          <cell r="AI281">
            <v>356</v>
          </cell>
          <cell r="AK281">
            <v>1902</v>
          </cell>
        </row>
        <row r="282">
          <cell r="F282">
            <v>700</v>
          </cell>
          <cell r="P282">
            <v>20</v>
          </cell>
          <cell r="S282">
            <v>21</v>
          </cell>
          <cell r="X282">
            <v>70</v>
          </cell>
          <cell r="AC282">
            <v>25</v>
          </cell>
          <cell r="AF282">
            <v>15</v>
          </cell>
          <cell r="AG282">
            <v>15</v>
          </cell>
          <cell r="AH282">
            <v>0</v>
          </cell>
          <cell r="AI282">
            <v>250</v>
          </cell>
          <cell r="AK282">
            <v>1056</v>
          </cell>
        </row>
        <row r="283">
          <cell r="F283">
            <v>60</v>
          </cell>
          <cell r="P283">
            <v>370</v>
          </cell>
          <cell r="Q283">
            <v>0</v>
          </cell>
          <cell r="R283">
            <v>0</v>
          </cell>
          <cell r="S283">
            <v>480</v>
          </cell>
          <cell r="T283">
            <v>0</v>
          </cell>
          <cell r="U283">
            <v>0</v>
          </cell>
          <cell r="V283">
            <v>0</v>
          </cell>
          <cell r="W283">
            <v>0</v>
          </cell>
          <cell r="X283">
            <v>100</v>
          </cell>
          <cell r="Y283">
            <v>0</v>
          </cell>
          <cell r="Z283">
            <v>0</v>
          </cell>
          <cell r="AA283">
            <v>0</v>
          </cell>
          <cell r="AB283">
            <v>9</v>
          </cell>
          <cell r="AC283">
            <v>100</v>
          </cell>
          <cell r="AD283">
            <v>0</v>
          </cell>
          <cell r="AE283">
            <v>0</v>
          </cell>
          <cell r="AF283">
            <v>0</v>
          </cell>
          <cell r="AG283">
            <v>0</v>
          </cell>
          <cell r="AH283">
            <v>0</v>
          </cell>
          <cell r="AI283" t="e">
            <v>#REF!</v>
          </cell>
          <cell r="AJ283">
            <v>0</v>
          </cell>
          <cell r="AK283">
            <v>1110</v>
          </cell>
        </row>
        <row r="284">
          <cell r="F284">
            <v>320</v>
          </cell>
          <cell r="P284">
            <v>100</v>
          </cell>
          <cell r="Q284">
            <v>0</v>
          </cell>
          <cell r="R284">
            <v>0</v>
          </cell>
          <cell r="S284">
            <v>101</v>
          </cell>
          <cell r="T284">
            <v>0</v>
          </cell>
          <cell r="U284">
            <v>0</v>
          </cell>
          <cell r="V284">
            <v>0</v>
          </cell>
          <cell r="W284">
            <v>0</v>
          </cell>
          <cell r="X284">
            <v>118</v>
          </cell>
          <cell r="Y284">
            <v>0</v>
          </cell>
          <cell r="Z284">
            <v>0</v>
          </cell>
          <cell r="AA284">
            <v>0</v>
          </cell>
          <cell r="AB284">
            <v>9</v>
          </cell>
          <cell r="AC284">
            <v>29</v>
          </cell>
          <cell r="AD284">
            <v>0</v>
          </cell>
          <cell r="AE284">
            <v>0</v>
          </cell>
          <cell r="AF284">
            <v>74</v>
          </cell>
          <cell r="AG284">
            <v>74</v>
          </cell>
          <cell r="AH284">
            <v>0</v>
          </cell>
          <cell r="AI284">
            <v>0</v>
          </cell>
          <cell r="AJ284">
            <v>0</v>
          </cell>
          <cell r="AK284">
            <v>742</v>
          </cell>
        </row>
        <row r="285">
          <cell r="F285">
            <v>7</v>
          </cell>
          <cell r="P285">
            <v>58.666666666666664</v>
          </cell>
          <cell r="Q285">
            <v>0</v>
          </cell>
          <cell r="R285">
            <v>0</v>
          </cell>
          <cell r="S285">
            <v>2370</v>
          </cell>
          <cell r="T285">
            <v>0</v>
          </cell>
          <cell r="U285">
            <v>0</v>
          </cell>
          <cell r="V285">
            <v>0</v>
          </cell>
          <cell r="W285">
            <v>0</v>
          </cell>
          <cell r="X285">
            <v>5</v>
          </cell>
          <cell r="Y285">
            <v>0</v>
          </cell>
          <cell r="Z285">
            <v>0</v>
          </cell>
          <cell r="AA285">
            <v>0</v>
          </cell>
          <cell r="AB285">
            <v>0</v>
          </cell>
          <cell r="AC285">
            <v>0</v>
          </cell>
          <cell r="AD285">
            <v>0</v>
          </cell>
          <cell r="AE285">
            <v>0</v>
          </cell>
          <cell r="AF285">
            <v>900.66666666666663</v>
          </cell>
          <cell r="AG285">
            <v>500</v>
          </cell>
          <cell r="AH285">
            <v>400.66666666666663</v>
          </cell>
          <cell r="AI285">
            <v>14738.47387878788</v>
          </cell>
          <cell r="AK285">
            <v>3705.333333333333</v>
          </cell>
        </row>
        <row r="286">
          <cell r="F286">
            <v>0</v>
          </cell>
          <cell r="P286">
            <v>0</v>
          </cell>
          <cell r="S286">
            <v>0</v>
          </cell>
          <cell r="X286">
            <v>5</v>
          </cell>
          <cell r="AC286">
            <v>0</v>
          </cell>
          <cell r="AF286">
            <v>0</v>
          </cell>
          <cell r="AG286">
            <v>0</v>
          </cell>
          <cell r="AH286">
            <v>0</v>
          </cell>
          <cell r="AI286">
            <v>5357.15</v>
          </cell>
          <cell r="AK286">
            <v>5</v>
          </cell>
        </row>
        <row r="287">
          <cell r="F287">
            <v>7</v>
          </cell>
          <cell r="P287">
            <v>58.666666666666664</v>
          </cell>
          <cell r="Q287">
            <v>0</v>
          </cell>
          <cell r="R287">
            <v>0</v>
          </cell>
          <cell r="S287">
            <v>2370</v>
          </cell>
          <cell r="T287">
            <v>0</v>
          </cell>
          <cell r="U287">
            <v>0</v>
          </cell>
          <cell r="V287">
            <v>0</v>
          </cell>
          <cell r="W287">
            <v>0</v>
          </cell>
          <cell r="X287">
            <v>0</v>
          </cell>
          <cell r="Y287">
            <v>0</v>
          </cell>
          <cell r="Z287">
            <v>0</v>
          </cell>
          <cell r="AA287">
            <v>0</v>
          </cell>
          <cell r="AB287">
            <v>0</v>
          </cell>
          <cell r="AC287">
            <v>0</v>
          </cell>
          <cell r="AD287">
            <v>0</v>
          </cell>
          <cell r="AE287">
            <v>0</v>
          </cell>
          <cell r="AF287">
            <v>900.66666666666663</v>
          </cell>
          <cell r="AG287">
            <v>500</v>
          </cell>
          <cell r="AH287">
            <v>400.66666666666663</v>
          </cell>
          <cell r="AI287">
            <v>4025.8545454545456</v>
          </cell>
          <cell r="AK287">
            <v>3336.333333333333</v>
          </cell>
        </row>
        <row r="288">
          <cell r="F288">
            <v>0</v>
          </cell>
          <cell r="P288">
            <v>0</v>
          </cell>
          <cell r="S288">
            <v>250</v>
          </cell>
          <cell r="X288">
            <v>0</v>
          </cell>
          <cell r="AC288">
            <v>0</v>
          </cell>
          <cell r="AF288">
            <v>0</v>
          </cell>
          <cell r="AG288">
            <v>0</v>
          </cell>
          <cell r="AH288">
            <v>0</v>
          </cell>
          <cell r="AI288">
            <v>0</v>
          </cell>
          <cell r="AK288">
            <v>364</v>
          </cell>
        </row>
        <row r="289">
          <cell r="F289">
            <v>69710.157142857148</v>
          </cell>
          <cell r="P289">
            <v>3673.9999999999991</v>
          </cell>
          <cell r="Q289">
            <v>0</v>
          </cell>
          <cell r="R289">
            <v>0</v>
          </cell>
          <cell r="S289">
            <v>250</v>
          </cell>
          <cell r="T289">
            <v>-710.90664848484835</v>
          </cell>
          <cell r="U289">
            <v>-725.94365454545448</v>
          </cell>
          <cell r="V289">
            <v>0</v>
          </cell>
          <cell r="W289">
            <v>0</v>
          </cell>
          <cell r="X289">
            <v>1818.9696969697004</v>
          </cell>
          <cell r="Y289">
            <v>-549</v>
          </cell>
          <cell r="Z289">
            <v>-479.58636363636367</v>
          </cell>
          <cell r="AA289">
            <v>0</v>
          </cell>
          <cell r="AB289">
            <v>-9</v>
          </cell>
          <cell r="AC289">
            <v>962.42424242423954</v>
          </cell>
          <cell r="AD289">
            <v>-149</v>
          </cell>
          <cell r="AE289">
            <v>-219.28424242424248</v>
          </cell>
          <cell r="AF289">
            <v>2025.4575757575753</v>
          </cell>
          <cell r="AG289">
            <v>1898.4909090909086</v>
          </cell>
          <cell r="AH289">
            <v>0</v>
          </cell>
          <cell r="AI289">
            <v>0</v>
          </cell>
          <cell r="AK289">
            <v>250</v>
          </cell>
        </row>
        <row r="290">
          <cell r="F290">
            <v>97707.728571428568</v>
          </cell>
          <cell r="P290">
            <v>2013.9999999999998</v>
          </cell>
          <cell r="Q290">
            <v>0</v>
          </cell>
          <cell r="R290">
            <v>0</v>
          </cell>
          <cell r="S290">
            <v>4030.5393939393953</v>
          </cell>
          <cell r="T290">
            <v>-568.47210303030295</v>
          </cell>
          <cell r="U290">
            <v>-577.28729090909087</v>
          </cell>
          <cell r="V290">
            <v>0</v>
          </cell>
          <cell r="W290">
            <v>0</v>
          </cell>
          <cell r="X290">
            <v>1804.4396969696979</v>
          </cell>
          <cell r="Y290">
            <v>-330</v>
          </cell>
          <cell r="Z290">
            <v>-462.58636363636367</v>
          </cell>
          <cell r="AA290">
            <v>0</v>
          </cell>
          <cell r="AB290">
            <v>-9</v>
          </cell>
          <cell r="AC290">
            <v>883.61818181818239</v>
          </cell>
          <cell r="AD290">
            <v>-164</v>
          </cell>
          <cell r="AE290">
            <v>-194.01151515151517</v>
          </cell>
          <cell r="AF290">
            <v>964.25757575757552</v>
          </cell>
          <cell r="AG290">
            <v>910.09090909090901</v>
          </cell>
          <cell r="AH290">
            <v>54.033333333333303</v>
          </cell>
          <cell r="AI290">
            <v>5343.4693333333335</v>
          </cell>
          <cell r="AK290">
            <v>107892.58341991341</v>
          </cell>
        </row>
        <row r="291">
          <cell r="F291">
            <v>4628</v>
          </cell>
          <cell r="P291">
            <v>3764</v>
          </cell>
          <cell r="Q291">
            <v>0</v>
          </cell>
          <cell r="R291">
            <v>0</v>
          </cell>
          <cell r="S291">
            <v>5277.030303030303</v>
          </cell>
          <cell r="T291">
            <v>0</v>
          </cell>
          <cell r="U291">
            <v>0</v>
          </cell>
          <cell r="V291">
            <v>0</v>
          </cell>
          <cell r="W291">
            <v>0</v>
          </cell>
          <cell r="X291">
            <v>1818.9696969696968</v>
          </cell>
          <cell r="Y291">
            <v>0</v>
          </cell>
          <cell r="Z291">
            <v>0</v>
          </cell>
          <cell r="AA291">
            <v>0</v>
          </cell>
          <cell r="AB291">
            <v>0</v>
          </cell>
          <cell r="AC291">
            <v>961.75757575757575</v>
          </cell>
          <cell r="AD291">
            <v>0</v>
          </cell>
          <cell r="AE291">
            <v>0</v>
          </cell>
          <cell r="AF291">
            <v>2026.4575757575758</v>
          </cell>
          <cell r="AG291">
            <v>1065.4909090909091</v>
          </cell>
          <cell r="AH291">
            <v>560.9666666666667</v>
          </cell>
          <cell r="AI291">
            <v>256.43600000000032</v>
          </cell>
          <cell r="AK291">
            <v>0</v>
          </cell>
        </row>
        <row r="292">
          <cell r="F292">
            <v>3816</v>
          </cell>
          <cell r="P292">
            <v>2097</v>
          </cell>
          <cell r="Q292">
            <v>0</v>
          </cell>
          <cell r="R292">
            <v>0</v>
          </cell>
          <cell r="S292">
            <v>4030.5393939393934</v>
          </cell>
          <cell r="T292">
            <v>0</v>
          </cell>
          <cell r="U292">
            <v>0</v>
          </cell>
          <cell r="V292">
            <v>0</v>
          </cell>
          <cell r="W292">
            <v>0</v>
          </cell>
          <cell r="X292">
            <v>1804.439696969697</v>
          </cell>
          <cell r="Y292">
            <v>0</v>
          </cell>
          <cell r="Z292">
            <v>0</v>
          </cell>
          <cell r="AA292">
            <v>0</v>
          </cell>
          <cell r="AB292">
            <v>0</v>
          </cell>
          <cell r="AC292">
            <v>882.9515151515152</v>
          </cell>
          <cell r="AD292">
            <v>0</v>
          </cell>
          <cell r="AE292">
            <v>0</v>
          </cell>
          <cell r="AF292">
            <v>964.25757575757575</v>
          </cell>
          <cell r="AG292">
            <v>917.09090909090912</v>
          </cell>
          <cell r="AH292">
            <v>53.833333333333357</v>
          </cell>
          <cell r="AI292">
            <v>595.26666666666665</v>
          </cell>
          <cell r="AK292">
            <v>14068.188181818183</v>
          </cell>
        </row>
        <row r="293">
          <cell r="F293">
            <v>427</v>
          </cell>
          <cell r="P293">
            <v>1366</v>
          </cell>
          <cell r="Q293">
            <v>0</v>
          </cell>
          <cell r="R293">
            <v>0</v>
          </cell>
          <cell r="S293">
            <v>2686</v>
          </cell>
          <cell r="T293">
            <v>0</v>
          </cell>
          <cell r="U293">
            <v>0</v>
          </cell>
          <cell r="V293">
            <v>0</v>
          </cell>
          <cell r="W293">
            <v>0</v>
          </cell>
          <cell r="X293">
            <v>406</v>
          </cell>
          <cell r="Y293">
            <v>0</v>
          </cell>
          <cell r="Z293">
            <v>0</v>
          </cell>
          <cell r="AA293">
            <v>0</v>
          </cell>
          <cell r="AB293">
            <v>0</v>
          </cell>
          <cell r="AC293">
            <v>315</v>
          </cell>
          <cell r="AD293">
            <v>0</v>
          </cell>
          <cell r="AE293">
            <v>0</v>
          </cell>
          <cell r="AF293">
            <v>454</v>
          </cell>
          <cell r="AG293">
            <v>461</v>
          </cell>
          <cell r="AH293">
            <v>0</v>
          </cell>
          <cell r="AI293">
            <v>4491.7666666666664</v>
          </cell>
          <cell r="AK293">
            <v>5677</v>
          </cell>
        </row>
        <row r="294">
          <cell r="F294">
            <v>320</v>
          </cell>
          <cell r="P294">
            <v>551</v>
          </cell>
          <cell r="Q294">
            <v>0</v>
          </cell>
          <cell r="R294">
            <v>0</v>
          </cell>
          <cell r="S294">
            <v>833.07272727272743</v>
          </cell>
          <cell r="T294">
            <v>0</v>
          </cell>
          <cell r="U294">
            <v>0</v>
          </cell>
          <cell r="V294">
            <v>0</v>
          </cell>
          <cell r="W294">
            <v>0</v>
          </cell>
          <cell r="X294">
            <v>430.43636363636369</v>
          </cell>
          <cell r="Y294">
            <v>0</v>
          </cell>
          <cell r="Z294">
            <v>0</v>
          </cell>
          <cell r="AA294">
            <v>0</v>
          </cell>
          <cell r="AB294">
            <v>0</v>
          </cell>
          <cell r="AC294">
            <v>219.01818181818186</v>
          </cell>
          <cell r="AD294">
            <v>0</v>
          </cell>
          <cell r="AE294">
            <v>0</v>
          </cell>
          <cell r="AF294">
            <v>80.890909090909105</v>
          </cell>
          <cell r="AG294">
            <v>81.090909090909093</v>
          </cell>
          <cell r="AH294">
            <v>-0.19999999999998863</v>
          </cell>
          <cell r="AI294">
            <v>0</v>
          </cell>
          <cell r="AK294">
            <v>2434.4181818181823</v>
          </cell>
        </row>
        <row r="295">
          <cell r="F295">
            <v>0</v>
          </cell>
          <cell r="P295">
            <v>0</v>
          </cell>
          <cell r="S295">
            <v>0</v>
          </cell>
          <cell r="X295">
            <v>0</v>
          </cell>
          <cell r="AC295">
            <v>0</v>
          </cell>
          <cell r="AF295">
            <v>0</v>
          </cell>
          <cell r="AG295">
            <v>0</v>
          </cell>
          <cell r="AH295">
            <v>0</v>
          </cell>
          <cell r="AI295">
            <v>12</v>
          </cell>
          <cell r="AK295">
            <v>0</v>
          </cell>
        </row>
        <row r="296">
          <cell r="F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t="e">
            <v>#REF!</v>
          </cell>
          <cell r="AK296">
            <v>0</v>
          </cell>
        </row>
        <row r="297">
          <cell r="F297">
            <v>3069</v>
          </cell>
          <cell r="P297">
            <v>231.00000000000003</v>
          </cell>
          <cell r="Q297">
            <v>0</v>
          </cell>
          <cell r="R297">
            <v>0</v>
          </cell>
          <cell r="S297">
            <v>601.46666666666658</v>
          </cell>
          <cell r="T297">
            <v>0</v>
          </cell>
          <cell r="U297">
            <v>0</v>
          </cell>
          <cell r="V297">
            <v>0</v>
          </cell>
          <cell r="W297">
            <v>0</v>
          </cell>
          <cell r="X297">
            <v>968.00333333333333</v>
          </cell>
          <cell r="Y297">
            <v>0</v>
          </cell>
          <cell r="Z297">
            <v>0</v>
          </cell>
          <cell r="AA297">
            <v>0</v>
          </cell>
          <cell r="AB297">
            <v>0</v>
          </cell>
          <cell r="AC297">
            <v>348.93333333333334</v>
          </cell>
          <cell r="AD297">
            <v>0</v>
          </cell>
          <cell r="AE297">
            <v>0</v>
          </cell>
          <cell r="AF297">
            <v>430.36666666666667</v>
          </cell>
          <cell r="AG297">
            <v>373</v>
          </cell>
          <cell r="AH297">
            <v>57.033333333333346</v>
          </cell>
          <cell r="AI297">
            <v>0</v>
          </cell>
          <cell r="AK297">
            <v>6098.7699999999995</v>
          </cell>
        </row>
        <row r="298">
          <cell r="F298">
            <v>10</v>
          </cell>
          <cell r="P298">
            <v>33</v>
          </cell>
          <cell r="S298">
            <v>76</v>
          </cell>
          <cell r="X298">
            <v>264.66666666666663</v>
          </cell>
          <cell r="AC298">
            <v>27.666666666666686</v>
          </cell>
          <cell r="AF298">
            <v>0</v>
          </cell>
          <cell r="AG298">
            <v>0</v>
          </cell>
          <cell r="AH298">
            <v>0</v>
          </cell>
          <cell r="AK298">
            <v>431.33333333333331</v>
          </cell>
        </row>
        <row r="299">
          <cell r="F299">
            <v>1</v>
          </cell>
          <cell r="G299">
            <v>0</v>
          </cell>
          <cell r="H299">
            <v>0</v>
          </cell>
          <cell r="P299">
            <v>41.333333333333336</v>
          </cell>
          <cell r="Q299">
            <v>0</v>
          </cell>
          <cell r="R299">
            <v>0</v>
          </cell>
          <cell r="S299">
            <v>352.99999999999994</v>
          </cell>
          <cell r="T299">
            <v>-611.67619393939378</v>
          </cell>
          <cell r="U299">
            <v>-622.76501818181805</v>
          </cell>
          <cell r="V299">
            <v>0</v>
          </cell>
          <cell r="W299">
            <v>0</v>
          </cell>
          <cell r="X299">
            <v>561</v>
          </cell>
          <cell r="Y299">
            <v>-790</v>
          </cell>
          <cell r="Z299">
            <v>-326.08636363636373</v>
          </cell>
          <cell r="AA299">
            <v>0</v>
          </cell>
          <cell r="AB299">
            <v>0</v>
          </cell>
          <cell r="AC299">
            <v>264.33333333333331</v>
          </cell>
          <cell r="AF299">
            <v>179.03333333333333</v>
          </cell>
          <cell r="AG299">
            <v>135</v>
          </cell>
          <cell r="AH299">
            <v>44.033333333333346</v>
          </cell>
          <cell r="AI299" t="e">
            <v>#REF!</v>
          </cell>
          <cell r="AK299">
            <v>1399.6999999999998</v>
          </cell>
        </row>
        <row r="300">
          <cell r="F300">
            <v>3058</v>
          </cell>
          <cell r="P300">
            <v>156.66666666666669</v>
          </cell>
          <cell r="S300">
            <v>172.46666666666664</v>
          </cell>
          <cell r="X300">
            <v>142.33666666666667</v>
          </cell>
          <cell r="AC300">
            <v>56.933333333333337</v>
          </cell>
          <cell r="AF300">
            <v>251.33333333333331</v>
          </cell>
          <cell r="AG300">
            <v>238</v>
          </cell>
          <cell r="AH300">
            <v>13</v>
          </cell>
          <cell r="AI300">
            <v>0</v>
          </cell>
          <cell r="AK300">
            <v>4267.7366666666667</v>
          </cell>
        </row>
        <row r="301">
          <cell r="F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K301">
            <v>0</v>
          </cell>
        </row>
        <row r="302">
          <cell r="F302">
            <v>0</v>
          </cell>
          <cell r="P302">
            <v>-51</v>
          </cell>
          <cell r="Q302">
            <v>0</v>
          </cell>
          <cell r="R302">
            <v>0</v>
          </cell>
          <cell r="S302">
            <v>-90</v>
          </cell>
          <cell r="T302">
            <v>-710.90664848484835</v>
          </cell>
          <cell r="U302">
            <v>-725.94365454545448</v>
          </cell>
          <cell r="V302">
            <v>0</v>
          </cell>
          <cell r="W302">
            <v>0</v>
          </cell>
          <cell r="X302">
            <v>0</v>
          </cell>
          <cell r="Y302">
            <v>-549</v>
          </cell>
          <cell r="Z302">
            <v>-479.58636363636367</v>
          </cell>
          <cell r="AA302">
            <v>0</v>
          </cell>
          <cell r="AB302">
            <v>-9</v>
          </cell>
          <cell r="AC302">
            <v>0</v>
          </cell>
          <cell r="AD302">
            <v>-149</v>
          </cell>
          <cell r="AE302">
            <v>-219.28424242424248</v>
          </cell>
          <cell r="AF302">
            <v>-1</v>
          </cell>
          <cell r="AG302">
            <v>2</v>
          </cell>
          <cell r="AH302">
            <v>-3</v>
          </cell>
          <cell r="AI302">
            <v>0</v>
          </cell>
          <cell r="AK302">
            <v>-142</v>
          </cell>
        </row>
        <row r="303">
          <cell r="F303">
            <v>97707.728571428568</v>
          </cell>
          <cell r="P303">
            <v>2013.9999999999998</v>
          </cell>
          <cell r="Q303">
            <v>0</v>
          </cell>
          <cell r="R303">
            <v>0</v>
          </cell>
          <cell r="S303">
            <v>4030.5393939393953</v>
          </cell>
          <cell r="T303">
            <v>-568.47210303030295</v>
          </cell>
          <cell r="U303">
            <v>-577.28729090909087</v>
          </cell>
          <cell r="V303">
            <v>0</v>
          </cell>
          <cell r="W303">
            <v>0</v>
          </cell>
          <cell r="X303">
            <v>1804.4396969696979</v>
          </cell>
          <cell r="Y303">
            <v>-330</v>
          </cell>
          <cell r="Z303">
            <v>-462.58636363636367</v>
          </cell>
          <cell r="AA303">
            <v>0</v>
          </cell>
          <cell r="AB303">
            <v>-9</v>
          </cell>
          <cell r="AC303">
            <v>883.61818181818239</v>
          </cell>
          <cell r="AD303">
            <v>-164</v>
          </cell>
          <cell r="AE303">
            <v>-194.01151515151517</v>
          </cell>
          <cell r="AF303">
            <v>964.25757575757552</v>
          </cell>
          <cell r="AG303">
            <v>910.09090909090901</v>
          </cell>
          <cell r="AH303">
            <v>54.033333333333303</v>
          </cell>
          <cell r="AI303">
            <v>0</v>
          </cell>
          <cell r="AK303">
            <v>107892.58341991341</v>
          </cell>
        </row>
        <row r="304">
          <cell r="F304" t="e">
            <v>#REF!</v>
          </cell>
          <cell r="P304">
            <v>1766.6359999999997</v>
          </cell>
          <cell r="Q304">
            <v>0</v>
          </cell>
          <cell r="R304">
            <v>0</v>
          </cell>
          <cell r="S304">
            <v>5902.6712121212113</v>
          </cell>
          <cell r="T304">
            <v>-611.67619393939378</v>
          </cell>
          <cell r="U304">
            <v>-622.76501818181805</v>
          </cell>
          <cell r="V304">
            <v>0</v>
          </cell>
          <cell r="W304">
            <v>0</v>
          </cell>
          <cell r="X304">
            <v>1005.0363636363622</v>
          </cell>
          <cell r="Y304">
            <v>-790</v>
          </cell>
          <cell r="Z304">
            <v>-326.08636363636373</v>
          </cell>
          <cell r="AA304">
            <v>0</v>
          </cell>
          <cell r="AB304">
            <v>0</v>
          </cell>
          <cell r="AC304">
            <v>568.1030303030301</v>
          </cell>
          <cell r="AD304">
            <v>-205</v>
          </cell>
          <cell r="AE304">
            <v>-186.72969696969702</v>
          </cell>
          <cell r="AF304">
            <v>1293.1939393939392</v>
          </cell>
          <cell r="AG304">
            <v>924.99999999999966</v>
          </cell>
          <cell r="AH304">
            <v>191</v>
          </cell>
          <cell r="AI304" t="e">
            <v>#REF!</v>
          </cell>
          <cell r="AK304">
            <v>0</v>
          </cell>
        </row>
        <row r="305">
          <cell r="F305">
            <v>69710.157142857148</v>
          </cell>
          <cell r="G305">
            <v>0</v>
          </cell>
          <cell r="H305">
            <v>0</v>
          </cell>
          <cell r="P305">
            <v>3673.9999999999991</v>
          </cell>
          <cell r="Q305">
            <v>0</v>
          </cell>
          <cell r="R305">
            <v>0</v>
          </cell>
          <cell r="S305">
            <v>5277.0303030303048</v>
          </cell>
          <cell r="T305">
            <v>-710.90664848484835</v>
          </cell>
          <cell r="U305">
            <v>-725.94365454545448</v>
          </cell>
          <cell r="V305">
            <v>0</v>
          </cell>
          <cell r="W305">
            <v>0</v>
          </cell>
          <cell r="X305">
            <v>1818.9696969697004</v>
          </cell>
          <cell r="Y305">
            <v>-549</v>
          </cell>
          <cell r="Z305">
            <v>-479.58636363636367</v>
          </cell>
          <cell r="AA305">
            <v>0</v>
          </cell>
          <cell r="AB305">
            <v>-9</v>
          </cell>
          <cell r="AC305">
            <v>962.42424242423954</v>
          </cell>
          <cell r="AF305">
            <v>2025.4575757575753</v>
          </cell>
          <cell r="AG305">
            <v>1706.4909090909086</v>
          </cell>
          <cell r="AH305">
            <v>318.9666666666667</v>
          </cell>
          <cell r="AI305">
            <v>0</v>
          </cell>
          <cell r="AK305">
            <v>83800.038961038968</v>
          </cell>
        </row>
        <row r="306">
          <cell r="F306">
            <v>97707.728571428568</v>
          </cell>
          <cell r="G306">
            <v>0</v>
          </cell>
          <cell r="H306">
            <v>0</v>
          </cell>
          <cell r="P306">
            <v>2013.9999999999998</v>
          </cell>
          <cell r="Q306">
            <v>0</v>
          </cell>
          <cell r="R306">
            <v>0</v>
          </cell>
          <cell r="S306">
            <v>4030.5393939393953</v>
          </cell>
          <cell r="T306">
            <v>-568.47210303030295</v>
          </cell>
          <cell r="U306">
            <v>-577.28729090909087</v>
          </cell>
          <cell r="V306">
            <v>0</v>
          </cell>
          <cell r="W306">
            <v>0</v>
          </cell>
          <cell r="X306">
            <v>1804.4396969696979</v>
          </cell>
          <cell r="Y306">
            <v>-330</v>
          </cell>
          <cell r="Z306">
            <v>-462.58636363636367</v>
          </cell>
          <cell r="AA306">
            <v>0</v>
          </cell>
          <cell r="AB306">
            <v>-9</v>
          </cell>
          <cell r="AC306">
            <v>883.61818181818239</v>
          </cell>
          <cell r="AF306">
            <v>964.25757575757552</v>
          </cell>
          <cell r="AG306">
            <v>719.22424242424222</v>
          </cell>
          <cell r="AH306">
            <v>245.0333333333333</v>
          </cell>
          <cell r="AI306">
            <v>0</v>
          </cell>
          <cell r="AK306">
            <v>107892.58341991341</v>
          </cell>
        </row>
        <row r="307">
          <cell r="F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K307">
            <v>0</v>
          </cell>
        </row>
        <row r="308">
          <cell r="F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3609</v>
          </cell>
          <cell r="AK308">
            <v>0</v>
          </cell>
        </row>
        <row r="309">
          <cell r="F309">
            <v>0</v>
          </cell>
          <cell r="P309">
            <v>0</v>
          </cell>
          <cell r="S309">
            <v>0</v>
          </cell>
          <cell r="X309">
            <v>0</v>
          </cell>
          <cell r="AC309">
            <v>0</v>
          </cell>
          <cell r="AF309">
            <v>0</v>
          </cell>
          <cell r="AG309">
            <v>0</v>
          </cell>
          <cell r="AH309">
            <v>0</v>
          </cell>
          <cell r="AK309">
            <v>0</v>
          </cell>
        </row>
        <row r="310">
          <cell r="F310">
            <v>69710.157142857148</v>
          </cell>
          <cell r="P310">
            <v>3673.9999999999991</v>
          </cell>
          <cell r="Q310">
            <v>0</v>
          </cell>
          <cell r="R310">
            <v>0</v>
          </cell>
          <cell r="S310">
            <v>5277.0303030303048</v>
          </cell>
          <cell r="T310">
            <v>-710.90664848484835</v>
          </cell>
          <cell r="U310">
            <v>-725.94365454545448</v>
          </cell>
          <cell r="V310">
            <v>0</v>
          </cell>
          <cell r="W310">
            <v>0</v>
          </cell>
          <cell r="X310">
            <v>1818.9696969697004</v>
          </cell>
          <cell r="Y310">
            <v>-549</v>
          </cell>
          <cell r="Z310">
            <v>-479.58636363636367</v>
          </cell>
          <cell r="AA310">
            <v>0</v>
          </cell>
          <cell r="AB310">
            <v>-9</v>
          </cell>
          <cell r="AC310">
            <v>962.42424242423954</v>
          </cell>
          <cell r="AD310">
            <v>-149</v>
          </cell>
          <cell r="AE310">
            <v>-219.28424242424248</v>
          </cell>
          <cell r="AF310">
            <v>2025.4575757575753</v>
          </cell>
          <cell r="AG310">
            <v>1706.4909090909086</v>
          </cell>
          <cell r="AH310">
            <v>318.9666666666667</v>
          </cell>
          <cell r="AI310">
            <v>0</v>
          </cell>
          <cell r="AK310">
            <v>0</v>
          </cell>
        </row>
        <row r="311">
          <cell r="F311">
            <v>97707.728571428568</v>
          </cell>
          <cell r="P311">
            <v>2013.9999999999998</v>
          </cell>
          <cell r="Q311">
            <v>0</v>
          </cell>
          <cell r="R311">
            <v>0</v>
          </cell>
          <cell r="S311">
            <v>4030.5393939393953</v>
          </cell>
          <cell r="T311">
            <v>-568.47210303030295</v>
          </cell>
          <cell r="U311">
            <v>-577.28729090909087</v>
          </cell>
          <cell r="V311">
            <v>0</v>
          </cell>
          <cell r="W311">
            <v>0</v>
          </cell>
          <cell r="X311">
            <v>1804.4396969696979</v>
          </cell>
          <cell r="Y311">
            <v>-330</v>
          </cell>
          <cell r="Z311">
            <v>-462.58636363636367</v>
          </cell>
          <cell r="AA311">
            <v>0</v>
          </cell>
          <cell r="AB311">
            <v>-9</v>
          </cell>
          <cell r="AC311">
            <v>883.61818181818239</v>
          </cell>
          <cell r="AD311">
            <v>-164</v>
          </cell>
          <cell r="AE311">
            <v>-194.01151515151517</v>
          </cell>
          <cell r="AF311">
            <v>964.25757575757552</v>
          </cell>
          <cell r="AG311">
            <v>719.22424242424222</v>
          </cell>
          <cell r="AH311">
            <v>245.0333333333333</v>
          </cell>
          <cell r="AI311">
            <v>0</v>
          </cell>
          <cell r="AK311">
            <v>107892.58341991341</v>
          </cell>
        </row>
        <row r="312">
          <cell r="P312">
            <v>0</v>
          </cell>
          <cell r="AK312">
            <v>0</v>
          </cell>
        </row>
        <row r="313">
          <cell r="P313">
            <v>0</v>
          </cell>
          <cell r="S313">
            <v>0</v>
          </cell>
          <cell r="AI313">
            <v>0</v>
          </cell>
          <cell r="AK313">
            <v>0</v>
          </cell>
        </row>
        <row r="314">
          <cell r="F314">
            <v>3480</v>
          </cell>
          <cell r="S314">
            <v>0</v>
          </cell>
          <cell r="AK314">
            <v>0</v>
          </cell>
        </row>
        <row r="315">
          <cell r="F315">
            <v>4000</v>
          </cell>
          <cell r="P315">
            <v>1766.6359999999997</v>
          </cell>
          <cell r="Q315">
            <v>0</v>
          </cell>
          <cell r="R315">
            <v>0</v>
          </cell>
          <cell r="S315">
            <v>0</v>
          </cell>
          <cell r="T315">
            <v>-611.67619393939378</v>
          </cell>
          <cell r="U315">
            <v>-622.76501818181805</v>
          </cell>
          <cell r="V315">
            <v>0</v>
          </cell>
          <cell r="W315">
            <v>0</v>
          </cell>
          <cell r="X315">
            <v>1005.0363636363622</v>
          </cell>
          <cell r="Y315">
            <v>-790</v>
          </cell>
          <cell r="Z315">
            <v>-326.08636363636373</v>
          </cell>
          <cell r="AA315">
            <v>0</v>
          </cell>
          <cell r="AB315">
            <v>0</v>
          </cell>
          <cell r="AC315">
            <v>568.1030303030301</v>
          </cell>
          <cell r="AD315">
            <v>-205</v>
          </cell>
          <cell r="AE315">
            <v>-186.72969696969702</v>
          </cell>
          <cell r="AF315">
            <v>1293.1939393939392</v>
          </cell>
          <cell r="AG315">
            <v>924.99999999999966</v>
          </cell>
          <cell r="AH315">
            <v>368.19393939393956</v>
          </cell>
          <cell r="AI315" t="e">
            <v>#REF!</v>
          </cell>
          <cell r="AK315">
            <v>4000</v>
          </cell>
        </row>
        <row r="316">
          <cell r="F316">
            <v>0</v>
          </cell>
          <cell r="S316">
            <v>0</v>
          </cell>
          <cell r="AK316">
            <v>0</v>
          </cell>
        </row>
        <row r="317">
          <cell r="F317">
            <v>0</v>
          </cell>
          <cell r="AK317">
            <v>0</v>
          </cell>
        </row>
        <row r="318">
          <cell r="AK318">
            <v>0</v>
          </cell>
        </row>
        <row r="319">
          <cell r="AK319">
            <v>0</v>
          </cell>
        </row>
        <row r="320">
          <cell r="S320">
            <v>0</v>
          </cell>
          <cell r="AK320">
            <v>0</v>
          </cell>
        </row>
        <row r="321">
          <cell r="F321">
            <v>69710.157142857148</v>
          </cell>
          <cell r="P321">
            <v>3673.9999999999991</v>
          </cell>
          <cell r="Q321">
            <v>0</v>
          </cell>
          <cell r="R321">
            <v>0</v>
          </cell>
          <cell r="S321">
            <v>0</v>
          </cell>
          <cell r="T321">
            <v>-710.90664848484835</v>
          </cell>
          <cell r="U321">
            <v>-725.94365454545448</v>
          </cell>
          <cell r="V321">
            <v>0</v>
          </cell>
          <cell r="W321">
            <v>0</v>
          </cell>
          <cell r="X321">
            <v>1818.9696969697004</v>
          </cell>
          <cell r="Y321">
            <v>-549</v>
          </cell>
          <cell r="Z321">
            <v>-479.58636363636367</v>
          </cell>
          <cell r="AA321">
            <v>0</v>
          </cell>
          <cell r="AB321">
            <v>-9</v>
          </cell>
          <cell r="AC321">
            <v>962.42424242423954</v>
          </cell>
          <cell r="AD321">
            <v>-149</v>
          </cell>
          <cell r="AE321">
            <v>-219.28424242424248</v>
          </cell>
          <cell r="AF321">
            <v>2025.4575757575753</v>
          </cell>
          <cell r="AG321">
            <v>1706.4909090909086</v>
          </cell>
          <cell r="AH321">
            <v>318.9666666666667</v>
          </cell>
          <cell r="AK321">
            <v>83800.038961038968</v>
          </cell>
        </row>
        <row r="322">
          <cell r="F322">
            <v>97707.728571428568</v>
          </cell>
          <cell r="P322">
            <v>2013.9999999999998</v>
          </cell>
          <cell r="Q322">
            <v>0</v>
          </cell>
          <cell r="R322">
            <v>0</v>
          </cell>
          <cell r="S322">
            <v>4030.5393939393953</v>
          </cell>
          <cell r="T322">
            <v>-568.47210303030295</v>
          </cell>
          <cell r="U322">
            <v>-577.28729090909087</v>
          </cell>
          <cell r="V322">
            <v>0</v>
          </cell>
          <cell r="W322">
            <v>0</v>
          </cell>
          <cell r="X322">
            <v>1804.4396969696979</v>
          </cell>
          <cell r="Y322">
            <v>-330</v>
          </cell>
          <cell r="Z322">
            <v>-462.58636363636367</v>
          </cell>
          <cell r="AA322">
            <v>0</v>
          </cell>
          <cell r="AB322">
            <v>-9</v>
          </cell>
          <cell r="AC322">
            <v>883.61818181818239</v>
          </cell>
          <cell r="AD322">
            <v>-164</v>
          </cell>
          <cell r="AE322">
            <v>-194.01151515151517</v>
          </cell>
          <cell r="AF322">
            <v>964.25757575757552</v>
          </cell>
          <cell r="AG322">
            <v>719.22424242424222</v>
          </cell>
          <cell r="AH322">
            <v>245.0333333333333</v>
          </cell>
          <cell r="AK322">
            <v>107892.58341991341</v>
          </cell>
        </row>
        <row r="324">
          <cell r="AI324">
            <v>6683.5069999999996</v>
          </cell>
          <cell r="AK324" t="e">
            <v>#REF!</v>
          </cell>
        </row>
        <row r="325">
          <cell r="F325">
            <v>148</v>
          </cell>
          <cell r="P325">
            <v>293</v>
          </cell>
          <cell r="S325">
            <v>518</v>
          </cell>
          <cell r="X325">
            <v>175</v>
          </cell>
          <cell r="AC325">
            <v>146</v>
          </cell>
          <cell r="AF325">
            <v>472</v>
          </cell>
          <cell r="AG325">
            <v>390</v>
          </cell>
          <cell r="AH325">
            <v>82</v>
          </cell>
          <cell r="AI325">
            <v>1868</v>
          </cell>
          <cell r="AK325" t="e">
            <v>#REF!</v>
          </cell>
        </row>
        <row r="326">
          <cell r="AI326" t="e">
            <v>#REF!</v>
          </cell>
          <cell r="AK326" t="e">
            <v>#REF!</v>
          </cell>
        </row>
        <row r="327">
          <cell r="AI327">
            <v>721.80000000000007</v>
          </cell>
          <cell r="AK327" t="e">
            <v>#REF!</v>
          </cell>
        </row>
        <row r="328">
          <cell r="AI328">
            <v>12</v>
          </cell>
          <cell r="AK328" t="e">
            <v>#REF!</v>
          </cell>
        </row>
        <row r="329">
          <cell r="AI329" t="e">
            <v>#REF!</v>
          </cell>
          <cell r="AK329" t="e">
            <v>#REF!</v>
          </cell>
        </row>
        <row r="330">
          <cell r="AI330">
            <v>3500</v>
          </cell>
          <cell r="AJ330">
            <v>2455</v>
          </cell>
          <cell r="AK330">
            <v>6760.8399999999992</v>
          </cell>
          <cell r="AM330">
            <v>5000.8799999999992</v>
          </cell>
        </row>
        <row r="331">
          <cell r="F331">
            <v>160</v>
          </cell>
          <cell r="P331">
            <v>326</v>
          </cell>
          <cell r="S331">
            <v>523</v>
          </cell>
          <cell r="X331">
            <v>174</v>
          </cell>
          <cell r="AC331">
            <v>147</v>
          </cell>
          <cell r="AF331">
            <v>480</v>
          </cell>
          <cell r="AG331">
            <v>480</v>
          </cell>
          <cell r="AH331">
            <v>0</v>
          </cell>
          <cell r="AI331">
            <v>0</v>
          </cell>
          <cell r="AJ331">
            <v>2455</v>
          </cell>
          <cell r="AK331">
            <v>6394.8399999999992</v>
          </cell>
          <cell r="AM331">
            <v>4634.88</v>
          </cell>
        </row>
        <row r="332">
          <cell r="F332">
            <v>160</v>
          </cell>
          <cell r="P332">
            <v>319</v>
          </cell>
          <cell r="S332">
            <v>425</v>
          </cell>
          <cell r="X332">
            <v>175</v>
          </cell>
          <cell r="AC332">
            <v>147</v>
          </cell>
          <cell r="AF332">
            <v>480</v>
          </cell>
          <cell r="AG332">
            <v>418</v>
          </cell>
          <cell r="AH332">
            <v>62</v>
          </cell>
          <cell r="AI332">
            <v>538</v>
          </cell>
          <cell r="AJ332">
            <v>36</v>
          </cell>
          <cell r="AK332">
            <v>1806</v>
          </cell>
          <cell r="AM332">
            <v>1326</v>
          </cell>
        </row>
        <row r="333">
          <cell r="AI333" t="e">
            <v>#REF!</v>
          </cell>
          <cell r="AJ333">
            <v>36</v>
          </cell>
          <cell r="AK333">
            <v>6694.7285714285717</v>
          </cell>
          <cell r="AM333">
            <v>6694.7285714285717</v>
          </cell>
        </row>
        <row r="334">
          <cell r="AI334">
            <v>0</v>
          </cell>
          <cell r="AJ334">
            <v>36</v>
          </cell>
          <cell r="AK334">
            <v>413.3</v>
          </cell>
          <cell r="AM334">
            <v>413.3</v>
          </cell>
        </row>
        <row r="335">
          <cell r="AI335">
            <v>5357.15</v>
          </cell>
          <cell r="AJ335">
            <v>36</v>
          </cell>
          <cell r="AK335">
            <v>-142</v>
          </cell>
          <cell r="AM335">
            <v>-141</v>
          </cell>
        </row>
        <row r="336">
          <cell r="AI336">
            <v>4025.8545454545456</v>
          </cell>
          <cell r="AK336">
            <v>1581.4285714285716</v>
          </cell>
          <cell r="AM336">
            <v>1581.4285714285716</v>
          </cell>
        </row>
        <row r="337">
          <cell r="AI337">
            <v>0</v>
          </cell>
          <cell r="AK337">
            <v>3500</v>
          </cell>
          <cell r="AM337">
            <v>3500</v>
          </cell>
        </row>
        <row r="338">
          <cell r="AI338">
            <v>0</v>
          </cell>
          <cell r="AK338">
            <v>0</v>
          </cell>
          <cell r="AM338">
            <v>821</v>
          </cell>
        </row>
        <row r="339">
          <cell r="AI339">
            <v>0</v>
          </cell>
          <cell r="AK339">
            <v>1200</v>
          </cell>
          <cell r="AM339">
            <v>1200</v>
          </cell>
        </row>
        <row r="340">
          <cell r="AI340">
            <v>4672</v>
          </cell>
          <cell r="AK340">
            <v>4100</v>
          </cell>
          <cell r="AM340">
            <v>0</v>
          </cell>
        </row>
        <row r="341">
          <cell r="AI341">
            <v>1640</v>
          </cell>
          <cell r="AK341">
            <v>0</v>
          </cell>
          <cell r="AM341">
            <v>0</v>
          </cell>
        </row>
        <row r="342">
          <cell r="AI342">
            <v>952</v>
          </cell>
          <cell r="AK342">
            <v>5677</v>
          </cell>
          <cell r="AM342">
            <v>5223</v>
          </cell>
        </row>
        <row r="343">
          <cell r="AI343">
            <v>1370</v>
          </cell>
          <cell r="AK343">
            <v>2434.4181818181823</v>
          </cell>
          <cell r="AM343">
            <v>2353.5272727272732</v>
          </cell>
        </row>
        <row r="344">
          <cell r="AI344">
            <v>710</v>
          </cell>
          <cell r="AK344">
            <v>0</v>
          </cell>
          <cell r="AM344">
            <v>0</v>
          </cell>
        </row>
        <row r="345">
          <cell r="AI345">
            <v>0</v>
          </cell>
          <cell r="AK345">
            <v>0</v>
          </cell>
          <cell r="AM345">
            <v>0</v>
          </cell>
        </row>
        <row r="346">
          <cell r="AI346">
            <v>4</v>
          </cell>
          <cell r="AK346">
            <v>0</v>
          </cell>
          <cell r="AM346">
            <v>0</v>
          </cell>
        </row>
        <row r="347">
          <cell r="AI347">
            <v>814.4</v>
          </cell>
          <cell r="AK347">
            <v>4810</v>
          </cell>
          <cell r="AM347">
            <v>4213</v>
          </cell>
        </row>
        <row r="348">
          <cell r="P348">
            <v>225</v>
          </cell>
          <cell r="S348">
            <v>296</v>
          </cell>
          <cell r="X348">
            <v>56</v>
          </cell>
          <cell r="AC348">
            <v>-4.9636363636363825</v>
          </cell>
          <cell r="AF348">
            <v>800.72727272727275</v>
          </cell>
          <cell r="AG348">
            <v>801</v>
          </cell>
          <cell r="AH348">
            <v>-0.27272727272728048</v>
          </cell>
          <cell r="AI348">
            <v>1372.7636363636364</v>
          </cell>
          <cell r="AK348">
            <v>1902</v>
          </cell>
          <cell r="AM348">
            <v>1394</v>
          </cell>
        </row>
        <row r="349">
          <cell r="AI349">
            <v>0</v>
          </cell>
          <cell r="AK349">
            <v>1056</v>
          </cell>
          <cell r="AM349">
            <v>1041</v>
          </cell>
        </row>
        <row r="350">
          <cell r="F350">
            <v>33</v>
          </cell>
          <cell r="P350">
            <v>0</v>
          </cell>
          <cell r="S350">
            <v>0</v>
          </cell>
          <cell r="X350">
            <v>0</v>
          </cell>
          <cell r="AC350">
            <v>0</v>
          </cell>
          <cell r="AF350">
            <v>0</v>
          </cell>
          <cell r="AG350">
            <v>0</v>
          </cell>
          <cell r="AH350">
            <v>0</v>
          </cell>
          <cell r="AI350">
            <v>389</v>
          </cell>
          <cell r="AK350">
            <v>1110</v>
          </cell>
        </row>
        <row r="351">
          <cell r="AI351">
            <v>295</v>
          </cell>
          <cell r="AK351">
            <v>742</v>
          </cell>
          <cell r="AM351">
            <v>0</v>
          </cell>
        </row>
        <row r="352">
          <cell r="AI352">
            <v>0</v>
          </cell>
          <cell r="AK352">
            <v>0</v>
          </cell>
          <cell r="AM352">
            <v>0</v>
          </cell>
        </row>
        <row r="353">
          <cell r="AI353">
            <v>0</v>
          </cell>
          <cell r="AK353">
            <v>5</v>
          </cell>
          <cell r="AM353">
            <v>5</v>
          </cell>
        </row>
        <row r="354">
          <cell r="P354">
            <v>225</v>
          </cell>
          <cell r="S354">
            <v>296</v>
          </cell>
          <cell r="X354">
            <v>56</v>
          </cell>
          <cell r="AC354">
            <v>-538.90909090909088</v>
          </cell>
          <cell r="AF354">
            <v>245.09090909090912</v>
          </cell>
          <cell r="AG354">
            <v>-127.90909090909091</v>
          </cell>
          <cell r="AH354">
            <v>373</v>
          </cell>
          <cell r="AI354">
            <v>5343.4693333333335</v>
          </cell>
          <cell r="AK354">
            <v>3336.333333333333</v>
          </cell>
          <cell r="AM354">
            <v>2435.6666666666665</v>
          </cell>
        </row>
        <row r="355">
          <cell r="P355">
            <v>225</v>
          </cell>
          <cell r="S355">
            <v>296</v>
          </cell>
          <cell r="X355">
            <v>56</v>
          </cell>
          <cell r="AC355">
            <v>-12.781818181818153</v>
          </cell>
          <cell r="AF355">
            <v>13.290909090909111</v>
          </cell>
          <cell r="AG355">
            <v>13.090909090909093</v>
          </cell>
          <cell r="AH355">
            <v>0.20000000000001705</v>
          </cell>
          <cell r="AI355">
            <v>256.43600000000032</v>
          </cell>
          <cell r="AK355">
            <v>577.5090909090909</v>
          </cell>
        </row>
        <row r="356">
          <cell r="F356">
            <v>0</v>
          </cell>
          <cell r="P356">
            <v>0</v>
          </cell>
          <cell r="S356">
            <v>0</v>
          </cell>
          <cell r="X356">
            <v>0</v>
          </cell>
          <cell r="AC356">
            <v>0</v>
          </cell>
          <cell r="AF356">
            <v>0</v>
          </cell>
          <cell r="AG356">
            <v>0</v>
          </cell>
          <cell r="AH356">
            <v>0</v>
          </cell>
          <cell r="AI356">
            <v>595.26666666666665</v>
          </cell>
          <cell r="AK356">
            <v>0</v>
          </cell>
          <cell r="AM356">
            <v>358</v>
          </cell>
        </row>
        <row r="357">
          <cell r="F357">
            <v>0</v>
          </cell>
          <cell r="P357">
            <v>0</v>
          </cell>
          <cell r="S357">
            <v>0</v>
          </cell>
          <cell r="X357">
            <v>0</v>
          </cell>
          <cell r="AC357">
            <v>0</v>
          </cell>
          <cell r="AF357">
            <v>0</v>
          </cell>
          <cell r="AG357">
            <v>0</v>
          </cell>
          <cell r="AH357">
            <v>0</v>
          </cell>
          <cell r="AI357">
            <v>4491.7666666666664</v>
          </cell>
          <cell r="AK357">
            <v>364</v>
          </cell>
          <cell r="AM357">
            <v>364</v>
          </cell>
        </row>
        <row r="358">
          <cell r="F358">
            <v>0</v>
          </cell>
          <cell r="P358">
            <v>-771</v>
          </cell>
          <cell r="S358">
            <v>-3877</v>
          </cell>
          <cell r="T358">
            <v>162.88</v>
          </cell>
          <cell r="U358">
            <v>855.12</v>
          </cell>
          <cell r="X358">
            <v>280</v>
          </cell>
          <cell r="Y358">
            <v>404</v>
          </cell>
          <cell r="Z358">
            <v>166</v>
          </cell>
          <cell r="AC358">
            <v>556</v>
          </cell>
          <cell r="AD358">
            <v>336</v>
          </cell>
          <cell r="AE358">
            <v>305</v>
          </cell>
          <cell r="AF358">
            <v>521</v>
          </cell>
          <cell r="AG358">
            <v>470</v>
          </cell>
          <cell r="AH358">
            <v>51</v>
          </cell>
          <cell r="AI358">
            <v>-3281</v>
          </cell>
          <cell r="AK358">
            <v>2</v>
          </cell>
          <cell r="AM358">
            <v>2</v>
          </cell>
        </row>
        <row r="359">
          <cell r="AK359">
            <v>0</v>
          </cell>
          <cell r="AM359">
            <v>0</v>
          </cell>
        </row>
        <row r="360">
          <cell r="AJ360">
            <v>-2491</v>
          </cell>
          <cell r="AK360">
            <v>0</v>
          </cell>
          <cell r="AM360">
            <v>0</v>
          </cell>
        </row>
        <row r="361">
          <cell r="AJ361">
            <v>-2491</v>
          </cell>
          <cell r="AK361">
            <v>6098.7699999999995</v>
          </cell>
          <cell r="AM361" t="e">
            <v>#REF!</v>
          </cell>
        </row>
        <row r="362">
          <cell r="AK362">
            <v>431.33333333333331</v>
          </cell>
        </row>
        <row r="363">
          <cell r="AK363">
            <v>1399.6999999999998</v>
          </cell>
        </row>
        <row r="364">
          <cell r="F364">
            <v>0</v>
          </cell>
          <cell r="P364">
            <v>0</v>
          </cell>
          <cell r="S364">
            <v>0</v>
          </cell>
          <cell r="T364">
            <v>162.88</v>
          </cell>
          <cell r="U364">
            <v>855.12</v>
          </cell>
          <cell r="X364">
            <v>344</v>
          </cell>
          <cell r="Y364">
            <v>304</v>
          </cell>
          <cell r="Z364">
            <v>265</v>
          </cell>
          <cell r="AC364">
            <v>357</v>
          </cell>
          <cell r="AD364">
            <v>213</v>
          </cell>
          <cell r="AE364">
            <v>314</v>
          </cell>
          <cell r="AF364">
            <v>-335</v>
          </cell>
          <cell r="AG364">
            <v>-335</v>
          </cell>
          <cell r="AH364">
            <v>0</v>
          </cell>
          <cell r="AK364">
            <v>4267.7366666666667</v>
          </cell>
          <cell r="AM364">
            <v>710</v>
          </cell>
        </row>
        <row r="365">
          <cell r="F365">
            <v>0</v>
          </cell>
          <cell r="P365">
            <v>-453</v>
          </cell>
          <cell r="S365">
            <v>-2416</v>
          </cell>
          <cell r="T365">
            <v>160</v>
          </cell>
          <cell r="U365">
            <v>840</v>
          </cell>
          <cell r="X365">
            <v>31</v>
          </cell>
          <cell r="Y365">
            <v>223</v>
          </cell>
          <cell r="Z365">
            <v>314</v>
          </cell>
          <cell r="AC365">
            <v>112</v>
          </cell>
          <cell r="AD365">
            <v>241</v>
          </cell>
          <cell r="AE365">
            <v>286</v>
          </cell>
          <cell r="AF365">
            <v>-54</v>
          </cell>
          <cell r="AG365">
            <v>-54</v>
          </cell>
          <cell r="AH365">
            <v>0</v>
          </cell>
          <cell r="AK365">
            <v>-2779</v>
          </cell>
          <cell r="AM365">
            <v>-2725</v>
          </cell>
        </row>
        <row r="367">
          <cell r="F367" t="e">
            <v>#REF!</v>
          </cell>
        </row>
        <row r="373">
          <cell r="F373">
            <v>0</v>
          </cell>
        </row>
        <row r="374">
          <cell r="F374">
            <v>0</v>
          </cell>
        </row>
        <row r="381">
          <cell r="F381" t="str">
            <v>лютий</v>
          </cell>
          <cell r="P381" t="str">
            <v>лютий</v>
          </cell>
          <cell r="X381" t="str">
            <v>лютий</v>
          </cell>
          <cell r="AC381" t="str">
            <v>лютий</v>
          </cell>
        </row>
        <row r="382">
          <cell r="F382" t="str">
            <v>АППАРАТ</v>
          </cell>
          <cell r="P382" t="str">
            <v>ККМ</v>
          </cell>
          <cell r="X382" t="str">
            <v>ТЕЦ5</v>
          </cell>
          <cell r="AC382" t="str">
            <v>ТЕЦ6</v>
          </cell>
          <cell r="AI382" t="str">
            <v>АК "КЕ"</v>
          </cell>
          <cell r="AJ382" t="str">
            <v>Е/Е</v>
          </cell>
        </row>
        <row r="383">
          <cell r="F383" t="str">
            <v>ПЛАН</v>
          </cell>
          <cell r="P383" t="str">
            <v>ПЛАН</v>
          </cell>
          <cell r="X383" t="str">
            <v>ПЛАН</v>
          </cell>
          <cell r="AC383" t="str">
            <v>ПЛАН</v>
          </cell>
          <cell r="AI383" t="str">
            <v>ПЛАН</v>
          </cell>
          <cell r="AJ383" t="str">
            <v>ПЛАН</v>
          </cell>
        </row>
        <row r="384">
          <cell r="F384">
            <v>164.3</v>
          </cell>
          <cell r="G384">
            <v>96</v>
          </cell>
          <cell r="H384">
            <v>96</v>
          </cell>
          <cell r="P384">
            <v>14.333333333333332</v>
          </cell>
          <cell r="S384">
            <v>14.333333333333332</v>
          </cell>
          <cell r="X384">
            <v>182</v>
          </cell>
          <cell r="Y384">
            <v>129</v>
          </cell>
          <cell r="Z384">
            <v>129</v>
          </cell>
          <cell r="AC384">
            <v>323.66666666666674</v>
          </cell>
          <cell r="AD384">
            <v>170</v>
          </cell>
          <cell r="AE384">
            <v>169</v>
          </cell>
          <cell r="AI384">
            <v>735.30000000000018</v>
          </cell>
          <cell r="AJ384">
            <v>564.33333333333326</v>
          </cell>
          <cell r="AK384">
            <v>421.33333333333331</v>
          </cell>
        </row>
        <row r="385">
          <cell r="F385" t="str">
            <v>лютий</v>
          </cell>
          <cell r="G385">
            <v>17</v>
          </cell>
          <cell r="P385" t="str">
            <v>лютий</v>
          </cell>
          <cell r="X385" t="str">
            <v>лютий</v>
          </cell>
          <cell r="Y385">
            <v>0</v>
          </cell>
          <cell r="AC385" t="str">
            <v>лютий</v>
          </cell>
          <cell r="AD385">
            <v>2</v>
          </cell>
          <cell r="AI385">
            <v>46</v>
          </cell>
          <cell r="AJ385">
            <v>22</v>
          </cell>
        </row>
        <row r="386">
          <cell r="F386" t="str">
            <v>лютий</v>
          </cell>
          <cell r="G386">
            <v>0</v>
          </cell>
          <cell r="P386" t="str">
            <v>лютий</v>
          </cell>
          <cell r="X386" t="str">
            <v>лютий</v>
          </cell>
          <cell r="Y386">
            <v>104</v>
          </cell>
          <cell r="AC386" t="str">
            <v>лютий</v>
          </cell>
          <cell r="AD386">
            <v>147</v>
          </cell>
          <cell r="AI386">
            <v>428</v>
          </cell>
          <cell r="AJ386">
            <v>251.66666666666669</v>
          </cell>
          <cell r="AK386" t="str">
            <v>АК "КЕ"</v>
          </cell>
          <cell r="AL386" t="str">
            <v>Е/Е</v>
          </cell>
        </row>
        <row r="387">
          <cell r="F387" t="str">
            <v>АППАРАТ</v>
          </cell>
          <cell r="G387">
            <v>0</v>
          </cell>
          <cell r="P387" t="str">
            <v>ККМ</v>
          </cell>
          <cell r="X387" t="str">
            <v>ТЕЦ5</v>
          </cell>
          <cell r="Y387">
            <v>0</v>
          </cell>
          <cell r="AC387" t="str">
            <v>ТЕЦ6</v>
          </cell>
          <cell r="AD387">
            <v>13</v>
          </cell>
          <cell r="AI387">
            <v>33.666666666666671</v>
          </cell>
          <cell r="AJ387">
            <v>18</v>
          </cell>
          <cell r="AK387" t="str">
            <v>АК "КЕ"</v>
          </cell>
          <cell r="AL387" t="str">
            <v>Е/Е</v>
          </cell>
        </row>
        <row r="388">
          <cell r="F388" t="str">
            <v>ПЛАН</v>
          </cell>
          <cell r="G388">
            <v>56</v>
          </cell>
          <cell r="H388">
            <v>56</v>
          </cell>
          <cell r="P388" t="str">
            <v>ПЛАН</v>
          </cell>
          <cell r="S388">
            <v>14.333333333333332</v>
          </cell>
          <cell r="X388" t="str">
            <v>ПЛАН</v>
          </cell>
          <cell r="Y388">
            <v>97</v>
          </cell>
          <cell r="Z388">
            <v>97</v>
          </cell>
          <cell r="AC388" t="str">
            <v>ПЛАН</v>
          </cell>
          <cell r="AD388">
            <v>131</v>
          </cell>
          <cell r="AE388">
            <v>130</v>
          </cell>
          <cell r="AI388">
            <v>26</v>
          </cell>
          <cell r="AJ388">
            <v>18</v>
          </cell>
          <cell r="AK388" t="str">
            <v>ПЛАН</v>
          </cell>
          <cell r="AL388" t="str">
            <v>ПЛАН</v>
          </cell>
          <cell r="AM388">
            <v>312.33333333333331</v>
          </cell>
        </row>
        <row r="389">
          <cell r="F389">
            <v>164.3</v>
          </cell>
          <cell r="G389">
            <v>50</v>
          </cell>
          <cell r="H389">
            <v>51</v>
          </cell>
          <cell r="P389">
            <v>14.333333333333332</v>
          </cell>
          <cell r="S389">
            <v>14.333333333333332</v>
          </cell>
          <cell r="X389">
            <v>182</v>
          </cell>
          <cell r="Y389">
            <v>76</v>
          </cell>
          <cell r="Z389">
            <v>76</v>
          </cell>
          <cell r="AC389">
            <v>323.66666666666674</v>
          </cell>
          <cell r="AD389">
            <v>148</v>
          </cell>
          <cell r="AE389">
            <v>147</v>
          </cell>
          <cell r="AI389">
            <v>120.63333333333333</v>
          </cell>
          <cell r="AJ389">
            <v>73</v>
          </cell>
          <cell r="AK389">
            <v>735.30000000000018</v>
          </cell>
          <cell r="AL389">
            <v>517.33333333333326</v>
          </cell>
          <cell r="AM389">
            <v>303.33333333333326</v>
          </cell>
        </row>
        <row r="390">
          <cell r="F390">
            <v>29</v>
          </cell>
          <cell r="G390">
            <v>9</v>
          </cell>
          <cell r="P390">
            <v>0</v>
          </cell>
          <cell r="X390">
            <v>0</v>
          </cell>
          <cell r="Y390">
            <v>0</v>
          </cell>
          <cell r="AC390">
            <v>3.6666666666666665</v>
          </cell>
          <cell r="AD390">
            <v>2</v>
          </cell>
          <cell r="AI390">
            <v>8.6666666666666661</v>
          </cell>
          <cell r="AJ390">
            <v>0</v>
          </cell>
          <cell r="AK390">
            <v>46</v>
          </cell>
          <cell r="AL390">
            <v>14</v>
          </cell>
        </row>
        <row r="391">
          <cell r="F391">
            <v>0</v>
          </cell>
          <cell r="G391">
            <v>0</v>
          </cell>
          <cell r="P391">
            <v>0.66666666666666663</v>
          </cell>
          <cell r="X391">
            <v>146.66666666666666</v>
          </cell>
          <cell r="Y391">
            <v>61</v>
          </cell>
          <cell r="AC391">
            <v>280.66666666666669</v>
          </cell>
          <cell r="AD391">
            <v>128</v>
          </cell>
          <cell r="AI391">
            <v>22</v>
          </cell>
          <cell r="AJ391">
            <v>15.333333333333332</v>
          </cell>
          <cell r="AK391">
            <v>428</v>
          </cell>
          <cell r="AL391">
            <v>189.66666666666666</v>
          </cell>
        </row>
        <row r="392">
          <cell r="F392">
            <v>0</v>
          </cell>
          <cell r="G392">
            <v>0</v>
          </cell>
          <cell r="P392">
            <v>2</v>
          </cell>
          <cell r="X392">
            <v>0</v>
          </cell>
          <cell r="Y392">
            <v>0</v>
          </cell>
          <cell r="AC392">
            <v>25</v>
          </cell>
          <cell r="AD392">
            <v>11</v>
          </cell>
          <cell r="AI392">
            <v>5.333333333333333</v>
          </cell>
          <cell r="AJ392">
            <v>3</v>
          </cell>
          <cell r="AK392">
            <v>33.666666666666671</v>
          </cell>
          <cell r="AL392">
            <v>16</v>
          </cell>
        </row>
        <row r="393">
          <cell r="F393">
            <v>0</v>
          </cell>
          <cell r="G393">
            <v>0</v>
          </cell>
          <cell r="P393">
            <v>0</v>
          </cell>
          <cell r="X393">
            <v>25.333333333333332</v>
          </cell>
          <cell r="Y393">
            <v>11</v>
          </cell>
          <cell r="AC393">
            <v>0.66666666666666663</v>
          </cell>
          <cell r="AD393">
            <v>0</v>
          </cell>
          <cell r="AI393">
            <v>4.6666666666666661</v>
          </cell>
          <cell r="AJ393">
            <v>4.333333333333333</v>
          </cell>
          <cell r="AK393">
            <v>26</v>
          </cell>
          <cell r="AL393">
            <v>11</v>
          </cell>
        </row>
        <row r="394">
          <cell r="F394">
            <v>120.63333333333333</v>
          </cell>
          <cell r="G394">
            <v>37</v>
          </cell>
          <cell r="P394">
            <v>0</v>
          </cell>
          <cell r="X394">
            <v>0</v>
          </cell>
          <cell r="Y394">
            <v>0</v>
          </cell>
          <cell r="AC394">
            <v>0</v>
          </cell>
          <cell r="AD394">
            <v>0</v>
          </cell>
          <cell r="AI394">
            <v>26</v>
          </cell>
          <cell r="AJ394">
            <v>16</v>
          </cell>
          <cell r="AK394">
            <v>120.63333333333333</v>
          </cell>
          <cell r="AL394">
            <v>39</v>
          </cell>
        </row>
        <row r="395">
          <cell r="F395">
            <v>8.6666666666666661</v>
          </cell>
          <cell r="G395">
            <v>3</v>
          </cell>
          <cell r="P395">
            <v>0</v>
          </cell>
          <cell r="X395">
            <v>0</v>
          </cell>
          <cell r="Y395">
            <v>0</v>
          </cell>
          <cell r="AC395">
            <v>0</v>
          </cell>
          <cell r="AD395">
            <v>0</v>
          </cell>
          <cell r="AI395">
            <v>0</v>
          </cell>
          <cell r="AK395">
            <v>8.6666666666666661</v>
          </cell>
          <cell r="AL395">
            <v>0</v>
          </cell>
        </row>
        <row r="396">
          <cell r="F396">
            <v>0</v>
          </cell>
          <cell r="G396">
            <v>0</v>
          </cell>
          <cell r="P396">
            <v>5.333333333333333</v>
          </cell>
          <cell r="X396">
            <v>0</v>
          </cell>
          <cell r="Y396">
            <v>0</v>
          </cell>
          <cell r="AC396">
            <v>0</v>
          </cell>
          <cell r="AD396">
            <v>0</v>
          </cell>
          <cell r="AI396">
            <v>587.33333333333337</v>
          </cell>
          <cell r="AJ396">
            <v>414.5</v>
          </cell>
          <cell r="AK396">
            <v>22</v>
          </cell>
          <cell r="AL396">
            <v>15.333333333333332</v>
          </cell>
        </row>
        <row r="397">
          <cell r="F397">
            <v>5.333333333333333</v>
          </cell>
          <cell r="G397">
            <v>2</v>
          </cell>
          <cell r="P397">
            <v>0</v>
          </cell>
          <cell r="X397">
            <v>0</v>
          </cell>
          <cell r="Y397">
            <v>0</v>
          </cell>
          <cell r="AC397">
            <v>0</v>
          </cell>
          <cell r="AD397">
            <v>0</v>
          </cell>
          <cell r="AI397">
            <v>0</v>
          </cell>
          <cell r="AJ397">
            <v>0</v>
          </cell>
          <cell r="AK397">
            <v>5.333333333333333</v>
          </cell>
          <cell r="AL397">
            <v>2</v>
          </cell>
        </row>
        <row r="398">
          <cell r="F398">
            <v>0.33333333333333331</v>
          </cell>
          <cell r="G398">
            <v>0</v>
          </cell>
          <cell r="P398">
            <v>4.333333333333333</v>
          </cell>
          <cell r="X398">
            <v>0</v>
          </cell>
          <cell r="Y398">
            <v>0</v>
          </cell>
          <cell r="AC398">
            <v>0</v>
          </cell>
          <cell r="AD398">
            <v>0</v>
          </cell>
          <cell r="AI398">
            <v>491.66666666666669</v>
          </cell>
          <cell r="AJ398">
            <v>347</v>
          </cell>
          <cell r="AK398">
            <v>4.6666666666666661</v>
          </cell>
          <cell r="AL398">
            <v>4.333333333333333</v>
          </cell>
        </row>
        <row r="399">
          <cell r="F399">
            <v>0.33333333333333331</v>
          </cell>
          <cell r="G399">
            <v>0</v>
          </cell>
          <cell r="P399">
            <v>2</v>
          </cell>
          <cell r="X399">
            <v>10</v>
          </cell>
          <cell r="Y399">
            <v>4</v>
          </cell>
          <cell r="AC399">
            <v>13.666666666666666</v>
          </cell>
          <cell r="AD399">
            <v>6</v>
          </cell>
          <cell r="AI399">
            <v>0</v>
          </cell>
          <cell r="AJ399">
            <v>0</v>
          </cell>
          <cell r="AK399">
            <v>26</v>
          </cell>
          <cell r="AL399">
            <v>12</v>
          </cell>
        </row>
        <row r="400">
          <cell r="F400">
            <v>0</v>
          </cell>
          <cell r="G400">
            <v>0</v>
          </cell>
          <cell r="P400">
            <v>0</v>
          </cell>
          <cell r="X400">
            <v>0</v>
          </cell>
          <cell r="Y400">
            <v>0</v>
          </cell>
          <cell r="AC400">
            <v>0</v>
          </cell>
          <cell r="AD400">
            <v>0</v>
          </cell>
          <cell r="AI400">
            <v>91</v>
          </cell>
          <cell r="AJ400">
            <v>68.833333333333343</v>
          </cell>
          <cell r="AK400">
            <v>0</v>
          </cell>
          <cell r="AL400">
            <v>316.5</v>
          </cell>
          <cell r="AM400">
            <v>316.83333333333331</v>
          </cell>
        </row>
        <row r="401">
          <cell r="F401">
            <v>1.1666666666666667</v>
          </cell>
          <cell r="G401">
            <v>0</v>
          </cell>
          <cell r="P401">
            <v>20.5</v>
          </cell>
          <cell r="X401">
            <v>522.33333333333337</v>
          </cell>
          <cell r="Y401">
            <v>217</v>
          </cell>
          <cell r="AC401">
            <v>43</v>
          </cell>
          <cell r="AD401">
            <v>20</v>
          </cell>
          <cell r="AI401">
            <v>4.666666666666667</v>
          </cell>
          <cell r="AJ401">
            <v>0</v>
          </cell>
          <cell r="AK401">
            <v>587.33333333333337</v>
          </cell>
          <cell r="AL401">
            <v>257.5</v>
          </cell>
          <cell r="AM401">
            <v>257.83333333333331</v>
          </cell>
        </row>
        <row r="402">
          <cell r="F402">
            <v>0</v>
          </cell>
          <cell r="G402">
            <v>0</v>
          </cell>
          <cell r="P402">
            <v>0</v>
          </cell>
          <cell r="X402">
            <v>0</v>
          </cell>
          <cell r="Y402">
            <v>0</v>
          </cell>
          <cell r="AC402">
            <v>0</v>
          </cell>
          <cell r="AD402">
            <v>0</v>
          </cell>
          <cell r="AI402">
            <v>0</v>
          </cell>
          <cell r="AK402">
            <v>0</v>
          </cell>
          <cell r="AL402">
            <v>0</v>
          </cell>
        </row>
        <row r="403">
          <cell r="F403">
            <v>0</v>
          </cell>
          <cell r="G403">
            <v>0</v>
          </cell>
          <cell r="P403">
            <v>0</v>
          </cell>
          <cell r="X403">
            <v>480.66666666666669</v>
          </cell>
          <cell r="Y403">
            <v>200</v>
          </cell>
          <cell r="AC403">
            <v>11</v>
          </cell>
          <cell r="AD403">
            <v>5</v>
          </cell>
          <cell r="AI403">
            <v>49</v>
          </cell>
          <cell r="AJ403">
            <v>45</v>
          </cell>
          <cell r="AK403">
            <v>491.66666666666669</v>
          </cell>
          <cell r="AL403">
            <v>205</v>
          </cell>
        </row>
        <row r="404">
          <cell r="F404">
            <v>0</v>
          </cell>
          <cell r="G404">
            <v>0</v>
          </cell>
          <cell r="P404">
            <v>0</v>
          </cell>
          <cell r="X404">
            <v>0</v>
          </cell>
          <cell r="Y404">
            <v>0</v>
          </cell>
          <cell r="AC404">
            <v>0</v>
          </cell>
          <cell r="AD404">
            <v>0</v>
          </cell>
          <cell r="AI404">
            <v>6</v>
          </cell>
          <cell r="AJ404">
            <v>5.3333333333333339</v>
          </cell>
          <cell r="AK404">
            <v>0</v>
          </cell>
          <cell r="AL404">
            <v>0</v>
          </cell>
        </row>
        <row r="405">
          <cell r="F405">
            <v>1.1666666666666667</v>
          </cell>
          <cell r="G405">
            <v>0</v>
          </cell>
          <cell r="P405">
            <v>15.833333333333334</v>
          </cell>
          <cell r="X405">
            <v>41.666666666666664</v>
          </cell>
          <cell r="Y405">
            <v>17</v>
          </cell>
          <cell r="AC405">
            <v>32</v>
          </cell>
          <cell r="AD405">
            <v>15</v>
          </cell>
          <cell r="AI405">
            <v>43</v>
          </cell>
          <cell r="AJ405">
            <v>39.666666666666664</v>
          </cell>
          <cell r="AK405">
            <v>91</v>
          </cell>
          <cell r="AL405">
            <v>52.833333333333336</v>
          </cell>
        </row>
        <row r="406">
          <cell r="F406">
            <v>0</v>
          </cell>
          <cell r="G406">
            <v>0</v>
          </cell>
          <cell r="P406">
            <v>4.666666666666667</v>
          </cell>
          <cell r="X406">
            <v>0</v>
          </cell>
          <cell r="Y406">
            <v>0</v>
          </cell>
          <cell r="AC406">
            <v>0</v>
          </cell>
          <cell r="AD406">
            <v>0</v>
          </cell>
          <cell r="AI406">
            <v>0</v>
          </cell>
          <cell r="AK406">
            <v>4.666666666666667</v>
          </cell>
          <cell r="AL406">
            <v>0</v>
          </cell>
        </row>
        <row r="407">
          <cell r="F407">
            <v>0</v>
          </cell>
          <cell r="G407">
            <v>0</v>
          </cell>
          <cell r="H407">
            <v>122</v>
          </cell>
          <cell r="P407">
            <v>0</v>
          </cell>
          <cell r="S407">
            <v>50.166666666666671</v>
          </cell>
          <cell r="X407">
            <v>0</v>
          </cell>
          <cell r="Y407">
            <v>0</v>
          </cell>
          <cell r="AC407">
            <v>0</v>
          </cell>
          <cell r="AD407">
            <v>0</v>
          </cell>
          <cell r="AI407">
            <v>1965.0000000000002</v>
          </cell>
          <cell r="AJ407">
            <v>471.16666666666663</v>
          </cell>
          <cell r="AK407">
            <v>0</v>
          </cell>
          <cell r="AL407">
            <v>42</v>
          </cell>
          <cell r="AM407">
            <v>43</v>
          </cell>
        </row>
        <row r="408">
          <cell r="F408">
            <v>10</v>
          </cell>
          <cell r="G408">
            <v>3</v>
          </cell>
          <cell r="P408">
            <v>39</v>
          </cell>
          <cell r="X408">
            <v>0</v>
          </cell>
          <cell r="Y408">
            <v>0</v>
          </cell>
          <cell r="AC408">
            <v>0</v>
          </cell>
          <cell r="AD408">
            <v>0</v>
          </cell>
          <cell r="AI408">
            <v>1350</v>
          </cell>
          <cell r="AJ408">
            <v>0</v>
          </cell>
          <cell r="AK408">
            <v>49</v>
          </cell>
          <cell r="AL408">
            <v>42</v>
          </cell>
          <cell r="AM408">
            <v>42</v>
          </cell>
        </row>
        <row r="409">
          <cell r="F409">
            <v>2.6666666666666665</v>
          </cell>
          <cell r="G409">
            <v>1</v>
          </cell>
          <cell r="P409">
            <v>3.3333333333333335</v>
          </cell>
          <cell r="X409">
            <v>0</v>
          </cell>
          <cell r="Y409">
            <v>0</v>
          </cell>
          <cell r="AC409">
            <v>0</v>
          </cell>
          <cell r="AD409">
            <v>0</v>
          </cell>
          <cell r="AI409">
            <v>95</v>
          </cell>
          <cell r="AJ409">
            <v>95</v>
          </cell>
          <cell r="AK409">
            <v>6</v>
          </cell>
          <cell r="AL409">
            <v>4.3333333333333339</v>
          </cell>
        </row>
        <row r="410">
          <cell r="F410">
            <v>7.333333333333333</v>
          </cell>
          <cell r="G410">
            <v>2</v>
          </cell>
          <cell r="P410">
            <v>35.666666666666664</v>
          </cell>
          <cell r="X410">
            <v>0</v>
          </cell>
          <cell r="Y410">
            <v>0</v>
          </cell>
          <cell r="AC410">
            <v>0</v>
          </cell>
          <cell r="AD410">
            <v>0</v>
          </cell>
          <cell r="AI410">
            <v>0</v>
          </cell>
          <cell r="AJ410">
            <v>0</v>
          </cell>
          <cell r="AK410">
            <v>43</v>
          </cell>
          <cell r="AL410">
            <v>37.666666666666664</v>
          </cell>
        </row>
        <row r="411">
          <cell r="F411">
            <v>0</v>
          </cell>
          <cell r="G411">
            <v>0</v>
          </cell>
          <cell r="H411">
            <v>71</v>
          </cell>
          <cell r="P411">
            <v>0</v>
          </cell>
          <cell r="S411">
            <v>50.166666666666671</v>
          </cell>
          <cell r="X411">
            <v>0</v>
          </cell>
          <cell r="Y411">
            <v>0</v>
          </cell>
          <cell r="AC411">
            <v>0</v>
          </cell>
          <cell r="AD411">
            <v>0</v>
          </cell>
          <cell r="AI411">
            <v>12.333333333333334</v>
          </cell>
          <cell r="AJ411">
            <v>12.333333333333334</v>
          </cell>
          <cell r="AK411">
            <v>0</v>
          </cell>
          <cell r="AL411">
            <v>412.16666666666663</v>
          </cell>
          <cell r="AM411">
            <v>412.16666666666663</v>
          </cell>
        </row>
        <row r="412">
          <cell r="F412">
            <v>206.33333333333329</v>
          </cell>
          <cell r="G412">
            <v>63</v>
          </cell>
          <cell r="H412">
            <v>64</v>
          </cell>
          <cell r="P412">
            <v>50.166666666666671</v>
          </cell>
          <cell r="S412">
            <v>50.166666666666671</v>
          </cell>
          <cell r="X412">
            <v>37.833333333333343</v>
          </cell>
          <cell r="Y412">
            <v>16</v>
          </cell>
          <cell r="AC412">
            <v>26.000000000000004</v>
          </cell>
          <cell r="AD412">
            <v>12</v>
          </cell>
          <cell r="AI412">
            <v>0</v>
          </cell>
          <cell r="AJ412">
            <v>0</v>
          </cell>
          <cell r="AK412">
            <v>1965.0000000000002</v>
          </cell>
          <cell r="AL412">
            <v>400.16666666666663</v>
          </cell>
          <cell r="AM412">
            <v>400.16666666666663</v>
          </cell>
        </row>
        <row r="413">
          <cell r="F413">
            <v>0</v>
          </cell>
          <cell r="G413">
            <v>0</v>
          </cell>
          <cell r="P413">
            <v>0</v>
          </cell>
          <cell r="X413">
            <v>0</v>
          </cell>
          <cell r="Y413">
            <v>0</v>
          </cell>
          <cell r="AC413">
            <v>0</v>
          </cell>
          <cell r="AD413">
            <v>0</v>
          </cell>
          <cell r="AI413">
            <v>57.666666666666664</v>
          </cell>
          <cell r="AJ413">
            <v>50</v>
          </cell>
          <cell r="AK413">
            <v>1350</v>
          </cell>
          <cell r="AL413">
            <v>0</v>
          </cell>
        </row>
        <row r="414">
          <cell r="F414">
            <v>0</v>
          </cell>
          <cell r="G414">
            <v>0</v>
          </cell>
          <cell r="P414">
            <v>0</v>
          </cell>
          <cell r="X414">
            <v>0</v>
          </cell>
          <cell r="Y414">
            <v>0</v>
          </cell>
          <cell r="AC414">
            <v>0</v>
          </cell>
          <cell r="AD414">
            <v>0</v>
          </cell>
          <cell r="AI414">
            <v>4</v>
          </cell>
          <cell r="AJ414">
            <v>0</v>
          </cell>
          <cell r="AK414">
            <v>95</v>
          </cell>
          <cell r="AL414">
            <v>95</v>
          </cell>
        </row>
        <row r="415">
          <cell r="F415">
            <v>0</v>
          </cell>
          <cell r="G415">
            <v>0</v>
          </cell>
          <cell r="P415">
            <v>0</v>
          </cell>
          <cell r="X415">
            <v>0</v>
          </cell>
          <cell r="Y415">
            <v>0</v>
          </cell>
          <cell r="AC415">
            <v>0</v>
          </cell>
          <cell r="AD415">
            <v>0</v>
          </cell>
          <cell r="AI415">
            <v>0</v>
          </cell>
          <cell r="AJ415">
            <v>0</v>
          </cell>
          <cell r="AK415">
            <v>0</v>
          </cell>
          <cell r="AL415">
            <v>0</v>
          </cell>
        </row>
        <row r="416">
          <cell r="F416">
            <v>0</v>
          </cell>
          <cell r="G416">
            <v>0</v>
          </cell>
          <cell r="P416">
            <v>12.333333333333334</v>
          </cell>
          <cell r="X416">
            <v>0</v>
          </cell>
          <cell r="Y416">
            <v>0</v>
          </cell>
          <cell r="AC416">
            <v>0</v>
          </cell>
          <cell r="AD416">
            <v>0</v>
          </cell>
          <cell r="AI416">
            <v>28.5</v>
          </cell>
          <cell r="AJ416">
            <v>26.5</v>
          </cell>
          <cell r="AK416">
            <v>12.333333333333334</v>
          </cell>
          <cell r="AL416">
            <v>12.333333333333334</v>
          </cell>
        </row>
        <row r="417">
          <cell r="F417">
            <v>0</v>
          </cell>
          <cell r="G417">
            <v>0</v>
          </cell>
          <cell r="P417">
            <v>0</v>
          </cell>
          <cell r="X417">
            <v>0</v>
          </cell>
          <cell r="Y417">
            <v>0</v>
          </cell>
          <cell r="AC417">
            <v>0</v>
          </cell>
          <cell r="AD417">
            <v>0</v>
          </cell>
          <cell r="AI417">
            <v>69</v>
          </cell>
          <cell r="AJ417">
            <v>52.333333333333336</v>
          </cell>
          <cell r="AK417">
            <v>0</v>
          </cell>
          <cell r="AL417">
            <v>0</v>
          </cell>
        </row>
        <row r="418">
          <cell r="F418">
            <v>1.6666666666666667</v>
          </cell>
          <cell r="G418">
            <v>1</v>
          </cell>
          <cell r="P418">
            <v>5</v>
          </cell>
          <cell r="X418">
            <v>3</v>
          </cell>
          <cell r="Y418">
            <v>1</v>
          </cell>
          <cell r="AC418">
            <v>3</v>
          </cell>
          <cell r="AD418">
            <v>1</v>
          </cell>
          <cell r="AI418">
            <v>177</v>
          </cell>
          <cell r="AJ418">
            <v>104</v>
          </cell>
          <cell r="AK418">
            <v>57.666666666666664</v>
          </cell>
          <cell r="AL418">
            <v>48</v>
          </cell>
        </row>
        <row r="419">
          <cell r="F419">
            <v>0</v>
          </cell>
          <cell r="G419">
            <v>0</v>
          </cell>
          <cell r="P419">
            <v>0</v>
          </cell>
          <cell r="X419">
            <v>0</v>
          </cell>
          <cell r="Y419">
            <v>0</v>
          </cell>
          <cell r="AC419">
            <v>0</v>
          </cell>
          <cell r="AD419">
            <v>0</v>
          </cell>
          <cell r="AI419">
            <v>17.666666666666668</v>
          </cell>
          <cell r="AJ419">
            <v>11</v>
          </cell>
          <cell r="AK419">
            <v>4</v>
          </cell>
          <cell r="AL419">
            <v>0</v>
          </cell>
        </row>
        <row r="420">
          <cell r="F420">
            <v>0</v>
          </cell>
          <cell r="G420">
            <v>0</v>
          </cell>
          <cell r="P420">
            <v>0</v>
          </cell>
          <cell r="X420">
            <v>0</v>
          </cell>
          <cell r="Y420">
            <v>0</v>
          </cell>
          <cell r="AC420">
            <v>0</v>
          </cell>
          <cell r="AD420">
            <v>0</v>
          </cell>
          <cell r="AI420">
            <v>6</v>
          </cell>
          <cell r="AJ420">
            <v>4</v>
          </cell>
          <cell r="AK420">
            <v>0</v>
          </cell>
          <cell r="AL420">
            <v>0</v>
          </cell>
        </row>
        <row r="421">
          <cell r="F421">
            <v>0</v>
          </cell>
          <cell r="G421">
            <v>0</v>
          </cell>
          <cell r="P421">
            <v>18.5</v>
          </cell>
          <cell r="X421">
            <v>4.5</v>
          </cell>
          <cell r="Y421">
            <v>2</v>
          </cell>
          <cell r="AC421">
            <v>1.3333333333333333</v>
          </cell>
          <cell r="AD421">
            <v>1</v>
          </cell>
          <cell r="AI421">
            <v>9.3333333333333339</v>
          </cell>
          <cell r="AJ421">
            <v>5.333333333333333</v>
          </cell>
          <cell r="AK421">
            <v>28.5</v>
          </cell>
          <cell r="AL421">
            <v>25.5</v>
          </cell>
        </row>
        <row r="422">
          <cell r="F422">
            <v>0</v>
          </cell>
          <cell r="G422">
            <v>0</v>
          </cell>
          <cell r="P422">
            <v>1.3333333333333333</v>
          </cell>
          <cell r="X422">
            <v>0</v>
          </cell>
          <cell r="Y422">
            <v>0</v>
          </cell>
          <cell r="AC422">
            <v>1.6666666666666667</v>
          </cell>
          <cell r="AD422">
            <v>1</v>
          </cell>
          <cell r="AI422">
            <v>13.333333333333334</v>
          </cell>
          <cell r="AJ422">
            <v>9.3333333333333339</v>
          </cell>
          <cell r="AK422">
            <v>69</v>
          </cell>
          <cell r="AL422">
            <v>52.333333333333336</v>
          </cell>
        </row>
        <row r="423">
          <cell r="F423">
            <v>177</v>
          </cell>
          <cell r="G423">
            <v>54</v>
          </cell>
          <cell r="P423">
            <v>0</v>
          </cell>
          <cell r="X423">
            <v>0</v>
          </cell>
          <cell r="Y423">
            <v>0</v>
          </cell>
          <cell r="AC423">
            <v>0</v>
          </cell>
          <cell r="AD423">
            <v>0</v>
          </cell>
          <cell r="AI423">
            <v>0</v>
          </cell>
          <cell r="AJ423">
            <v>0</v>
          </cell>
          <cell r="AK423">
            <v>177</v>
          </cell>
          <cell r="AL423">
            <v>54</v>
          </cell>
        </row>
        <row r="424">
          <cell r="F424">
            <v>0</v>
          </cell>
          <cell r="G424">
            <v>0</v>
          </cell>
          <cell r="P424">
            <v>0</v>
          </cell>
          <cell r="X424">
            <v>10</v>
          </cell>
          <cell r="Y424">
            <v>4</v>
          </cell>
          <cell r="AC424">
            <v>7.666666666666667</v>
          </cell>
          <cell r="AD424">
            <v>4</v>
          </cell>
          <cell r="AI424">
            <v>0</v>
          </cell>
          <cell r="AJ424">
            <v>0</v>
          </cell>
          <cell r="AK424">
            <v>17.666666666666668</v>
          </cell>
          <cell r="AL424">
            <v>8</v>
          </cell>
        </row>
        <row r="425">
          <cell r="F425">
            <v>0.66666666666666663</v>
          </cell>
          <cell r="G425">
            <v>0</v>
          </cell>
          <cell r="P425">
            <v>2</v>
          </cell>
          <cell r="X425">
            <v>1.3333333333333333</v>
          </cell>
          <cell r="Y425">
            <v>1</v>
          </cell>
          <cell r="AC425">
            <v>1</v>
          </cell>
          <cell r="AD425">
            <v>0</v>
          </cell>
          <cell r="AI425">
            <v>12</v>
          </cell>
          <cell r="AJ425">
            <v>8</v>
          </cell>
          <cell r="AK425">
            <v>6</v>
          </cell>
          <cell r="AL425">
            <v>3</v>
          </cell>
        </row>
        <row r="426">
          <cell r="F426">
            <v>2.6666666666666665</v>
          </cell>
          <cell r="G426">
            <v>1</v>
          </cell>
          <cell r="P426">
            <v>0.33333333333333331</v>
          </cell>
          <cell r="X426">
            <v>1</v>
          </cell>
          <cell r="Y426">
            <v>0</v>
          </cell>
          <cell r="AC426">
            <v>0.66666666666666663</v>
          </cell>
          <cell r="AD426">
            <v>0</v>
          </cell>
          <cell r="AI426">
            <v>0</v>
          </cell>
          <cell r="AJ426">
            <v>0</v>
          </cell>
          <cell r="AK426">
            <v>9.3333333333333339</v>
          </cell>
          <cell r="AL426">
            <v>3.3333333333333335</v>
          </cell>
        </row>
        <row r="427">
          <cell r="F427">
            <v>0</v>
          </cell>
          <cell r="G427">
            <v>0</v>
          </cell>
          <cell r="P427">
            <v>2.3333333333333335</v>
          </cell>
          <cell r="X427">
            <v>6</v>
          </cell>
          <cell r="Y427">
            <v>2</v>
          </cell>
          <cell r="AC427">
            <v>5</v>
          </cell>
          <cell r="AD427">
            <v>2</v>
          </cell>
          <cell r="AI427">
            <v>4.333333333333333</v>
          </cell>
          <cell r="AJ427">
            <v>1.6666666666666665</v>
          </cell>
          <cell r="AK427">
            <v>13.333333333333334</v>
          </cell>
          <cell r="AL427">
            <v>6.3333333333333339</v>
          </cell>
        </row>
        <row r="428">
          <cell r="F428">
            <v>0</v>
          </cell>
          <cell r="G428">
            <v>0</v>
          </cell>
          <cell r="P428">
            <v>0</v>
          </cell>
          <cell r="X428">
            <v>0</v>
          </cell>
          <cell r="Y428">
            <v>0</v>
          </cell>
          <cell r="AC428">
            <v>0</v>
          </cell>
          <cell r="AD428">
            <v>0</v>
          </cell>
          <cell r="AI428">
            <v>3.6666666666666665</v>
          </cell>
          <cell r="AJ428">
            <v>1.6666666666666665</v>
          </cell>
          <cell r="AK428">
            <v>0</v>
          </cell>
          <cell r="AL428">
            <v>0</v>
          </cell>
        </row>
        <row r="429">
          <cell r="F429">
            <v>0</v>
          </cell>
          <cell r="G429">
            <v>0</v>
          </cell>
          <cell r="P429">
            <v>0</v>
          </cell>
          <cell r="X429">
            <v>0</v>
          </cell>
          <cell r="Y429">
            <v>0</v>
          </cell>
          <cell r="AC429">
            <v>0</v>
          </cell>
          <cell r="AD429">
            <v>0</v>
          </cell>
          <cell r="AI429">
            <v>33</v>
          </cell>
          <cell r="AJ429">
            <v>21.666666666666668</v>
          </cell>
          <cell r="AK429">
            <v>0</v>
          </cell>
          <cell r="AL429">
            <v>0</v>
          </cell>
        </row>
        <row r="430">
          <cell r="F430">
            <v>9.6666666666666661</v>
          </cell>
          <cell r="G430">
            <v>3</v>
          </cell>
          <cell r="P430">
            <v>1</v>
          </cell>
          <cell r="X430">
            <v>0</v>
          </cell>
          <cell r="Y430">
            <v>0</v>
          </cell>
          <cell r="AC430">
            <v>0</v>
          </cell>
          <cell r="AD430">
            <v>0</v>
          </cell>
          <cell r="AI430">
            <v>0</v>
          </cell>
          <cell r="AJ430">
            <v>0</v>
          </cell>
          <cell r="AK430">
            <v>12</v>
          </cell>
          <cell r="AL430">
            <v>5</v>
          </cell>
        </row>
        <row r="431">
          <cell r="F431">
            <v>0</v>
          </cell>
          <cell r="G431">
            <v>0</v>
          </cell>
          <cell r="P431">
            <v>0</v>
          </cell>
          <cell r="X431">
            <v>0</v>
          </cell>
          <cell r="Y431">
            <v>0</v>
          </cell>
          <cell r="AC431">
            <v>0</v>
          </cell>
          <cell r="AD431">
            <v>0</v>
          </cell>
          <cell r="AI431">
            <v>0</v>
          </cell>
          <cell r="AJ431">
            <v>53</v>
          </cell>
          <cell r="AK431">
            <v>0</v>
          </cell>
          <cell r="AL431">
            <v>0</v>
          </cell>
        </row>
        <row r="432">
          <cell r="F432">
            <v>2.3333333333333335</v>
          </cell>
          <cell r="G432">
            <v>1</v>
          </cell>
          <cell r="P432">
            <v>0.66666666666666663</v>
          </cell>
          <cell r="X432">
            <v>0.66666666666666663</v>
          </cell>
          <cell r="Y432">
            <v>0</v>
          </cell>
          <cell r="AC432">
            <v>0.66666666666666663</v>
          </cell>
          <cell r="AD432">
            <v>0</v>
          </cell>
          <cell r="AI432">
            <v>1</v>
          </cell>
          <cell r="AJ432">
            <v>1</v>
          </cell>
          <cell r="AK432">
            <v>4.333333333333333</v>
          </cell>
          <cell r="AL432">
            <v>1.6666666666666665</v>
          </cell>
        </row>
        <row r="433">
          <cell r="F433">
            <v>1.6666666666666667</v>
          </cell>
          <cell r="G433">
            <v>1</v>
          </cell>
          <cell r="P433">
            <v>0.66666666666666663</v>
          </cell>
          <cell r="X433">
            <v>0.66666666666666663</v>
          </cell>
          <cell r="Y433">
            <v>0</v>
          </cell>
          <cell r="AC433">
            <v>0.66666666666666663</v>
          </cell>
          <cell r="AD433">
            <v>0</v>
          </cell>
          <cell r="AI433">
            <v>0</v>
          </cell>
          <cell r="AJ433">
            <v>0</v>
          </cell>
          <cell r="AK433">
            <v>3.6666666666666665</v>
          </cell>
          <cell r="AL433">
            <v>1.6666666666666665</v>
          </cell>
        </row>
        <row r="434">
          <cell r="F434">
            <v>6.666666666666667</v>
          </cell>
          <cell r="G434">
            <v>2</v>
          </cell>
          <cell r="P434">
            <v>4.666666666666667</v>
          </cell>
          <cell r="X434">
            <v>3</v>
          </cell>
          <cell r="Y434">
            <v>1</v>
          </cell>
          <cell r="AC434">
            <v>2</v>
          </cell>
          <cell r="AD434">
            <v>1</v>
          </cell>
          <cell r="AI434">
            <v>0</v>
          </cell>
          <cell r="AJ434">
            <v>0</v>
          </cell>
          <cell r="AK434">
            <v>33</v>
          </cell>
          <cell r="AL434">
            <v>18.666666666666668</v>
          </cell>
        </row>
        <row r="435">
          <cell r="F435">
            <v>0</v>
          </cell>
          <cell r="G435">
            <v>0</v>
          </cell>
          <cell r="P435">
            <v>0</v>
          </cell>
          <cell r="X435">
            <v>0</v>
          </cell>
          <cell r="Y435">
            <v>0</v>
          </cell>
          <cell r="AC435">
            <v>0</v>
          </cell>
          <cell r="AD435">
            <v>0</v>
          </cell>
          <cell r="AI435">
            <v>15.666666666666666</v>
          </cell>
          <cell r="AJ435">
            <v>10</v>
          </cell>
          <cell r="AK435">
            <v>0</v>
          </cell>
          <cell r="AL435">
            <v>0</v>
          </cell>
        </row>
        <row r="436">
          <cell r="F436">
            <v>0</v>
          </cell>
          <cell r="G436">
            <v>0</v>
          </cell>
          <cell r="P436">
            <v>0</v>
          </cell>
          <cell r="X436">
            <v>0</v>
          </cell>
          <cell r="Y436">
            <v>0</v>
          </cell>
          <cell r="AC436">
            <v>0</v>
          </cell>
          <cell r="AD436">
            <v>0</v>
          </cell>
          <cell r="AI436">
            <v>0</v>
          </cell>
          <cell r="AJ436">
            <v>0</v>
          </cell>
          <cell r="AK436">
            <v>0</v>
          </cell>
          <cell r="AL436">
            <v>53</v>
          </cell>
        </row>
        <row r="437">
          <cell r="F437">
            <v>1</v>
          </cell>
          <cell r="G437">
            <v>0</v>
          </cell>
          <cell r="P437">
            <v>0</v>
          </cell>
          <cell r="X437">
            <v>0</v>
          </cell>
          <cell r="Y437">
            <v>0</v>
          </cell>
          <cell r="AC437">
            <v>0</v>
          </cell>
          <cell r="AD437">
            <v>0</v>
          </cell>
          <cell r="AI437">
            <v>3.3333333333333335</v>
          </cell>
          <cell r="AJ437">
            <v>2</v>
          </cell>
          <cell r="AK437">
            <v>1</v>
          </cell>
          <cell r="AL437">
            <v>1</v>
          </cell>
        </row>
        <row r="438">
          <cell r="F438">
            <v>0</v>
          </cell>
          <cell r="G438">
            <v>0</v>
          </cell>
          <cell r="P438">
            <v>0</v>
          </cell>
          <cell r="X438">
            <v>0</v>
          </cell>
          <cell r="Y438">
            <v>0</v>
          </cell>
          <cell r="AC438">
            <v>0</v>
          </cell>
          <cell r="AD438">
            <v>0</v>
          </cell>
          <cell r="AI438">
            <v>1.9999999999999998</v>
          </cell>
          <cell r="AJ438">
            <v>0.33333333333333331</v>
          </cell>
          <cell r="AK438">
            <v>0</v>
          </cell>
          <cell r="AL438">
            <v>0</v>
          </cell>
        </row>
        <row r="439">
          <cell r="F439">
            <v>0</v>
          </cell>
          <cell r="G439">
            <v>0</v>
          </cell>
          <cell r="P439">
            <v>0</v>
          </cell>
          <cell r="X439">
            <v>0</v>
          </cell>
          <cell r="Y439">
            <v>0</v>
          </cell>
          <cell r="AC439">
            <v>0</v>
          </cell>
          <cell r="AD439">
            <v>0</v>
          </cell>
          <cell r="AI439">
            <v>0</v>
          </cell>
          <cell r="AJ439">
            <v>0</v>
          </cell>
          <cell r="AK439">
            <v>0</v>
          </cell>
          <cell r="AL439">
            <v>0</v>
          </cell>
        </row>
        <row r="440">
          <cell r="F440">
            <v>2.6666666666666665</v>
          </cell>
          <cell r="G440">
            <v>1</v>
          </cell>
          <cell r="P440">
            <v>1</v>
          </cell>
          <cell r="X440">
            <v>4</v>
          </cell>
          <cell r="Y440">
            <v>2</v>
          </cell>
          <cell r="AC440">
            <v>2</v>
          </cell>
          <cell r="AD440">
            <v>1</v>
          </cell>
          <cell r="AI440">
            <v>0</v>
          </cell>
          <cell r="AJ440">
            <v>0</v>
          </cell>
          <cell r="AK440">
            <v>15.666666666666666</v>
          </cell>
          <cell r="AL440">
            <v>8</v>
          </cell>
        </row>
        <row r="441">
          <cell r="F441">
            <v>0</v>
          </cell>
          <cell r="G441">
            <v>0</v>
          </cell>
          <cell r="P441">
            <v>0</v>
          </cell>
          <cell r="X441">
            <v>0</v>
          </cell>
          <cell r="Y441">
            <v>0</v>
          </cell>
          <cell r="AC441">
            <v>0</v>
          </cell>
          <cell r="AD441">
            <v>0</v>
          </cell>
          <cell r="AI441">
            <v>0</v>
          </cell>
          <cell r="AJ441">
            <v>0</v>
          </cell>
          <cell r="AK441">
            <v>0</v>
          </cell>
          <cell r="AL441">
            <v>0</v>
          </cell>
        </row>
        <row r="442">
          <cell r="F442">
            <v>0</v>
          </cell>
          <cell r="G442">
            <v>0</v>
          </cell>
          <cell r="P442">
            <v>0</v>
          </cell>
          <cell r="X442">
            <v>3.3333333333333335</v>
          </cell>
          <cell r="Y442">
            <v>1</v>
          </cell>
          <cell r="AC442">
            <v>0</v>
          </cell>
          <cell r="AD442">
            <v>0</v>
          </cell>
          <cell r="AI442">
            <v>0</v>
          </cell>
          <cell r="AJ442">
            <v>0</v>
          </cell>
          <cell r="AK442">
            <v>3.3333333333333335</v>
          </cell>
          <cell r="AL442">
            <v>1</v>
          </cell>
        </row>
        <row r="443">
          <cell r="F443">
            <v>0.33333333333333331</v>
          </cell>
          <cell r="G443">
            <v>0</v>
          </cell>
          <cell r="P443">
            <v>0.33333333333333331</v>
          </cell>
          <cell r="X443">
            <v>0.33333333333333331</v>
          </cell>
          <cell r="Y443">
            <v>0</v>
          </cell>
          <cell r="AC443">
            <v>0.33333333333333331</v>
          </cell>
          <cell r="AD443">
            <v>0</v>
          </cell>
          <cell r="AI443">
            <v>0</v>
          </cell>
          <cell r="AJ443">
            <v>0</v>
          </cell>
          <cell r="AK443">
            <v>1.9999999999999998</v>
          </cell>
          <cell r="AL443">
            <v>0.33333333333333331</v>
          </cell>
        </row>
        <row r="444">
          <cell r="F444">
            <v>0</v>
          </cell>
          <cell r="G444">
            <v>0</v>
          </cell>
          <cell r="P444">
            <v>0</v>
          </cell>
          <cell r="X444">
            <v>0</v>
          </cell>
          <cell r="Y444">
            <v>0</v>
          </cell>
          <cell r="AC444">
            <v>0</v>
          </cell>
          <cell r="AD444">
            <v>0</v>
          </cell>
          <cell r="AI444">
            <v>0</v>
          </cell>
          <cell r="AJ444">
            <v>0</v>
          </cell>
          <cell r="AK444">
            <v>0</v>
          </cell>
          <cell r="AL444">
            <v>0</v>
          </cell>
        </row>
        <row r="445">
          <cell r="F445">
            <v>0</v>
          </cell>
          <cell r="G445">
            <v>0</v>
          </cell>
          <cell r="P445">
            <v>0</v>
          </cell>
          <cell r="X445">
            <v>0</v>
          </cell>
          <cell r="Y445">
            <v>0</v>
          </cell>
          <cell r="AC445">
            <v>0</v>
          </cell>
          <cell r="AD445">
            <v>0</v>
          </cell>
          <cell r="AI445">
            <v>0</v>
          </cell>
          <cell r="AJ445">
            <v>2</v>
          </cell>
          <cell r="AK445">
            <v>0</v>
          </cell>
          <cell r="AL445">
            <v>0</v>
          </cell>
        </row>
        <row r="446">
          <cell r="F446">
            <v>0</v>
          </cell>
          <cell r="G446">
            <v>0</v>
          </cell>
          <cell r="P446">
            <v>0</v>
          </cell>
          <cell r="X446">
            <v>0</v>
          </cell>
          <cell r="Y446">
            <v>0</v>
          </cell>
          <cell r="AC446">
            <v>0</v>
          </cell>
          <cell r="AD446">
            <v>0</v>
          </cell>
          <cell r="AI446">
            <v>0</v>
          </cell>
          <cell r="AJ446">
            <v>0</v>
          </cell>
          <cell r="AK446">
            <v>0</v>
          </cell>
          <cell r="AL446">
            <v>0</v>
          </cell>
        </row>
        <row r="447">
          <cell r="F447">
            <v>0</v>
          </cell>
          <cell r="G447">
            <v>0</v>
          </cell>
          <cell r="P447">
            <v>0</v>
          </cell>
          <cell r="X447">
            <v>0</v>
          </cell>
          <cell r="Y447">
            <v>0</v>
          </cell>
          <cell r="AC447">
            <v>0</v>
          </cell>
          <cell r="AD447">
            <v>0</v>
          </cell>
          <cell r="AK447">
            <v>0</v>
          </cell>
          <cell r="AL447">
            <v>0</v>
          </cell>
        </row>
        <row r="448">
          <cell r="F448">
            <v>0</v>
          </cell>
          <cell r="G448">
            <v>0</v>
          </cell>
          <cell r="P448">
            <v>0</v>
          </cell>
          <cell r="X448">
            <v>0</v>
          </cell>
          <cell r="Y448">
            <v>0</v>
          </cell>
          <cell r="AC448">
            <v>0</v>
          </cell>
          <cell r="AD448">
            <v>0</v>
          </cell>
          <cell r="AK448">
            <v>0</v>
          </cell>
          <cell r="AL448">
            <v>0</v>
          </cell>
        </row>
        <row r="449">
          <cell r="F449">
            <v>0</v>
          </cell>
          <cell r="G449">
            <v>0</v>
          </cell>
          <cell r="P449">
            <v>0</v>
          </cell>
          <cell r="X449">
            <v>0</v>
          </cell>
          <cell r="Y449">
            <v>0</v>
          </cell>
          <cell r="AC449">
            <v>0</v>
          </cell>
          <cell r="AD449">
            <v>0</v>
          </cell>
          <cell r="AK449">
            <v>0</v>
          </cell>
          <cell r="AL449">
            <v>0</v>
          </cell>
        </row>
        <row r="450">
          <cell r="G450">
            <v>0</v>
          </cell>
          <cell r="P450">
            <v>0</v>
          </cell>
          <cell r="X450">
            <v>0</v>
          </cell>
          <cell r="Y450">
            <v>0</v>
          </cell>
          <cell r="AC450">
            <v>0</v>
          </cell>
          <cell r="AD450">
            <v>0</v>
          </cell>
          <cell r="AK450">
            <v>0</v>
          </cell>
          <cell r="AL450">
            <v>2</v>
          </cell>
        </row>
        <row r="451">
          <cell r="P451">
            <v>0</v>
          </cell>
          <cell r="X451">
            <v>0</v>
          </cell>
          <cell r="Y451">
            <v>0</v>
          </cell>
          <cell r="AC451">
            <v>0</v>
          </cell>
          <cell r="AD451">
            <v>0</v>
          </cell>
          <cell r="AK451">
            <v>0</v>
          </cell>
          <cell r="AL451">
            <v>0</v>
          </cell>
        </row>
      </sheetData>
      <sheetData sheetId="21" refreshError="1">
        <row r="16">
          <cell r="AP16" t="str">
            <v>ЗАТВЕРДЖУЮ</v>
          </cell>
        </row>
        <row r="17">
          <cell r="AP17" t="str">
            <v>ГОЛОВА ПРАЛІННЯ АК КЕ</v>
          </cell>
        </row>
        <row r="25">
          <cell r="F25">
            <v>3635</v>
          </cell>
          <cell r="G25">
            <v>850</v>
          </cell>
          <cell r="H25">
            <v>2785</v>
          </cell>
          <cell r="P25">
            <v>848.2</v>
          </cell>
          <cell r="Q25">
            <v>0</v>
          </cell>
          <cell r="R25">
            <v>0</v>
          </cell>
          <cell r="S25">
            <v>5175.2666666666664</v>
          </cell>
          <cell r="T25">
            <v>4014.72</v>
          </cell>
          <cell r="U25">
            <v>1160.5466666666666</v>
          </cell>
          <cell r="V25">
            <v>0</v>
          </cell>
          <cell r="W25">
            <v>0</v>
          </cell>
          <cell r="X25">
            <v>1527.3</v>
          </cell>
          <cell r="Y25">
            <v>642</v>
          </cell>
          <cell r="Z25">
            <v>885.3</v>
          </cell>
          <cell r="AA25">
            <v>0</v>
          </cell>
          <cell r="AB25">
            <v>0</v>
          </cell>
          <cell r="AC25">
            <v>518.86666666666667</v>
          </cell>
          <cell r="AD25">
            <v>210</v>
          </cell>
          <cell r="AE25">
            <v>308.86666666666667</v>
          </cell>
          <cell r="AF25">
            <v>1768</v>
          </cell>
          <cell r="AG25">
            <v>1384</v>
          </cell>
          <cell r="AH25">
            <v>384</v>
          </cell>
          <cell r="AJ25">
            <v>0</v>
          </cell>
          <cell r="AK25">
            <v>13885.633333333335</v>
          </cell>
          <cell r="AL25">
            <v>3102.2</v>
          </cell>
          <cell r="AM25">
            <v>10783.433333333334</v>
          </cell>
          <cell r="AN25">
            <v>10783.433333333332</v>
          </cell>
          <cell r="AO25">
            <v>852</v>
          </cell>
          <cell r="AP25">
            <v>2954</v>
          </cell>
          <cell r="AQ25">
            <v>2250.1999999999998</v>
          </cell>
          <cell r="AR25">
            <v>7829.4333333333343</v>
          </cell>
        </row>
        <row r="30">
          <cell r="P30" t="str">
            <v>ВІДХ.</v>
          </cell>
          <cell r="Q30" t="str">
            <v>КТМ ПЛАН</v>
          </cell>
          <cell r="R30" t="str">
            <v>ЗВІТ</v>
          </cell>
          <cell r="S30" t="str">
            <v>ВІДХ.</v>
          </cell>
          <cell r="T30" t="str">
            <v>ТЕЦ-5   ПЛАН</v>
          </cell>
          <cell r="U30" t="str">
            <v>Е/Е</v>
          </cell>
          <cell r="V30" t="str">
            <v xml:space="preserve"> Т/Е</v>
          </cell>
          <cell r="W30" t="str">
            <v>ЗВІТ</v>
          </cell>
          <cell r="X30" t="str">
            <v>ВІДХ.</v>
          </cell>
          <cell r="Y30" t="str">
            <v>ТЕЦ-6  ПЛАН</v>
          </cell>
          <cell r="Z30" t="str">
            <v>Е/Е</v>
          </cell>
          <cell r="AA30" t="str">
            <v xml:space="preserve"> Т/Е</v>
          </cell>
          <cell r="AB30" t="str">
            <v>ЗВІТ</v>
          </cell>
          <cell r="AC30" t="str">
            <v>ВІДХ.</v>
          </cell>
          <cell r="AD30" t="str">
            <v>ТРМ ВСЬОГО ПЛАН</v>
          </cell>
          <cell r="AE30" t="str">
            <v>ТРМ АК ПЛАН</v>
          </cell>
          <cell r="AF30" t="str">
            <v>ТРМ СТОР  ПЛАН</v>
          </cell>
          <cell r="AG30" t="str">
            <v>ТРМ ВСЬОГО ЗВІТ</v>
          </cell>
          <cell r="AH30" t="str">
            <v>ТРМ АК ЗВІТ</v>
          </cell>
          <cell r="AI30" t="str">
            <v>ТРМ СТОР  ЗВІТ</v>
          </cell>
          <cell r="AJ30" t="str">
            <v>відх всього</v>
          </cell>
          <cell r="AK30" t="str">
            <v>Е/Е</v>
          </cell>
          <cell r="AL30" t="str">
            <v xml:space="preserve"> Т/Е</v>
          </cell>
          <cell r="AN30" t="str">
            <v>ДОП.ВИР. ПЛАН</v>
          </cell>
          <cell r="AO30" t="str">
            <v>ЗВІТ</v>
          </cell>
          <cell r="AP30" t="str">
            <v>АК КЕ  ПЛАН</v>
          </cell>
          <cell r="AQ30" t="str">
            <v xml:space="preserve"> Е/Е</v>
          </cell>
          <cell r="AR30" t="str">
            <v xml:space="preserve"> Т/Е</v>
          </cell>
        </row>
        <row r="31">
          <cell r="P31" t="str">
            <v>+</v>
          </cell>
          <cell r="S31" t="str">
            <v>-</v>
          </cell>
          <cell r="U31">
            <v>330</v>
          </cell>
          <cell r="Z31">
            <v>298</v>
          </cell>
          <cell r="AF31" t="str">
            <v>+</v>
          </cell>
          <cell r="AQ31">
            <v>628</v>
          </cell>
        </row>
        <row r="32">
          <cell r="Q32" t="str">
            <v>КТМ</v>
          </cell>
          <cell r="U32">
            <v>291.85000000000002</v>
          </cell>
          <cell r="V32" t="str">
            <v xml:space="preserve">ТЕЦ-5 </v>
          </cell>
          <cell r="Z32">
            <v>268.14999999999998</v>
          </cell>
          <cell r="AA32" t="str">
            <v xml:space="preserve">ТЕЦ-6 </v>
          </cell>
          <cell r="AQ32">
            <v>560</v>
          </cell>
        </row>
        <row r="33">
          <cell r="AQ33">
            <v>0</v>
          </cell>
        </row>
        <row r="34">
          <cell r="F34" t="str">
            <v>ВИКОН.ДИР.</v>
          </cell>
          <cell r="G34" t="str">
            <v>Е/Е</v>
          </cell>
          <cell r="H34" t="str">
            <v xml:space="preserve"> Т/Е</v>
          </cell>
          <cell r="P34" t="str">
            <v xml:space="preserve">КМ </v>
          </cell>
          <cell r="S34" t="str">
            <v xml:space="preserve">ТМ </v>
          </cell>
          <cell r="T34" t="str">
            <v>ВИРОБН</v>
          </cell>
          <cell r="U34" t="str">
            <v>ПЕРЕД</v>
          </cell>
          <cell r="X34" t="str">
            <v>ТЕЦ-5 ВСЬОГО</v>
          </cell>
          <cell r="Y34" t="str">
            <v>Е/Е</v>
          </cell>
          <cell r="Z34" t="str">
            <v xml:space="preserve"> Т/Е</v>
          </cell>
          <cell r="AC34" t="str">
            <v>ТЕЦ-6 ВСЬОГО</v>
          </cell>
          <cell r="AD34" t="str">
            <v>Е/Е</v>
          </cell>
          <cell r="AE34" t="str">
            <v xml:space="preserve"> Т/Е</v>
          </cell>
          <cell r="AF34" t="str">
            <v>ТРМ ВСЬОГО</v>
          </cell>
          <cell r="AG34" t="str">
            <v>ТРМ  АК КЕ</v>
          </cell>
          <cell r="AH34" t="str">
            <v>ТРМ СТОР</v>
          </cell>
          <cell r="AJ34" t="str">
            <v>ДОП.ВИР. СТ.ОРГ.</v>
          </cell>
          <cell r="AK34" t="str">
            <v>АК КЕ ВСЬОГО</v>
          </cell>
          <cell r="AL34" t="str">
            <v xml:space="preserve"> Е/Е</v>
          </cell>
          <cell r="AM34" t="str">
            <v xml:space="preserve"> Т/Е</v>
          </cell>
          <cell r="AO34" t="str">
            <v>СТАНЦІї ЕЛЕКТРО</v>
          </cell>
          <cell r="AP34" t="str">
            <v>СТАНЦІІ ТЕПЛОВІ</v>
          </cell>
          <cell r="AQ34" t="str">
            <v>МЕРЕЖІ ЕЛЕКТРО</v>
          </cell>
          <cell r="AR34" t="str">
            <v>МЕРЕЖІ ТЕПЛОВІ</v>
          </cell>
        </row>
        <row r="35">
          <cell r="AL35">
            <v>395</v>
          </cell>
          <cell r="AQ35">
            <v>32</v>
          </cell>
        </row>
        <row r="36">
          <cell r="AL36">
            <v>336</v>
          </cell>
          <cell r="AQ36">
            <v>0</v>
          </cell>
        </row>
        <row r="37">
          <cell r="AL37">
            <v>0</v>
          </cell>
          <cell r="AQ37">
            <v>500</v>
          </cell>
        </row>
        <row r="38">
          <cell r="AQ38">
            <v>468</v>
          </cell>
        </row>
        <row r="39">
          <cell r="P39">
            <v>-347.57072727272862</v>
          </cell>
          <cell r="Q39">
            <v>22108.007454545455</v>
          </cell>
          <cell r="R39">
            <v>23576</v>
          </cell>
          <cell r="S39">
            <v>1467.9925454545446</v>
          </cell>
          <cell r="T39">
            <v>6545.5823636363884</v>
          </cell>
          <cell r="W39">
            <v>8380</v>
          </cell>
          <cell r="X39">
            <v>1834.4176363636116</v>
          </cell>
          <cell r="Y39">
            <v>3583.0152727272871</v>
          </cell>
          <cell r="Z39">
            <v>1208</v>
          </cell>
          <cell r="AA39">
            <v>2300.067272727274</v>
          </cell>
          <cell r="AB39">
            <v>5452</v>
          </cell>
          <cell r="AC39">
            <v>1868.9847272727129</v>
          </cell>
          <cell r="AD39">
            <v>11439.317757575758</v>
          </cell>
          <cell r="AG39">
            <v>8513</v>
          </cell>
          <cell r="AH39">
            <v>6481</v>
          </cell>
          <cell r="AI39">
            <v>2032</v>
          </cell>
          <cell r="AJ39">
            <v>-2926.3177575757582</v>
          </cell>
          <cell r="AL39">
            <v>0</v>
          </cell>
          <cell r="AN39" t="e">
            <v>#REF!</v>
          </cell>
        </row>
        <row r="40">
          <cell r="AL40">
            <v>0</v>
          </cell>
        </row>
        <row r="41">
          <cell r="Q41">
            <v>5435.727272727273</v>
          </cell>
          <cell r="T41">
            <v>2142.727272727273</v>
          </cell>
          <cell r="U41">
            <v>846</v>
          </cell>
          <cell r="V41">
            <v>1296.7272727272727</v>
          </cell>
          <cell r="Y41">
            <v>1732.7272727272727</v>
          </cell>
          <cell r="Z41">
            <v>647</v>
          </cell>
          <cell r="AA41">
            <v>1085.7272727272727</v>
          </cell>
          <cell r="AE41">
            <v>4482.6363636363631</v>
          </cell>
          <cell r="AG41">
            <v>4464</v>
          </cell>
          <cell r="AH41">
            <v>3202</v>
          </cell>
          <cell r="AL41">
            <v>395.6</v>
          </cell>
          <cell r="AN41" t="e">
            <v>#REF!</v>
          </cell>
          <cell r="AR41">
            <v>2382.4545454545455</v>
          </cell>
        </row>
        <row r="42">
          <cell r="P42">
            <v>0</v>
          </cell>
          <cell r="Q42">
            <v>970</v>
          </cell>
          <cell r="V42">
            <v>750</v>
          </cell>
          <cell r="AA42">
            <v>590</v>
          </cell>
          <cell r="AL42">
            <v>395.6</v>
          </cell>
          <cell r="AR42">
            <v>2095</v>
          </cell>
        </row>
        <row r="43">
          <cell r="AM43">
            <v>1580</v>
          </cell>
        </row>
        <row r="44">
          <cell r="AM44">
            <v>0</v>
          </cell>
        </row>
        <row r="45">
          <cell r="AM45">
            <v>1580</v>
          </cell>
        </row>
        <row r="46">
          <cell r="F46">
            <v>9772.2999999999993</v>
          </cell>
          <cell r="P46">
            <v>4488.6499999999996</v>
          </cell>
          <cell r="Q46">
            <v>1683.0160000000001</v>
          </cell>
          <cell r="R46">
            <v>2125</v>
          </cell>
          <cell r="S46">
            <v>7346.4866666666676</v>
          </cell>
          <cell r="T46">
            <v>5021.7877999999982</v>
          </cell>
          <cell r="U46">
            <v>2888.6988666666671</v>
          </cell>
          <cell r="V46">
            <v>264.488</v>
          </cell>
          <cell r="W46">
            <v>431</v>
          </cell>
          <cell r="X46">
            <v>4384.8755454545462</v>
          </cell>
          <cell r="Y46">
            <v>522.74400000000003</v>
          </cell>
          <cell r="Z46">
            <v>197</v>
          </cell>
          <cell r="AA46">
            <v>325.74400000000003</v>
          </cell>
          <cell r="AB46">
            <v>400</v>
          </cell>
          <cell r="AC46">
            <v>1635.8175757575736</v>
          </cell>
          <cell r="AD46">
            <v>998.3413333333333</v>
          </cell>
          <cell r="AE46">
            <v>844.68000000000006</v>
          </cell>
          <cell r="AF46">
            <v>4864.9509090909087</v>
          </cell>
          <cell r="AG46">
            <v>4394</v>
          </cell>
          <cell r="AH46">
            <v>470.95090909090914</v>
          </cell>
          <cell r="AI46">
            <v>134</v>
          </cell>
          <cell r="AJ46">
            <v>88.658666666666704</v>
          </cell>
          <cell r="AN46">
            <v>0</v>
          </cell>
          <cell r="AP46">
            <v>6000.3919999999998</v>
          </cell>
          <cell r="AQ46">
            <v>2219.1680000000001</v>
          </cell>
          <cell r="AR46">
            <v>3781.2239999999997</v>
          </cell>
        </row>
        <row r="47">
          <cell r="F47">
            <v>0.8</v>
          </cell>
          <cell r="Q47">
            <v>1473.1853333333333</v>
          </cell>
          <cell r="T47">
            <v>145.25866666666667</v>
          </cell>
          <cell r="U47">
            <v>53</v>
          </cell>
          <cell r="V47">
            <v>92.25866666666667</v>
          </cell>
          <cell r="Y47">
            <v>100.22533333333334</v>
          </cell>
          <cell r="Z47">
            <v>38</v>
          </cell>
          <cell r="AA47">
            <v>62.225333333333339</v>
          </cell>
          <cell r="AC47">
            <v>-100.22533333333334</v>
          </cell>
          <cell r="AD47">
            <v>698.17071999999996</v>
          </cell>
          <cell r="AE47">
            <v>625.88250014266646</v>
          </cell>
          <cell r="AP47">
            <v>2344.551833476</v>
          </cell>
        </row>
        <row r="48">
          <cell r="Q48">
            <v>0</v>
          </cell>
          <cell r="T48">
            <v>95.642666666666656</v>
          </cell>
          <cell r="U48">
            <v>39</v>
          </cell>
          <cell r="V48">
            <v>56.642666666666656</v>
          </cell>
          <cell r="Y48">
            <v>206.52799999999999</v>
          </cell>
          <cell r="Z48">
            <v>80</v>
          </cell>
          <cell r="AA48">
            <v>126.52799999999999</v>
          </cell>
          <cell r="AC48">
            <v>-206.52799999999999</v>
          </cell>
          <cell r="AD48">
            <v>0</v>
          </cell>
          <cell r="AE48">
            <v>0</v>
          </cell>
          <cell r="AP48">
            <v>302.17066666666665</v>
          </cell>
        </row>
        <row r="49">
          <cell r="F49">
            <v>783</v>
          </cell>
          <cell r="G49">
            <v>183</v>
          </cell>
          <cell r="H49">
            <v>600</v>
          </cell>
          <cell r="P49">
            <v>304</v>
          </cell>
          <cell r="Q49">
            <v>113.33333333333334</v>
          </cell>
          <cell r="S49">
            <v>1332</v>
          </cell>
          <cell r="T49">
            <v>666</v>
          </cell>
          <cell r="U49">
            <v>666</v>
          </cell>
          <cell r="V49">
            <v>26.626666666666665</v>
          </cell>
          <cell r="X49">
            <v>543</v>
          </cell>
          <cell r="Y49">
            <v>228</v>
          </cell>
          <cell r="Z49">
            <v>315</v>
          </cell>
          <cell r="AA49">
            <v>40.784000000000006</v>
          </cell>
          <cell r="AC49">
            <v>200</v>
          </cell>
          <cell r="AD49">
            <v>81</v>
          </cell>
          <cell r="AE49">
            <v>119</v>
          </cell>
          <cell r="AF49">
            <v>536</v>
          </cell>
          <cell r="AG49">
            <v>500</v>
          </cell>
          <cell r="AH49">
            <v>36</v>
          </cell>
          <cell r="AK49">
            <v>3853</v>
          </cell>
          <cell r="AL49">
            <v>967</v>
          </cell>
          <cell r="AM49">
            <v>2886</v>
          </cell>
          <cell r="AN49">
            <v>2886</v>
          </cell>
          <cell r="AO49">
            <v>309</v>
          </cell>
          <cell r="AP49">
            <v>887</v>
          </cell>
          <cell r="AQ49">
            <v>658</v>
          </cell>
          <cell r="AR49">
            <v>1999</v>
          </cell>
        </row>
        <row r="50">
          <cell r="F50">
            <v>216</v>
          </cell>
          <cell r="G50">
            <v>51</v>
          </cell>
          <cell r="H50">
            <v>165</v>
          </cell>
          <cell r="P50">
            <v>210</v>
          </cell>
          <cell r="Q50">
            <v>1194.9680000000001</v>
          </cell>
          <cell r="R50">
            <v>1386</v>
          </cell>
          <cell r="S50">
            <v>730</v>
          </cell>
          <cell r="T50">
            <v>2642.7440000000001</v>
          </cell>
          <cell r="U50">
            <v>1031</v>
          </cell>
          <cell r="V50">
            <v>1611.7440000000001</v>
          </cell>
          <cell r="W50">
            <v>2636</v>
          </cell>
          <cell r="X50">
            <v>55</v>
          </cell>
          <cell r="Y50">
            <v>23</v>
          </cell>
          <cell r="Z50">
            <v>32</v>
          </cell>
          <cell r="AA50">
            <v>148.624</v>
          </cell>
          <cell r="AB50">
            <v>292</v>
          </cell>
          <cell r="AC50">
            <v>90</v>
          </cell>
          <cell r="AD50">
            <v>37</v>
          </cell>
          <cell r="AE50">
            <v>53</v>
          </cell>
          <cell r="AF50">
            <v>495</v>
          </cell>
          <cell r="AG50">
            <v>460</v>
          </cell>
          <cell r="AH50">
            <v>35</v>
          </cell>
          <cell r="AI50">
            <v>56</v>
          </cell>
          <cell r="AJ50">
            <v>-158.35733333333337</v>
          </cell>
          <cell r="AK50">
            <v>1812</v>
          </cell>
          <cell r="AL50">
            <v>352</v>
          </cell>
          <cell r="AM50">
            <v>1460</v>
          </cell>
          <cell r="AN50">
            <v>1460</v>
          </cell>
          <cell r="AP50">
            <v>4507.7466666666669</v>
          </cell>
          <cell r="AQ50">
            <v>1218.424</v>
          </cell>
          <cell r="AR50">
            <v>3289.3226666666669</v>
          </cell>
        </row>
        <row r="51">
          <cell r="G51">
            <v>0</v>
          </cell>
          <cell r="P51">
            <v>0</v>
          </cell>
          <cell r="Q51">
            <v>60.8</v>
          </cell>
          <cell r="R51">
            <v>54</v>
          </cell>
          <cell r="S51">
            <v>-6.7999999999999972</v>
          </cell>
          <cell r="T51">
            <v>2406.6</v>
          </cell>
          <cell r="U51">
            <v>943</v>
          </cell>
          <cell r="V51">
            <v>1463.6</v>
          </cell>
          <cell r="W51">
            <v>2407</v>
          </cell>
          <cell r="X51">
            <v>142</v>
          </cell>
          <cell r="Y51">
            <v>60</v>
          </cell>
          <cell r="Z51">
            <v>82</v>
          </cell>
          <cell r="AA51">
            <v>23.200000000000003</v>
          </cell>
          <cell r="AB51">
            <v>20</v>
          </cell>
          <cell r="AC51">
            <v>0</v>
          </cell>
          <cell r="AD51">
            <v>0</v>
          </cell>
          <cell r="AE51">
            <v>0</v>
          </cell>
          <cell r="AF51">
            <v>0</v>
          </cell>
          <cell r="AH51">
            <v>0</v>
          </cell>
          <cell r="AI51">
            <v>0</v>
          </cell>
          <cell r="AJ51">
            <v>0</v>
          </cell>
          <cell r="AK51">
            <v>142</v>
          </cell>
          <cell r="AL51">
            <v>60</v>
          </cell>
          <cell r="AM51">
            <v>82</v>
          </cell>
          <cell r="AN51">
            <v>82</v>
          </cell>
          <cell r="AP51">
            <v>2505.6</v>
          </cell>
          <cell r="AQ51">
            <v>958</v>
          </cell>
          <cell r="AR51">
            <v>1547.6</v>
          </cell>
        </row>
        <row r="52">
          <cell r="F52">
            <v>565</v>
          </cell>
          <cell r="G52">
            <v>132</v>
          </cell>
          <cell r="H52">
            <v>433</v>
          </cell>
          <cell r="P52">
            <v>64</v>
          </cell>
          <cell r="Q52">
            <v>54080</v>
          </cell>
          <cell r="R52">
            <v>61402</v>
          </cell>
          <cell r="S52">
            <v>21</v>
          </cell>
          <cell r="T52">
            <v>109560</v>
          </cell>
          <cell r="U52">
            <v>66108.347560975613</v>
          </cell>
          <cell r="V52">
            <v>43451.652439024387</v>
          </cell>
          <cell r="W52">
            <v>93632</v>
          </cell>
          <cell r="X52">
            <v>50</v>
          </cell>
          <cell r="Y52">
            <v>21</v>
          </cell>
          <cell r="Z52">
            <v>29</v>
          </cell>
          <cell r="AA52">
            <v>38582.249838047945</v>
          </cell>
          <cell r="AB52">
            <v>76301</v>
          </cell>
          <cell r="AC52">
            <v>66</v>
          </cell>
          <cell r="AD52">
            <v>27</v>
          </cell>
          <cell r="AE52">
            <v>39</v>
          </cell>
          <cell r="AF52">
            <v>38</v>
          </cell>
          <cell r="AG52">
            <v>38</v>
          </cell>
          <cell r="AH52">
            <v>0</v>
          </cell>
          <cell r="AI52">
            <v>0</v>
          </cell>
          <cell r="AJ52">
            <v>0</v>
          </cell>
          <cell r="AK52">
            <v>927</v>
          </cell>
          <cell r="AL52">
            <v>367</v>
          </cell>
          <cell r="AM52">
            <v>560</v>
          </cell>
          <cell r="AN52">
            <v>560</v>
          </cell>
          <cell r="AP52">
            <v>253968</v>
          </cell>
          <cell r="AQ52">
            <v>117854.09772292766</v>
          </cell>
          <cell r="AR52">
            <v>136113.90227707234</v>
          </cell>
        </row>
        <row r="53">
          <cell r="F53">
            <v>1</v>
          </cell>
          <cell r="G53">
            <v>0</v>
          </cell>
          <cell r="H53">
            <v>1</v>
          </cell>
          <cell r="P53">
            <v>56.333333333333336</v>
          </cell>
          <cell r="Q53">
            <v>54080</v>
          </cell>
          <cell r="R53">
            <v>61402</v>
          </cell>
          <cell r="S53">
            <v>929</v>
          </cell>
          <cell r="T53">
            <v>724.62</v>
          </cell>
          <cell r="U53">
            <v>204.38</v>
          </cell>
          <cell r="V53">
            <v>43451.652439024387</v>
          </cell>
          <cell r="W53">
            <v>93632</v>
          </cell>
          <cell r="X53">
            <v>783</v>
          </cell>
          <cell r="Y53">
            <v>329</v>
          </cell>
          <cell r="Z53">
            <v>454</v>
          </cell>
          <cell r="AA53">
            <v>38582.249838047945</v>
          </cell>
          <cell r="AB53">
            <v>46301</v>
          </cell>
          <cell r="AC53">
            <v>187.33333333333331</v>
          </cell>
          <cell r="AD53">
            <v>76</v>
          </cell>
          <cell r="AE53">
            <v>111.33333333333331</v>
          </cell>
          <cell r="AF53">
            <v>449</v>
          </cell>
          <cell r="AG53">
            <v>400</v>
          </cell>
          <cell r="AH53">
            <v>49</v>
          </cell>
          <cell r="AI53">
            <v>0</v>
          </cell>
          <cell r="AJ53">
            <v>0</v>
          </cell>
          <cell r="AK53">
            <v>2356.666666666667</v>
          </cell>
          <cell r="AL53">
            <v>461.33333333333331</v>
          </cell>
          <cell r="AM53">
            <v>1895.3333333333337</v>
          </cell>
          <cell r="AN53">
            <v>1895.3333333333333</v>
          </cell>
          <cell r="AO53">
            <v>405</v>
          </cell>
          <cell r="AP53">
            <v>881</v>
          </cell>
          <cell r="AQ53">
            <v>56.333333333333314</v>
          </cell>
          <cell r="AR53">
            <v>1014.3333333333337</v>
          </cell>
        </row>
        <row r="54">
          <cell r="F54">
            <v>0</v>
          </cell>
          <cell r="G54">
            <v>0</v>
          </cell>
          <cell r="H54">
            <v>0</v>
          </cell>
          <cell r="P54">
            <v>0</v>
          </cell>
          <cell r="Q54">
            <v>0</v>
          </cell>
          <cell r="S54">
            <v>13.666666666666666</v>
          </cell>
          <cell r="T54">
            <v>13.666666666666666</v>
          </cell>
          <cell r="U54">
            <v>0</v>
          </cell>
          <cell r="X54">
            <v>623</v>
          </cell>
          <cell r="Y54">
            <v>262</v>
          </cell>
          <cell r="Z54">
            <v>361</v>
          </cell>
          <cell r="AA54">
            <v>0</v>
          </cell>
          <cell r="AC54">
            <v>13.333333333333334</v>
          </cell>
          <cell r="AD54">
            <v>5</v>
          </cell>
          <cell r="AE54">
            <v>8.3333333333333339</v>
          </cell>
          <cell r="AF54">
            <v>0</v>
          </cell>
          <cell r="AH54">
            <v>0</v>
          </cell>
          <cell r="AK54">
            <v>650</v>
          </cell>
          <cell r="AL54">
            <v>267</v>
          </cell>
          <cell r="AM54">
            <v>383</v>
          </cell>
          <cell r="AN54">
            <v>383</v>
          </cell>
          <cell r="AO54">
            <v>267</v>
          </cell>
          <cell r="AP54">
            <v>374</v>
          </cell>
          <cell r="AQ54">
            <v>0</v>
          </cell>
          <cell r="AR54">
            <v>9</v>
          </cell>
        </row>
        <row r="55">
          <cell r="F55">
            <v>0</v>
          </cell>
          <cell r="G55">
            <v>0</v>
          </cell>
          <cell r="H55">
            <v>0</v>
          </cell>
          <cell r="P55">
            <v>-17.336000000000013</v>
          </cell>
          <cell r="Q55">
            <v>9035.0240000000013</v>
          </cell>
          <cell r="R55">
            <v>8493</v>
          </cell>
          <cell r="S55">
            <v>21522</v>
          </cell>
          <cell r="T55">
            <v>21522</v>
          </cell>
          <cell r="U55">
            <v>0</v>
          </cell>
          <cell r="V55">
            <v>0</v>
          </cell>
          <cell r="X55">
            <v>25680</v>
          </cell>
          <cell r="Y55">
            <v>10797</v>
          </cell>
          <cell r="Z55">
            <v>14883</v>
          </cell>
          <cell r="AA55">
            <v>0</v>
          </cell>
          <cell r="AB55">
            <v>0</v>
          </cell>
          <cell r="AC55">
            <v>22580</v>
          </cell>
          <cell r="AD55">
            <v>9180</v>
          </cell>
          <cell r="AE55">
            <v>13400</v>
          </cell>
          <cell r="AF55">
            <v>1242.3679999999999</v>
          </cell>
          <cell r="AG55">
            <v>809</v>
          </cell>
          <cell r="AH55">
            <v>0</v>
          </cell>
          <cell r="AI55">
            <v>1225</v>
          </cell>
          <cell r="AJ55">
            <v>-1430.04</v>
          </cell>
          <cell r="AK55">
            <v>69782</v>
          </cell>
          <cell r="AL55">
            <v>19977</v>
          </cell>
          <cell r="AM55">
            <v>49805</v>
          </cell>
          <cell r="AN55">
            <v>49805</v>
          </cell>
          <cell r="AO55">
            <v>19977</v>
          </cell>
          <cell r="AP55">
            <v>49805</v>
          </cell>
          <cell r="AQ55">
            <v>0</v>
          </cell>
          <cell r="AR55">
            <v>0</v>
          </cell>
        </row>
        <row r="56">
          <cell r="F56">
            <v>0</v>
          </cell>
          <cell r="G56">
            <v>0</v>
          </cell>
          <cell r="H56">
            <v>0</v>
          </cell>
          <cell r="P56">
            <v>0</v>
          </cell>
          <cell r="Q56">
            <v>3026</v>
          </cell>
          <cell r="R56">
            <v>2369</v>
          </cell>
          <cell r="S56">
            <v>21522</v>
          </cell>
          <cell r="T56">
            <v>21522</v>
          </cell>
          <cell r="U56">
            <v>0</v>
          </cell>
          <cell r="V56">
            <v>582.72727272727275</v>
          </cell>
          <cell r="W56">
            <v>745</v>
          </cell>
          <cell r="X56">
            <v>25680</v>
          </cell>
          <cell r="Y56">
            <v>10797</v>
          </cell>
          <cell r="Z56">
            <v>14883</v>
          </cell>
          <cell r="AA56">
            <v>517.72727272727275</v>
          </cell>
          <cell r="AB56">
            <v>662</v>
          </cell>
          <cell r="AC56">
            <v>22580</v>
          </cell>
          <cell r="AD56">
            <v>9180</v>
          </cell>
          <cell r="AE56">
            <v>13400</v>
          </cell>
          <cell r="AF56">
            <v>0</v>
          </cell>
          <cell r="AG56">
            <v>0</v>
          </cell>
          <cell r="AH56">
            <v>0</v>
          </cell>
          <cell r="AI56">
            <v>306</v>
          </cell>
          <cell r="AJ56">
            <v>-704.5454545454545</v>
          </cell>
          <cell r="AK56">
            <v>69782</v>
          </cell>
          <cell r="AL56">
            <v>19977</v>
          </cell>
          <cell r="AM56">
            <v>49805</v>
          </cell>
          <cell r="AN56">
            <v>49805</v>
          </cell>
          <cell r="AO56">
            <v>19977</v>
          </cell>
          <cell r="AP56">
            <v>49805</v>
          </cell>
          <cell r="AQ56">
            <v>0</v>
          </cell>
          <cell r="AR56">
            <v>0</v>
          </cell>
        </row>
        <row r="57">
          <cell r="F57">
            <v>0</v>
          </cell>
          <cell r="G57">
            <v>0</v>
          </cell>
          <cell r="H57">
            <v>0</v>
          </cell>
          <cell r="P57">
            <v>-16</v>
          </cell>
          <cell r="Q57">
            <v>166</v>
          </cell>
          <cell r="R57">
            <v>129</v>
          </cell>
          <cell r="S57">
            <v>-37</v>
          </cell>
          <cell r="T57">
            <v>0</v>
          </cell>
          <cell r="U57">
            <v>0</v>
          </cell>
          <cell r="V57">
            <v>31</v>
          </cell>
          <cell r="W57">
            <v>39</v>
          </cell>
          <cell r="X57">
            <v>-14</v>
          </cell>
          <cell r="Y57">
            <v>45</v>
          </cell>
          <cell r="Z57">
            <v>17</v>
          </cell>
          <cell r="AA57">
            <v>28</v>
          </cell>
          <cell r="AB57">
            <v>35</v>
          </cell>
          <cell r="AC57">
            <v>-10</v>
          </cell>
          <cell r="AD57">
            <v>180</v>
          </cell>
          <cell r="AE57">
            <v>165</v>
          </cell>
          <cell r="AF57">
            <v>0</v>
          </cell>
          <cell r="AG57">
            <v>136</v>
          </cell>
          <cell r="AH57">
            <v>0</v>
          </cell>
          <cell r="AI57">
            <v>18</v>
          </cell>
          <cell r="AJ57">
            <v>-44</v>
          </cell>
          <cell r="AK57">
            <v>0</v>
          </cell>
          <cell r="AL57">
            <v>0</v>
          </cell>
          <cell r="AM57">
            <v>0</v>
          </cell>
          <cell r="AN57">
            <v>0</v>
          </cell>
          <cell r="AP57">
            <v>0</v>
          </cell>
          <cell r="AQ57">
            <v>169</v>
          </cell>
          <cell r="AR57">
            <v>438</v>
          </cell>
        </row>
        <row r="58">
          <cell r="F58">
            <v>7</v>
          </cell>
          <cell r="G58">
            <v>0</v>
          </cell>
          <cell r="H58">
            <v>0</v>
          </cell>
          <cell r="P58">
            <v>62.666666666666664</v>
          </cell>
          <cell r="Q58">
            <v>968</v>
          </cell>
          <cell r="R58">
            <v>610</v>
          </cell>
          <cell r="S58">
            <v>2524</v>
          </cell>
          <cell r="T58">
            <v>2524</v>
          </cell>
          <cell r="U58">
            <v>0</v>
          </cell>
          <cell r="V58">
            <v>186</v>
          </cell>
          <cell r="W58">
            <v>229</v>
          </cell>
          <cell r="X58">
            <v>0</v>
          </cell>
          <cell r="Y58">
            <v>0</v>
          </cell>
          <cell r="Z58">
            <v>0</v>
          </cell>
          <cell r="AA58">
            <v>165</v>
          </cell>
          <cell r="AB58">
            <v>205</v>
          </cell>
          <cell r="AC58">
            <v>0</v>
          </cell>
          <cell r="AD58">
            <v>0</v>
          </cell>
          <cell r="AE58">
            <v>0</v>
          </cell>
          <cell r="AF58">
            <v>306</v>
          </cell>
          <cell r="AG58">
            <v>106</v>
          </cell>
          <cell r="AH58">
            <v>200</v>
          </cell>
          <cell r="AI58">
            <v>103</v>
          </cell>
          <cell r="AJ58">
            <v>-253</v>
          </cell>
          <cell r="AK58">
            <v>2692.6666666666665</v>
          </cell>
          <cell r="AL58">
            <v>62.666666666666664</v>
          </cell>
          <cell r="AM58">
            <v>2630</v>
          </cell>
          <cell r="AN58">
            <v>2630</v>
          </cell>
          <cell r="AO58">
            <v>0</v>
          </cell>
          <cell r="AP58">
            <v>858</v>
          </cell>
          <cell r="AQ58">
            <v>62.666666666666664</v>
          </cell>
          <cell r="AR58">
            <v>1772</v>
          </cell>
        </row>
        <row r="59">
          <cell r="F59">
            <v>539.29999999999995</v>
          </cell>
          <cell r="G59">
            <v>126</v>
          </cell>
          <cell r="H59">
            <v>413.29999999999995</v>
          </cell>
          <cell r="P59">
            <v>634.45000000000005</v>
          </cell>
          <cell r="Q59">
            <v>0</v>
          </cell>
          <cell r="S59">
            <v>979.22</v>
          </cell>
          <cell r="T59">
            <v>479.81779999999998</v>
          </cell>
          <cell r="U59">
            <v>499.40220000000005</v>
          </cell>
          <cell r="V59">
            <v>0</v>
          </cell>
          <cell r="X59">
            <v>300.57554545454542</v>
          </cell>
          <cell r="Y59">
            <v>126</v>
          </cell>
          <cell r="Z59">
            <v>174.57554545454542</v>
          </cell>
          <cell r="AA59">
            <v>0</v>
          </cell>
          <cell r="AC59">
            <v>370.95090909090908</v>
          </cell>
          <cell r="AD59">
            <v>151</v>
          </cell>
          <cell r="AE59">
            <v>219.95090909090908</v>
          </cell>
          <cell r="AF59">
            <v>1182.9509090909091</v>
          </cell>
          <cell r="AG59">
            <v>1120</v>
          </cell>
          <cell r="AH59">
            <v>62.950909090909136</v>
          </cell>
          <cell r="AI59">
            <v>0</v>
          </cell>
          <cell r="AJ59">
            <v>0</v>
          </cell>
          <cell r="AK59">
            <v>4311.496454545455</v>
          </cell>
          <cell r="AL59">
            <v>1289.45</v>
          </cell>
          <cell r="AM59">
            <v>3022.0464545454552</v>
          </cell>
          <cell r="AN59">
            <v>3022.0464545454543</v>
          </cell>
          <cell r="AO59">
            <v>277</v>
          </cell>
          <cell r="AP59">
            <v>727</v>
          </cell>
          <cell r="AQ59">
            <v>1012.45</v>
          </cell>
          <cell r="AR59">
            <v>2295.0464545454552</v>
          </cell>
        </row>
        <row r="60">
          <cell r="F60">
            <v>30</v>
          </cell>
          <cell r="G60">
            <v>7</v>
          </cell>
          <cell r="H60">
            <v>23</v>
          </cell>
          <cell r="P60">
            <v>35</v>
          </cell>
          <cell r="Q60">
            <v>4149</v>
          </cell>
          <cell r="R60">
            <v>3886</v>
          </cell>
          <cell r="S60">
            <v>54</v>
          </cell>
          <cell r="T60">
            <v>26</v>
          </cell>
          <cell r="U60">
            <v>27</v>
          </cell>
          <cell r="V60">
            <v>1299</v>
          </cell>
          <cell r="W60">
            <v>2064</v>
          </cell>
          <cell r="X60">
            <v>17</v>
          </cell>
          <cell r="Y60">
            <v>7</v>
          </cell>
          <cell r="Z60">
            <v>10</v>
          </cell>
          <cell r="AA60">
            <v>1383</v>
          </cell>
          <cell r="AB60">
            <v>2209</v>
          </cell>
          <cell r="AC60">
            <v>20</v>
          </cell>
          <cell r="AD60">
            <v>8</v>
          </cell>
          <cell r="AE60">
            <v>12</v>
          </cell>
          <cell r="AF60">
            <v>65</v>
          </cell>
          <cell r="AG60">
            <v>62</v>
          </cell>
          <cell r="AH60">
            <v>3</v>
          </cell>
          <cell r="AI60">
            <v>155</v>
          </cell>
          <cell r="AJ60">
            <v>-84.666666666666742</v>
          </cell>
          <cell r="AK60">
            <v>238</v>
          </cell>
          <cell r="AL60">
            <v>71</v>
          </cell>
          <cell r="AM60">
            <v>167</v>
          </cell>
          <cell r="AN60">
            <v>167</v>
          </cell>
          <cell r="AO60">
            <v>15</v>
          </cell>
          <cell r="AP60">
            <v>34</v>
          </cell>
          <cell r="AQ60">
            <v>56</v>
          </cell>
          <cell r="AR60">
            <v>133</v>
          </cell>
        </row>
        <row r="61">
          <cell r="F61">
            <v>173</v>
          </cell>
          <cell r="G61">
            <v>41</v>
          </cell>
          <cell r="H61">
            <v>132</v>
          </cell>
          <cell r="P61">
            <v>203</v>
          </cell>
          <cell r="Q61">
            <v>0</v>
          </cell>
          <cell r="S61">
            <v>313</v>
          </cell>
          <cell r="T61">
            <v>154</v>
          </cell>
          <cell r="U61">
            <v>160</v>
          </cell>
          <cell r="X61">
            <v>96</v>
          </cell>
          <cell r="Y61">
            <v>40</v>
          </cell>
          <cell r="Z61">
            <v>56</v>
          </cell>
          <cell r="AA61">
            <v>0</v>
          </cell>
          <cell r="AC61">
            <v>119</v>
          </cell>
          <cell r="AD61">
            <v>48</v>
          </cell>
          <cell r="AE61">
            <v>71</v>
          </cell>
          <cell r="AF61">
            <v>379</v>
          </cell>
          <cell r="AG61">
            <v>358</v>
          </cell>
          <cell r="AH61">
            <v>21</v>
          </cell>
          <cell r="AI61">
            <v>0</v>
          </cell>
          <cell r="AJ61">
            <v>0</v>
          </cell>
          <cell r="AK61">
            <v>1380</v>
          </cell>
          <cell r="AL61">
            <v>413</v>
          </cell>
          <cell r="AM61">
            <v>967</v>
          </cell>
          <cell r="AN61">
            <v>967</v>
          </cell>
          <cell r="AO61">
            <v>0</v>
          </cell>
          <cell r="AP61">
            <v>0</v>
          </cell>
          <cell r="AQ61">
            <v>0</v>
          </cell>
          <cell r="AR61">
            <v>0</v>
          </cell>
        </row>
        <row r="62">
          <cell r="F62">
            <v>0</v>
          </cell>
          <cell r="G62">
            <v>0</v>
          </cell>
          <cell r="P62">
            <v>0</v>
          </cell>
          <cell r="Q62">
            <v>2962.8939999999998</v>
          </cell>
          <cell r="S62">
            <v>-2962.8939999999998</v>
          </cell>
          <cell r="T62">
            <v>176.47000000000003</v>
          </cell>
          <cell r="U62">
            <v>53</v>
          </cell>
          <cell r="X62">
            <v>0</v>
          </cell>
          <cell r="Y62">
            <v>225.76000000000002</v>
          </cell>
          <cell r="Z62">
            <v>28</v>
          </cell>
          <cell r="AA62">
            <v>197.76000000000002</v>
          </cell>
          <cell r="AC62">
            <v>-225.76000000000002</v>
          </cell>
          <cell r="AD62">
            <v>1009.45</v>
          </cell>
          <cell r="AE62">
            <v>932.45</v>
          </cell>
          <cell r="AF62">
            <v>77</v>
          </cell>
          <cell r="AH62">
            <v>0</v>
          </cell>
          <cell r="AI62">
            <v>0</v>
          </cell>
          <cell r="AJ62">
            <v>-1009.45</v>
          </cell>
          <cell r="AK62">
            <v>0</v>
          </cell>
          <cell r="AN62">
            <v>0</v>
          </cell>
          <cell r="AP62">
            <v>6166.7240000000002</v>
          </cell>
          <cell r="AQ62">
            <v>1784.15</v>
          </cell>
          <cell r="AR62">
            <v>4382.5740000000005</v>
          </cell>
        </row>
        <row r="63">
          <cell r="F63">
            <v>93</v>
          </cell>
          <cell r="G63">
            <v>22</v>
          </cell>
          <cell r="H63">
            <v>71</v>
          </cell>
          <cell r="P63">
            <v>847</v>
          </cell>
          <cell r="Q63">
            <v>0</v>
          </cell>
          <cell r="S63">
            <v>1928</v>
          </cell>
          <cell r="T63">
            <v>308.48</v>
          </cell>
          <cell r="U63">
            <v>1619.52</v>
          </cell>
          <cell r="X63">
            <v>480</v>
          </cell>
          <cell r="Y63">
            <v>202</v>
          </cell>
          <cell r="Z63">
            <v>278</v>
          </cell>
          <cell r="AA63">
            <v>0</v>
          </cell>
          <cell r="AC63">
            <v>527</v>
          </cell>
          <cell r="AD63">
            <v>214</v>
          </cell>
          <cell r="AE63">
            <v>313</v>
          </cell>
          <cell r="AF63">
            <v>653</v>
          </cell>
          <cell r="AG63">
            <v>653</v>
          </cell>
          <cell r="AH63">
            <v>0</v>
          </cell>
          <cell r="AI63">
            <v>0</v>
          </cell>
          <cell r="AJ63">
            <v>0</v>
          </cell>
          <cell r="AK63">
            <v>4552</v>
          </cell>
          <cell r="AL63">
            <v>1305</v>
          </cell>
          <cell r="AM63">
            <v>3247</v>
          </cell>
          <cell r="AN63">
            <v>3247</v>
          </cell>
          <cell r="AO63">
            <v>416</v>
          </cell>
          <cell r="AP63">
            <v>1247</v>
          </cell>
          <cell r="AQ63">
            <v>889</v>
          </cell>
          <cell r="AR63">
            <v>2000</v>
          </cell>
        </row>
        <row r="64">
          <cell r="G64">
            <v>0</v>
          </cell>
          <cell r="P64">
            <v>-167.84999999999991</v>
          </cell>
          <cell r="Q64">
            <v>1186.1060000000002</v>
          </cell>
          <cell r="S64">
            <v>-1186.1060000000002</v>
          </cell>
          <cell r="T64">
            <v>31</v>
          </cell>
          <cell r="U64">
            <v>162</v>
          </cell>
          <cell r="X64">
            <v>-1945.53</v>
          </cell>
          <cell r="Y64">
            <v>1975.24</v>
          </cell>
          <cell r="Z64">
            <v>790</v>
          </cell>
          <cell r="AA64">
            <v>1185.24</v>
          </cell>
          <cell r="AC64">
            <v>-1975.24</v>
          </cell>
          <cell r="AD64">
            <v>716.2166666666667</v>
          </cell>
          <cell r="AE64">
            <v>641.88333333333344</v>
          </cell>
          <cell r="AF64">
            <v>74.333333333333258</v>
          </cell>
          <cell r="AG64">
            <v>1641</v>
          </cell>
          <cell r="AH64">
            <v>0</v>
          </cell>
          <cell r="AI64">
            <v>155</v>
          </cell>
          <cell r="AJ64">
            <v>0</v>
          </cell>
          <cell r="AK64">
            <v>0</v>
          </cell>
          <cell r="AN64">
            <v>0</v>
          </cell>
          <cell r="AO64">
            <v>42</v>
          </cell>
          <cell r="AP64">
            <v>125</v>
          </cell>
          <cell r="AQ64">
            <v>89</v>
          </cell>
          <cell r="AR64">
            <v>200</v>
          </cell>
        </row>
        <row r="65">
          <cell r="F65">
            <v>0</v>
          </cell>
          <cell r="G65">
            <v>0</v>
          </cell>
          <cell r="H65">
            <v>0</v>
          </cell>
          <cell r="P65">
            <v>810</v>
          </cell>
          <cell r="Q65">
            <v>2567.7454545454548</v>
          </cell>
          <cell r="R65">
            <v>2254</v>
          </cell>
          <cell r="S65">
            <v>-474</v>
          </cell>
          <cell r="T65">
            <v>1558.3090909090909</v>
          </cell>
          <cell r="U65">
            <v>591</v>
          </cell>
          <cell r="V65">
            <v>967.30909090909086</v>
          </cell>
          <cell r="W65">
            <v>1557</v>
          </cell>
          <cell r="X65">
            <v>1029</v>
          </cell>
          <cell r="Y65">
            <v>1196.7</v>
          </cell>
          <cell r="Z65">
            <v>400</v>
          </cell>
          <cell r="AA65">
            <v>796.7</v>
          </cell>
          <cell r="AB65">
            <v>1201</v>
          </cell>
          <cell r="AC65">
            <v>-117</v>
          </cell>
          <cell r="AD65">
            <v>1791.7636363636364</v>
          </cell>
          <cell r="AE65">
            <v>1791.7636363636364</v>
          </cell>
          <cell r="AF65">
            <v>266</v>
          </cell>
          <cell r="AG65">
            <v>266</v>
          </cell>
          <cell r="AH65">
            <v>0</v>
          </cell>
          <cell r="AI65">
            <v>0</v>
          </cell>
          <cell r="AJ65">
            <v>154.23636363636365</v>
          </cell>
          <cell r="AK65">
            <v>1538</v>
          </cell>
          <cell r="AL65">
            <v>830</v>
          </cell>
          <cell r="AM65">
            <v>708</v>
          </cell>
          <cell r="AN65">
            <v>-204</v>
          </cell>
          <cell r="AP65">
            <v>-130</v>
          </cell>
          <cell r="AQ65">
            <v>2319.5</v>
          </cell>
          <cell r="AR65">
            <v>6326.7601818181811</v>
          </cell>
        </row>
        <row r="66">
          <cell r="F66">
            <v>0</v>
          </cell>
          <cell r="G66">
            <v>0</v>
          </cell>
          <cell r="P66">
            <v>0</v>
          </cell>
          <cell r="Q66">
            <v>927.72727272727275</v>
          </cell>
          <cell r="R66">
            <v>1097</v>
          </cell>
          <cell r="S66">
            <v>0</v>
          </cell>
          <cell r="T66">
            <v>592</v>
          </cell>
          <cell r="U66">
            <v>231</v>
          </cell>
          <cell r="V66">
            <v>361</v>
          </cell>
          <cell r="W66">
            <v>608</v>
          </cell>
          <cell r="X66">
            <v>0</v>
          </cell>
          <cell r="Y66">
            <v>435</v>
          </cell>
          <cell r="Z66">
            <v>162</v>
          </cell>
          <cell r="AA66">
            <v>273</v>
          </cell>
          <cell r="AB66">
            <v>435</v>
          </cell>
          <cell r="AC66">
            <v>0</v>
          </cell>
          <cell r="AD66">
            <v>0</v>
          </cell>
          <cell r="AE66">
            <v>261.09090909090912</v>
          </cell>
          <cell r="AF66">
            <v>0</v>
          </cell>
          <cell r="AG66">
            <v>318</v>
          </cell>
          <cell r="AH66">
            <v>0</v>
          </cell>
          <cell r="AI66">
            <v>0</v>
          </cell>
          <cell r="AJ66">
            <v>56.909090909090878</v>
          </cell>
          <cell r="AK66">
            <v>0</v>
          </cell>
          <cell r="AL66">
            <v>0</v>
          </cell>
          <cell r="AM66">
            <v>0</v>
          </cell>
          <cell r="AN66">
            <v>0</v>
          </cell>
          <cell r="AP66">
            <v>0</v>
          </cell>
          <cell r="AQ66">
            <v>549</v>
          </cell>
          <cell r="AR66">
            <v>1822.818181818182</v>
          </cell>
        </row>
        <row r="67">
          <cell r="G67">
            <v>0</v>
          </cell>
          <cell r="H67">
            <v>71</v>
          </cell>
          <cell r="P67">
            <v>37</v>
          </cell>
          <cell r="Q67">
            <v>51</v>
          </cell>
          <cell r="R67">
            <v>60</v>
          </cell>
          <cell r="S67">
            <v>2402</v>
          </cell>
          <cell r="T67">
            <v>277.48</v>
          </cell>
          <cell r="U67">
            <v>1457.52</v>
          </cell>
          <cell r="V67">
            <v>20</v>
          </cell>
          <cell r="W67">
            <v>33</v>
          </cell>
          <cell r="X67">
            <v>-549</v>
          </cell>
          <cell r="Y67">
            <v>202</v>
          </cell>
          <cell r="Z67">
            <v>278</v>
          </cell>
          <cell r="AA67">
            <v>15</v>
          </cell>
          <cell r="AB67">
            <v>24</v>
          </cell>
          <cell r="AC67">
            <v>644</v>
          </cell>
          <cell r="AD67">
            <v>214</v>
          </cell>
          <cell r="AE67">
            <v>313</v>
          </cell>
          <cell r="AF67">
            <v>387</v>
          </cell>
          <cell r="AG67">
            <v>387</v>
          </cell>
          <cell r="AH67">
            <v>0</v>
          </cell>
          <cell r="AI67">
            <v>0</v>
          </cell>
          <cell r="AJ67">
            <v>0</v>
          </cell>
          <cell r="AK67">
            <v>2921</v>
          </cell>
          <cell r="AN67">
            <v>3451</v>
          </cell>
          <cell r="AO67">
            <v>374</v>
          </cell>
          <cell r="AP67">
            <v>1252</v>
          </cell>
          <cell r="AQ67">
            <v>800</v>
          </cell>
          <cell r="AR67">
            <v>1800</v>
          </cell>
        </row>
        <row r="68">
          <cell r="F68">
            <v>255</v>
          </cell>
          <cell r="G68">
            <v>60</v>
          </cell>
          <cell r="H68">
            <v>195</v>
          </cell>
          <cell r="P68">
            <v>859</v>
          </cell>
          <cell r="Q68">
            <v>297</v>
          </cell>
          <cell r="R68">
            <v>330</v>
          </cell>
          <cell r="S68">
            <v>1389</v>
          </cell>
          <cell r="T68">
            <v>347.25</v>
          </cell>
          <cell r="U68">
            <v>1041.75</v>
          </cell>
          <cell r="V68">
            <v>116</v>
          </cell>
          <cell r="W68">
            <v>190</v>
          </cell>
          <cell r="X68">
            <v>1415</v>
          </cell>
          <cell r="Y68">
            <v>595</v>
          </cell>
          <cell r="Z68">
            <v>820</v>
          </cell>
          <cell r="AA68">
            <v>87</v>
          </cell>
          <cell r="AB68">
            <v>137</v>
          </cell>
          <cell r="AC68">
            <v>724</v>
          </cell>
          <cell r="AD68">
            <v>294</v>
          </cell>
          <cell r="AE68">
            <v>430</v>
          </cell>
          <cell r="AF68">
            <v>1203</v>
          </cell>
          <cell r="AG68">
            <v>1203</v>
          </cell>
          <cell r="AH68">
            <v>0</v>
          </cell>
          <cell r="AI68">
            <v>0</v>
          </cell>
          <cell r="AJ68">
            <v>19</v>
          </cell>
          <cell r="AK68">
            <v>5845</v>
          </cell>
          <cell r="AL68">
            <v>1808</v>
          </cell>
          <cell r="AM68">
            <v>4037</v>
          </cell>
          <cell r="AN68">
            <v>4037</v>
          </cell>
          <cell r="AO68">
            <v>889</v>
          </cell>
          <cell r="AP68">
            <v>1722</v>
          </cell>
          <cell r="AQ68">
            <v>919</v>
          </cell>
          <cell r="AR68">
            <v>2315</v>
          </cell>
        </row>
        <row r="69">
          <cell r="G69">
            <v>0</v>
          </cell>
          <cell r="H69">
            <v>0</v>
          </cell>
          <cell r="P69">
            <v>65</v>
          </cell>
          <cell r="Q69">
            <v>0</v>
          </cell>
          <cell r="S69">
            <v>500.5</v>
          </cell>
          <cell r="T69">
            <v>0</v>
          </cell>
          <cell r="U69">
            <v>0</v>
          </cell>
          <cell r="V69">
            <v>0</v>
          </cell>
          <cell r="X69">
            <v>302.54545454545456</v>
          </cell>
          <cell r="Y69">
            <v>127</v>
          </cell>
          <cell r="Z69">
            <v>175.54545454545456</v>
          </cell>
          <cell r="AA69">
            <v>0</v>
          </cell>
          <cell r="AC69">
            <v>130.90909090909091</v>
          </cell>
          <cell r="AD69">
            <v>53</v>
          </cell>
          <cell r="AE69">
            <v>77.909090909090907</v>
          </cell>
          <cell r="AF69">
            <v>114.90909090909091</v>
          </cell>
          <cell r="AG69">
            <v>114.90909090909091</v>
          </cell>
          <cell r="AH69">
            <v>0</v>
          </cell>
          <cell r="AI69">
            <v>0</v>
          </cell>
          <cell r="AJ69">
            <v>0</v>
          </cell>
          <cell r="AK69">
            <v>1113.8636363636363</v>
          </cell>
          <cell r="AL69">
            <v>245</v>
          </cell>
          <cell r="AM69">
            <v>868.86363636363626</v>
          </cell>
          <cell r="AN69">
            <v>868.86363636363626</v>
          </cell>
          <cell r="AP69">
            <v>0</v>
          </cell>
          <cell r="AQ69">
            <v>0</v>
          </cell>
          <cell r="AR69">
            <v>0</v>
          </cell>
        </row>
        <row r="70">
          <cell r="F70">
            <v>0</v>
          </cell>
          <cell r="G70">
            <v>0</v>
          </cell>
          <cell r="H70">
            <v>0</v>
          </cell>
          <cell r="P70">
            <v>4</v>
          </cell>
          <cell r="Q70" t="e">
            <v>#REF!</v>
          </cell>
          <cell r="S70">
            <v>28</v>
          </cell>
          <cell r="T70">
            <v>897.27272727272725</v>
          </cell>
          <cell r="U70">
            <v>386</v>
          </cell>
          <cell r="V70">
            <v>511.27272727272725</v>
          </cell>
          <cell r="X70">
            <v>17</v>
          </cell>
          <cell r="Y70">
            <v>7</v>
          </cell>
          <cell r="Z70">
            <v>10</v>
          </cell>
          <cell r="AA70">
            <v>430.9</v>
          </cell>
          <cell r="AC70">
            <v>7</v>
          </cell>
          <cell r="AD70">
            <v>3</v>
          </cell>
          <cell r="AE70">
            <v>4</v>
          </cell>
          <cell r="AF70">
            <v>6</v>
          </cell>
          <cell r="AG70">
            <v>6</v>
          </cell>
          <cell r="AH70">
            <v>0</v>
          </cell>
          <cell r="AI70">
            <v>0</v>
          </cell>
          <cell r="AJ70">
            <v>-1285.7636363636364</v>
          </cell>
          <cell r="AK70">
            <v>62</v>
          </cell>
          <cell r="AL70">
            <v>14</v>
          </cell>
          <cell r="AM70">
            <v>48</v>
          </cell>
          <cell r="AN70">
            <v>48</v>
          </cell>
          <cell r="AP70" t="e">
            <v>#REF!</v>
          </cell>
          <cell r="AQ70" t="e">
            <v>#REF!</v>
          </cell>
        </row>
        <row r="71">
          <cell r="F71">
            <v>0</v>
          </cell>
          <cell r="G71">
            <v>0</v>
          </cell>
          <cell r="H71">
            <v>0</v>
          </cell>
          <cell r="P71">
            <v>21</v>
          </cell>
          <cell r="Q71" t="e">
            <v>#REF!</v>
          </cell>
          <cell r="S71">
            <v>160</v>
          </cell>
          <cell r="T71">
            <v>0</v>
          </cell>
          <cell r="U71">
            <v>0</v>
          </cell>
          <cell r="V71">
            <v>0</v>
          </cell>
          <cell r="X71">
            <v>97</v>
          </cell>
          <cell r="Y71">
            <v>41</v>
          </cell>
          <cell r="Z71">
            <v>56</v>
          </cell>
          <cell r="AA71">
            <v>0</v>
          </cell>
          <cell r="AC71">
            <v>42</v>
          </cell>
          <cell r="AD71">
            <v>17</v>
          </cell>
          <cell r="AE71">
            <v>25</v>
          </cell>
          <cell r="AF71">
            <v>37</v>
          </cell>
          <cell r="AG71">
            <v>37</v>
          </cell>
          <cell r="AH71">
            <v>0</v>
          </cell>
          <cell r="AI71">
            <v>0</v>
          </cell>
          <cell r="AJ71">
            <v>0</v>
          </cell>
          <cell r="AK71">
            <v>357</v>
          </cell>
          <cell r="AL71">
            <v>79</v>
          </cell>
          <cell r="AM71">
            <v>278</v>
          </cell>
          <cell r="AN71">
            <v>278</v>
          </cell>
          <cell r="AP71" t="e">
            <v>#REF!</v>
          </cell>
          <cell r="AQ71" t="e">
            <v>#REF!</v>
          </cell>
        </row>
        <row r="72">
          <cell r="F72">
            <v>0</v>
          </cell>
          <cell r="G72">
            <v>0</v>
          </cell>
          <cell r="P72">
            <v>360</v>
          </cell>
          <cell r="Q72">
            <v>483.76</v>
          </cell>
          <cell r="R72">
            <v>403</v>
          </cell>
          <cell r="S72">
            <v>-80.759999999999991</v>
          </cell>
          <cell r="T72">
            <v>221.00800000000004</v>
          </cell>
          <cell r="U72">
            <v>84</v>
          </cell>
          <cell r="V72">
            <v>137.00800000000004</v>
          </cell>
          <cell r="W72">
            <v>175</v>
          </cell>
          <cell r="X72">
            <v>0</v>
          </cell>
          <cell r="Y72">
            <v>192.512</v>
          </cell>
          <cell r="Z72">
            <v>72</v>
          </cell>
          <cell r="AA72">
            <v>120.512</v>
          </cell>
          <cell r="AB72">
            <v>94</v>
          </cell>
          <cell r="AC72">
            <v>0</v>
          </cell>
          <cell r="AD72">
            <v>423.85066666666671</v>
          </cell>
          <cell r="AE72">
            <v>380.04</v>
          </cell>
          <cell r="AF72">
            <v>0</v>
          </cell>
          <cell r="AG72">
            <v>0</v>
          </cell>
          <cell r="AH72">
            <v>0</v>
          </cell>
          <cell r="AI72">
            <v>35</v>
          </cell>
          <cell r="AJ72">
            <v>-44.850666666666712</v>
          </cell>
          <cell r="AK72">
            <v>360</v>
          </cell>
          <cell r="AL72">
            <v>360</v>
          </cell>
          <cell r="AM72">
            <v>0</v>
          </cell>
          <cell r="AN72">
            <v>0</v>
          </cell>
          <cell r="AP72">
            <v>6676.0333333333338</v>
          </cell>
          <cell r="AQ72" t="e">
            <v>#REF!</v>
          </cell>
          <cell r="AR72" t="e">
            <v>#REF!</v>
          </cell>
        </row>
        <row r="73">
          <cell r="G73">
            <v>0</v>
          </cell>
          <cell r="P73">
            <v>0</v>
          </cell>
          <cell r="Q73">
            <v>0</v>
          </cell>
          <cell r="S73">
            <v>1558</v>
          </cell>
          <cell r="T73">
            <v>0</v>
          </cell>
          <cell r="U73">
            <v>0</v>
          </cell>
          <cell r="V73">
            <v>0</v>
          </cell>
          <cell r="X73">
            <v>1785</v>
          </cell>
          <cell r="Y73">
            <v>750</v>
          </cell>
          <cell r="Z73">
            <v>1035</v>
          </cell>
          <cell r="AA73">
            <v>0</v>
          </cell>
          <cell r="AC73">
            <v>633</v>
          </cell>
          <cell r="AD73">
            <v>257</v>
          </cell>
          <cell r="AE73">
            <v>376</v>
          </cell>
          <cell r="AF73">
            <v>530</v>
          </cell>
          <cell r="AG73">
            <v>530</v>
          </cell>
          <cell r="AI73">
            <v>0</v>
          </cell>
          <cell r="AJ73">
            <v>0</v>
          </cell>
          <cell r="AK73">
            <v>4506</v>
          </cell>
          <cell r="AL73">
            <v>1007</v>
          </cell>
          <cell r="AM73">
            <v>3499</v>
          </cell>
          <cell r="AN73">
            <v>3499</v>
          </cell>
          <cell r="AP73">
            <v>228.66666666666669</v>
          </cell>
          <cell r="AQ73">
            <v>70</v>
          </cell>
          <cell r="AR73">
            <v>158.66666666666669</v>
          </cell>
        </row>
        <row r="74">
          <cell r="G74">
            <v>0</v>
          </cell>
          <cell r="P74">
            <v>-189.52</v>
          </cell>
          <cell r="Q74">
            <v>483.76</v>
          </cell>
          <cell r="S74">
            <v>0</v>
          </cell>
          <cell r="T74">
            <v>221.00800000000004</v>
          </cell>
          <cell r="U74">
            <v>84</v>
          </cell>
          <cell r="V74">
            <v>137.00800000000004</v>
          </cell>
          <cell r="X74">
            <v>0</v>
          </cell>
          <cell r="Y74">
            <v>192.512</v>
          </cell>
          <cell r="Z74">
            <v>0</v>
          </cell>
          <cell r="AA74">
            <v>120.512</v>
          </cell>
          <cell r="AC74">
            <v>0</v>
          </cell>
          <cell r="AD74">
            <v>0</v>
          </cell>
          <cell r="AE74">
            <v>0</v>
          </cell>
          <cell r="AF74">
            <v>43.810666666666691</v>
          </cell>
          <cell r="AG74">
            <v>379</v>
          </cell>
          <cell r="AH74">
            <v>0</v>
          </cell>
          <cell r="AI74">
            <v>35</v>
          </cell>
          <cell r="AJ74">
            <v>-44.850666666666712</v>
          </cell>
          <cell r="AK74">
            <v>0</v>
          </cell>
          <cell r="AL74">
            <v>0</v>
          </cell>
          <cell r="AM74">
            <v>0</v>
          </cell>
          <cell r="AN74">
            <v>0</v>
          </cell>
          <cell r="AP74">
            <v>6447.3666666666668</v>
          </cell>
          <cell r="AQ74">
            <v>2090.12</v>
          </cell>
          <cell r="AR74">
            <v>4357.2466666666669</v>
          </cell>
        </row>
        <row r="75">
          <cell r="F75">
            <v>2851</v>
          </cell>
          <cell r="G75">
            <v>667</v>
          </cell>
          <cell r="H75">
            <v>2184</v>
          </cell>
          <cell r="P75">
            <v>425.2</v>
          </cell>
          <cell r="Q75">
            <v>304.76</v>
          </cell>
          <cell r="S75">
            <v>390.26666666666665</v>
          </cell>
          <cell r="T75">
            <v>100.1</v>
          </cell>
          <cell r="U75">
            <v>290.16666666666663</v>
          </cell>
          <cell r="V75">
            <v>74.808000000000021</v>
          </cell>
          <cell r="X75">
            <v>201.3</v>
          </cell>
          <cell r="Y75">
            <v>85</v>
          </cell>
          <cell r="Z75">
            <v>116.30000000000001</v>
          </cell>
          <cell r="AA75">
            <v>25.711999999999989</v>
          </cell>
          <cell r="AC75">
            <v>131.53333333333333</v>
          </cell>
          <cell r="AD75">
            <v>53</v>
          </cell>
          <cell r="AE75">
            <v>78.533333333333331</v>
          </cell>
          <cell r="AF75">
            <v>477</v>
          </cell>
          <cell r="AG75">
            <v>378</v>
          </cell>
          <cell r="AH75">
            <v>99</v>
          </cell>
          <cell r="AJ75">
            <v>-284.25066666666669</v>
          </cell>
          <cell r="AK75">
            <v>4983.3</v>
          </cell>
          <cell r="AL75">
            <v>1611.2</v>
          </cell>
          <cell r="AM75">
            <v>3372.1000000000004</v>
          </cell>
          <cell r="AN75">
            <v>3372.1</v>
          </cell>
          <cell r="AO75">
            <v>138</v>
          </cell>
          <cell r="AP75">
            <v>328</v>
          </cell>
          <cell r="AQ75">
            <v>1473.2</v>
          </cell>
          <cell r="AR75">
            <v>3044.1000000000004</v>
          </cell>
        </row>
        <row r="76">
          <cell r="F76">
            <v>121</v>
          </cell>
          <cell r="G76">
            <v>28</v>
          </cell>
          <cell r="H76">
            <v>93</v>
          </cell>
          <cell r="P76">
            <v>0</v>
          </cell>
          <cell r="Q76">
            <v>0</v>
          </cell>
          <cell r="S76">
            <v>0</v>
          </cell>
          <cell r="T76">
            <v>0</v>
          </cell>
          <cell r="U76">
            <v>0</v>
          </cell>
          <cell r="V76">
            <v>0</v>
          </cell>
          <cell r="X76">
            <v>0</v>
          </cell>
          <cell r="Y76">
            <v>0</v>
          </cell>
          <cell r="Z76">
            <v>0</v>
          </cell>
          <cell r="AA76">
            <v>0</v>
          </cell>
          <cell r="AC76">
            <v>0</v>
          </cell>
          <cell r="AD76">
            <v>0</v>
          </cell>
          <cell r="AE76">
            <v>0</v>
          </cell>
          <cell r="AF76">
            <v>0</v>
          </cell>
          <cell r="AH76">
            <v>0</v>
          </cell>
          <cell r="AJ76">
            <v>0</v>
          </cell>
          <cell r="AK76">
            <v>121</v>
          </cell>
          <cell r="AL76">
            <v>28</v>
          </cell>
          <cell r="AM76">
            <v>93</v>
          </cell>
          <cell r="AN76">
            <v>93</v>
          </cell>
          <cell r="AO76">
            <v>0</v>
          </cell>
          <cell r="AP76">
            <v>0</v>
          </cell>
          <cell r="AQ76">
            <v>28</v>
          </cell>
          <cell r="AR76">
            <v>93</v>
          </cell>
        </row>
        <row r="77">
          <cell r="F77">
            <v>2730</v>
          </cell>
          <cell r="G77">
            <v>639</v>
          </cell>
          <cell r="H77">
            <v>2091</v>
          </cell>
          <cell r="P77">
            <v>425.2</v>
          </cell>
          <cell r="Q77">
            <v>80.800000000000011</v>
          </cell>
          <cell r="S77">
            <v>390.26666666666665</v>
          </cell>
          <cell r="T77">
            <v>100.1</v>
          </cell>
          <cell r="U77">
            <v>290.16666666666663</v>
          </cell>
          <cell r="V77">
            <v>40.400000000000006</v>
          </cell>
          <cell r="X77">
            <v>201.3</v>
          </cell>
          <cell r="Y77">
            <v>85</v>
          </cell>
          <cell r="Z77">
            <v>116.30000000000001</v>
          </cell>
          <cell r="AA77">
            <v>27.200000000000003</v>
          </cell>
          <cell r="AC77">
            <v>131.53333333333333</v>
          </cell>
          <cell r="AD77">
            <v>53</v>
          </cell>
          <cell r="AE77">
            <v>78.533333333333331</v>
          </cell>
          <cell r="AF77">
            <v>477</v>
          </cell>
          <cell r="AG77">
            <v>378</v>
          </cell>
          <cell r="AH77">
            <v>99</v>
          </cell>
          <cell r="AK77">
            <v>4862.3</v>
          </cell>
          <cell r="AL77">
            <v>1583.2</v>
          </cell>
          <cell r="AM77">
            <v>3279.1000000000004</v>
          </cell>
          <cell r="AN77">
            <v>3279.1</v>
          </cell>
          <cell r="AO77">
            <v>138</v>
          </cell>
          <cell r="AP77">
            <v>328</v>
          </cell>
          <cell r="AQ77">
            <v>1445.2</v>
          </cell>
          <cell r="AR77">
            <v>2951.1000000000004</v>
          </cell>
        </row>
        <row r="78">
          <cell r="F78">
            <v>316</v>
          </cell>
          <cell r="G78">
            <v>74</v>
          </cell>
          <cell r="H78">
            <v>242</v>
          </cell>
          <cell r="P78">
            <v>150</v>
          </cell>
          <cell r="Q78">
            <v>98.2</v>
          </cell>
          <cell r="S78">
            <v>151.66666666666666</v>
          </cell>
          <cell r="T78">
            <v>100.1</v>
          </cell>
          <cell r="U78">
            <v>51.566666666666663</v>
          </cell>
          <cell r="V78">
            <v>37.799999999999997</v>
          </cell>
          <cell r="X78">
            <v>62</v>
          </cell>
          <cell r="Y78">
            <v>26</v>
          </cell>
          <cell r="Z78">
            <v>36</v>
          </cell>
          <cell r="AA78">
            <v>67.599999999999994</v>
          </cell>
          <cell r="AC78">
            <v>77</v>
          </cell>
          <cell r="AD78">
            <v>53</v>
          </cell>
          <cell r="AE78">
            <v>24</v>
          </cell>
          <cell r="AF78">
            <v>286</v>
          </cell>
          <cell r="AG78">
            <v>200</v>
          </cell>
          <cell r="AH78">
            <v>86</v>
          </cell>
          <cell r="AK78">
            <v>956.66666666666663</v>
          </cell>
          <cell r="AL78">
            <v>303</v>
          </cell>
          <cell r="AM78">
            <v>653.66666666666663</v>
          </cell>
          <cell r="AN78">
            <v>653.66666666666663</v>
          </cell>
          <cell r="AR78">
            <v>653.66666666666663</v>
          </cell>
        </row>
        <row r="79">
          <cell r="G79">
            <v>0</v>
          </cell>
          <cell r="H79">
            <v>0</v>
          </cell>
          <cell r="P79">
            <v>0</v>
          </cell>
          <cell r="Q79">
            <v>7.5</v>
          </cell>
          <cell r="S79">
            <v>0</v>
          </cell>
          <cell r="U79">
            <v>1</v>
          </cell>
          <cell r="V79">
            <v>-1</v>
          </cell>
          <cell r="X79">
            <v>0</v>
          </cell>
          <cell r="Y79">
            <v>6.7</v>
          </cell>
          <cell r="Z79">
            <v>0</v>
          </cell>
          <cell r="AA79">
            <v>6.7</v>
          </cell>
          <cell r="AC79">
            <v>-6.7</v>
          </cell>
          <cell r="AD79">
            <v>38.799999999999997</v>
          </cell>
          <cell r="AE79">
            <v>34</v>
          </cell>
          <cell r="AF79">
            <v>4.7999999999999972</v>
          </cell>
          <cell r="AJ79">
            <v>-38.799999999999997</v>
          </cell>
          <cell r="AK79">
            <v>358</v>
          </cell>
          <cell r="AL79">
            <v>158</v>
          </cell>
          <cell r="AM79">
            <v>200</v>
          </cell>
          <cell r="AN79">
            <v>200</v>
          </cell>
          <cell r="AP79">
            <v>372.7</v>
          </cell>
          <cell r="AQ79">
            <v>104.1</v>
          </cell>
          <cell r="AR79">
            <v>200</v>
          </cell>
        </row>
        <row r="80">
          <cell r="F80">
            <v>316</v>
          </cell>
          <cell r="G80">
            <v>74</v>
          </cell>
          <cell r="H80">
            <v>242</v>
          </cell>
          <cell r="P80">
            <v>13</v>
          </cell>
          <cell r="Q80">
            <v>77353.513454545449</v>
          </cell>
          <cell r="R80">
            <v>83057</v>
          </cell>
          <cell r="S80">
            <v>38.333333333333336</v>
          </cell>
          <cell r="T80">
            <v>117852.27636363638</v>
          </cell>
          <cell r="U80">
            <v>69321.347560975613</v>
          </cell>
          <cell r="V80">
            <v>48530.928802660754</v>
          </cell>
          <cell r="W80">
            <v>101508</v>
          </cell>
          <cell r="X80">
            <v>53</v>
          </cell>
          <cell r="Y80">
            <v>22</v>
          </cell>
          <cell r="Z80">
            <v>31</v>
          </cell>
          <cell r="AA80">
            <v>42067.557110775218</v>
          </cell>
          <cell r="AB80">
            <v>81399</v>
          </cell>
          <cell r="AC80">
            <v>7.333333333333333</v>
          </cell>
          <cell r="AD80">
            <v>3</v>
          </cell>
          <cell r="AE80">
            <v>4.333333333333333</v>
          </cell>
          <cell r="AF80">
            <v>73</v>
          </cell>
          <cell r="AG80">
            <v>68</v>
          </cell>
          <cell r="AH80">
            <v>5</v>
          </cell>
          <cell r="AI80">
            <v>2032</v>
          </cell>
          <cell r="AJ80">
            <v>-2476.5650909090909</v>
          </cell>
          <cell r="AK80">
            <v>498.66666666666663</v>
          </cell>
          <cell r="AL80">
            <v>114</v>
          </cell>
          <cell r="AM80">
            <v>384.66666666666663</v>
          </cell>
          <cell r="AN80">
            <v>384.66666666666663</v>
          </cell>
          <cell r="AP80">
            <v>317284.31872727274</v>
          </cell>
          <cell r="AQ80" t="e">
            <v>#REF!</v>
          </cell>
          <cell r="AR80" t="e">
            <v>#REF!</v>
          </cell>
        </row>
        <row r="81">
          <cell r="F81">
            <v>554.79999999999995</v>
          </cell>
          <cell r="G81">
            <v>130</v>
          </cell>
          <cell r="H81">
            <v>424.79999999999995</v>
          </cell>
          <cell r="P81">
            <v>262.2</v>
          </cell>
          <cell r="S81">
            <v>200.26666666666665</v>
          </cell>
          <cell r="X81">
            <v>86.3</v>
          </cell>
          <cell r="Y81">
            <v>36</v>
          </cell>
          <cell r="Z81">
            <v>50.3</v>
          </cell>
          <cell r="AC81">
            <v>47.2</v>
          </cell>
          <cell r="AD81">
            <v>19</v>
          </cell>
          <cell r="AE81">
            <v>28.200000000000003</v>
          </cell>
          <cell r="AF81">
            <v>118</v>
          </cell>
          <cell r="AG81">
            <v>109</v>
          </cell>
          <cell r="AH81">
            <v>9</v>
          </cell>
          <cell r="AJ81">
            <v>0</v>
          </cell>
          <cell r="AK81">
            <v>1267.7666666666667</v>
          </cell>
          <cell r="AL81">
            <v>451.2</v>
          </cell>
          <cell r="AM81">
            <v>816.56666666666661</v>
          </cell>
          <cell r="AN81">
            <v>816.56666666666661</v>
          </cell>
          <cell r="AP81">
            <v>63316.318727272737</v>
          </cell>
          <cell r="AQ81" t="e">
            <v>#REF!</v>
          </cell>
          <cell r="AR81" t="e">
            <v>#REF!</v>
          </cell>
        </row>
        <row r="82">
          <cell r="G82">
            <v>0</v>
          </cell>
          <cell r="H82">
            <v>0</v>
          </cell>
          <cell r="P82">
            <v>-223.27272727272725</v>
          </cell>
          <cell r="Q82">
            <v>3953.727272727273</v>
          </cell>
          <cell r="R82">
            <v>3466</v>
          </cell>
          <cell r="S82">
            <v>-487.72727272727298</v>
          </cell>
          <cell r="T82">
            <v>1558.7272727272727</v>
          </cell>
          <cell r="U82">
            <v>615</v>
          </cell>
          <cell r="V82">
            <v>943.72727272727275</v>
          </cell>
          <cell r="W82">
            <v>1353</v>
          </cell>
          <cell r="X82">
            <v>-205.72727272727275</v>
          </cell>
          <cell r="Y82">
            <v>1260.7272727272727</v>
          </cell>
          <cell r="Z82">
            <v>470</v>
          </cell>
          <cell r="AA82">
            <v>790.72727272727275</v>
          </cell>
          <cell r="AB82">
            <v>1097</v>
          </cell>
          <cell r="AC82">
            <v>-163.72727272727275</v>
          </cell>
          <cell r="AD82">
            <v>3528.6363636363635</v>
          </cell>
          <cell r="AE82">
            <v>3259.6363636363635</v>
          </cell>
          <cell r="AF82">
            <v>269</v>
          </cell>
          <cell r="AG82">
            <v>2881</v>
          </cell>
          <cell r="AH82">
            <v>1984</v>
          </cell>
          <cell r="AI82">
            <v>306</v>
          </cell>
          <cell r="AJ82">
            <v>-647.63636363636351</v>
          </cell>
          <cell r="AK82">
            <v>0</v>
          </cell>
          <cell r="AL82">
            <v>0</v>
          </cell>
          <cell r="AM82">
            <v>0</v>
          </cell>
          <cell r="AN82">
            <v>0</v>
          </cell>
          <cell r="AP82">
            <v>13439.272727272728</v>
          </cell>
        </row>
        <row r="83">
          <cell r="F83">
            <v>0</v>
          </cell>
          <cell r="G83">
            <v>0</v>
          </cell>
          <cell r="H83">
            <v>0</v>
          </cell>
          <cell r="P83">
            <v>14</v>
          </cell>
          <cell r="S83">
            <v>0</v>
          </cell>
          <cell r="X83">
            <v>0</v>
          </cell>
          <cell r="AC83">
            <v>4</v>
          </cell>
          <cell r="AF83">
            <v>43</v>
          </cell>
          <cell r="AG83">
            <v>43</v>
          </cell>
          <cell r="AH83">
            <v>0</v>
          </cell>
          <cell r="AJ83">
            <v>0</v>
          </cell>
          <cell r="AK83">
            <v>18</v>
          </cell>
          <cell r="AL83">
            <v>14</v>
          </cell>
          <cell r="AM83">
            <v>4</v>
          </cell>
          <cell r="AN83">
            <v>0</v>
          </cell>
          <cell r="AP83">
            <v>11292</v>
          </cell>
          <cell r="AQ83">
            <v>11292</v>
          </cell>
          <cell r="AR83">
            <v>0</v>
          </cell>
        </row>
        <row r="84">
          <cell r="F84">
            <v>4725.3</v>
          </cell>
          <cell r="G84">
            <v>1106</v>
          </cell>
          <cell r="H84">
            <v>3619.3</v>
          </cell>
          <cell r="P84">
            <v>3426.6499999999996</v>
          </cell>
          <cell r="Q84">
            <v>0</v>
          </cell>
          <cell r="R84">
            <v>0</v>
          </cell>
          <cell r="S84">
            <v>31360.486666666668</v>
          </cell>
          <cell r="T84">
            <v>26852.267799999998</v>
          </cell>
          <cell r="U84">
            <v>4508.2188666666671</v>
          </cell>
          <cell r="V84">
            <v>48530.928802660754</v>
          </cell>
          <cell r="W84">
            <v>101508</v>
          </cell>
          <cell r="X84">
            <v>29515.875545454546</v>
          </cell>
          <cell r="Y84">
            <v>12409</v>
          </cell>
          <cell r="Z84">
            <v>17106.875545454543</v>
          </cell>
          <cell r="AA84">
            <v>0</v>
          </cell>
          <cell r="AB84">
            <v>0</v>
          </cell>
          <cell r="AC84">
            <v>24859.817575757574</v>
          </cell>
          <cell r="AD84">
            <v>10105</v>
          </cell>
          <cell r="AE84">
            <v>14754.817575757575</v>
          </cell>
          <cell r="AF84">
            <v>5250.9509090909087</v>
          </cell>
          <cell r="AG84">
            <v>4780</v>
          </cell>
          <cell r="AH84">
            <v>470.95090909090914</v>
          </cell>
          <cell r="AI84">
            <v>2032</v>
          </cell>
          <cell r="AJ84">
            <v>-2476.5650909090909</v>
          </cell>
          <cell r="AK84">
            <v>99994.129787878803</v>
          </cell>
          <cell r="AL84">
            <v>27965.65</v>
          </cell>
          <cell r="AM84">
            <v>72028.479787878794</v>
          </cell>
          <cell r="AN84">
            <v>72028.479787878794</v>
          </cell>
          <cell r="AO84">
            <v>22426</v>
          </cell>
          <cell r="AP84">
            <v>56489</v>
          </cell>
          <cell r="AQ84">
            <v>5126.6499999999996</v>
          </cell>
          <cell r="AR84">
            <v>14572.479787878789</v>
          </cell>
        </row>
        <row r="85">
          <cell r="F85">
            <v>742.3</v>
          </cell>
          <cell r="G85">
            <v>126</v>
          </cell>
          <cell r="H85">
            <v>413.29999999999995</v>
          </cell>
          <cell r="P85">
            <v>699.45</v>
          </cell>
          <cell r="Q85">
            <v>0</v>
          </cell>
          <cell r="R85">
            <v>0</v>
          </cell>
          <cell r="S85">
            <v>0</v>
          </cell>
          <cell r="T85">
            <v>479.81779999999998</v>
          </cell>
          <cell r="U85">
            <v>499.40220000000005</v>
          </cell>
          <cell r="V85">
            <v>0</v>
          </cell>
          <cell r="W85">
            <v>0</v>
          </cell>
          <cell r="X85">
            <v>0</v>
          </cell>
          <cell r="Y85">
            <v>253</v>
          </cell>
          <cell r="Z85">
            <v>350.12099999999998</v>
          </cell>
          <cell r="AA85">
            <v>0</v>
          </cell>
          <cell r="AB85">
            <v>0</v>
          </cell>
          <cell r="AC85">
            <v>0</v>
          </cell>
          <cell r="AD85">
            <v>204</v>
          </cell>
          <cell r="AE85">
            <v>297.86</v>
          </cell>
          <cell r="AH85">
            <v>62.950909090909136</v>
          </cell>
          <cell r="AI85">
            <v>0</v>
          </cell>
          <cell r="AJ85">
            <v>0</v>
          </cell>
          <cell r="AK85">
            <v>5425.360090909091</v>
          </cell>
          <cell r="AL85">
            <v>1534.45</v>
          </cell>
          <cell r="AM85">
            <v>3890.9100909090912</v>
          </cell>
          <cell r="AN85">
            <v>1176.2809999999999</v>
          </cell>
          <cell r="AP85">
            <v>-1</v>
          </cell>
          <cell r="AQ85">
            <v>0</v>
          </cell>
          <cell r="AR85">
            <v>-1</v>
          </cell>
        </row>
        <row r="86">
          <cell r="P86">
            <v>0</v>
          </cell>
          <cell r="Q86">
            <v>0</v>
          </cell>
          <cell r="S86">
            <v>0</v>
          </cell>
          <cell r="T86">
            <v>0</v>
          </cell>
          <cell r="U86">
            <v>0</v>
          </cell>
          <cell r="V86">
            <v>0</v>
          </cell>
          <cell r="X86">
            <v>0</v>
          </cell>
          <cell r="Y86">
            <v>0</v>
          </cell>
          <cell r="AC86">
            <v>0</v>
          </cell>
          <cell r="AI86">
            <v>0</v>
          </cell>
          <cell r="AJ86">
            <v>0</v>
          </cell>
          <cell r="AL86">
            <v>27965.65</v>
          </cell>
          <cell r="AN86">
            <v>0</v>
          </cell>
          <cell r="AP86">
            <v>3705</v>
          </cell>
          <cell r="AQ86">
            <v>1959</v>
          </cell>
          <cell r="AR86">
            <v>1746</v>
          </cell>
        </row>
        <row r="87">
          <cell r="F87">
            <v>8046</v>
          </cell>
          <cell r="G87">
            <v>8046</v>
          </cell>
          <cell r="P87">
            <v>0</v>
          </cell>
          <cell r="Q87">
            <v>0</v>
          </cell>
          <cell r="S87">
            <v>0</v>
          </cell>
          <cell r="T87">
            <v>0</v>
          </cell>
          <cell r="U87">
            <v>0</v>
          </cell>
          <cell r="V87">
            <v>0</v>
          </cell>
          <cell r="X87">
            <v>0</v>
          </cell>
          <cell r="Y87">
            <v>0</v>
          </cell>
          <cell r="Z87">
            <v>0</v>
          </cell>
          <cell r="AA87">
            <v>0</v>
          </cell>
          <cell r="AC87">
            <v>0</v>
          </cell>
          <cell r="AI87">
            <v>0</v>
          </cell>
          <cell r="AJ87">
            <v>0</v>
          </cell>
          <cell r="AK87">
            <v>15510</v>
          </cell>
          <cell r="AL87">
            <v>15510</v>
          </cell>
          <cell r="AM87">
            <v>0</v>
          </cell>
          <cell r="AN87">
            <v>0</v>
          </cell>
          <cell r="AO87">
            <v>0</v>
          </cell>
          <cell r="AP87">
            <v>0</v>
          </cell>
          <cell r="AQ87">
            <v>0</v>
          </cell>
          <cell r="AR87">
            <v>0</v>
          </cell>
        </row>
        <row r="88">
          <cell r="F88">
            <v>12771.3</v>
          </cell>
          <cell r="G88">
            <v>9152</v>
          </cell>
          <cell r="H88">
            <v>3619.3</v>
          </cell>
          <cell r="P88">
            <v>3426.6499999999996</v>
          </cell>
          <cell r="Q88">
            <v>0</v>
          </cell>
          <cell r="R88">
            <v>0</v>
          </cell>
          <cell r="S88">
            <v>31360.486666666668</v>
          </cell>
          <cell r="T88">
            <v>26852.267799999998</v>
          </cell>
          <cell r="U88">
            <v>4508.2188666666671</v>
          </cell>
          <cell r="V88">
            <v>0</v>
          </cell>
          <cell r="W88">
            <v>0</v>
          </cell>
          <cell r="X88">
            <v>29515.875545454546</v>
          </cell>
          <cell r="Y88">
            <v>12409</v>
          </cell>
          <cell r="Z88">
            <v>17106.875545454543</v>
          </cell>
          <cell r="AA88">
            <v>0</v>
          </cell>
          <cell r="AB88">
            <v>0</v>
          </cell>
          <cell r="AC88">
            <v>24859.817575757574</v>
          </cell>
          <cell r="AD88">
            <v>10105</v>
          </cell>
          <cell r="AE88">
            <v>14754.817575757575</v>
          </cell>
          <cell r="AF88">
            <v>5250.9509090909087</v>
          </cell>
          <cell r="AG88">
            <v>4780</v>
          </cell>
          <cell r="AH88">
            <v>470.95090909090914</v>
          </cell>
          <cell r="AI88">
            <v>29</v>
          </cell>
          <cell r="AJ88">
            <v>7.6666666666666643</v>
          </cell>
          <cell r="AK88">
            <v>115504.1297878788</v>
          </cell>
          <cell r="AL88">
            <v>43475.65</v>
          </cell>
          <cell r="AM88">
            <v>72028.479787878794</v>
          </cell>
          <cell r="AN88">
            <v>72028.479787878794</v>
          </cell>
          <cell r="AO88">
            <v>22426</v>
          </cell>
          <cell r="AP88">
            <v>56489</v>
          </cell>
          <cell r="AQ88">
            <v>5126.6499999999996</v>
          </cell>
          <cell r="AR88">
            <v>14572.479787878789</v>
          </cell>
        </row>
        <row r="89">
          <cell r="F89">
            <v>0</v>
          </cell>
          <cell r="G89">
            <v>0</v>
          </cell>
          <cell r="H89">
            <v>0</v>
          </cell>
          <cell r="P89">
            <v>-464.02072727272844</v>
          </cell>
          <cell r="Q89">
            <v>77374.113454545455</v>
          </cell>
          <cell r="R89">
            <v>83057</v>
          </cell>
          <cell r="S89">
            <v>5682.8865454545448</v>
          </cell>
          <cell r="T89">
            <v>118051.87636363639</v>
          </cell>
          <cell r="U89">
            <v>69341.347560975613</v>
          </cell>
          <cell r="V89">
            <v>48710.528802660752</v>
          </cell>
          <cell r="W89">
            <v>101508</v>
          </cell>
          <cell r="X89">
            <v>-16543.876363636387</v>
          </cell>
          <cell r="Y89">
            <v>95884.907272727287</v>
          </cell>
          <cell r="Z89">
            <v>53742.750161952055</v>
          </cell>
          <cell r="AA89">
            <v>42067.557110775218</v>
          </cell>
          <cell r="AB89">
            <v>81399</v>
          </cell>
          <cell r="AC89">
            <v>-14485.907272727287</v>
          </cell>
          <cell r="AD89">
            <v>12154.898424242425</v>
          </cell>
          <cell r="AE89">
            <v>10102.754424242425</v>
          </cell>
          <cell r="AF89">
            <v>2052.1439999999998</v>
          </cell>
          <cell r="AG89">
            <v>9686</v>
          </cell>
          <cell r="AH89">
            <v>0</v>
          </cell>
          <cell r="AI89">
            <v>2061</v>
          </cell>
          <cell r="AJ89">
            <v>-2468.8984242424249</v>
          </cell>
          <cell r="AK89">
            <v>0</v>
          </cell>
          <cell r="AM89">
            <v>0</v>
          </cell>
          <cell r="AN89">
            <v>0</v>
          </cell>
          <cell r="AO89">
            <v>0</v>
          </cell>
          <cell r="AP89">
            <v>0</v>
          </cell>
          <cell r="AQ89">
            <v>0</v>
          </cell>
          <cell r="AR89">
            <v>-1</v>
          </cell>
        </row>
        <row r="90">
          <cell r="F90">
            <v>1399</v>
          </cell>
          <cell r="G90">
            <v>577</v>
          </cell>
          <cell r="H90">
            <v>822</v>
          </cell>
          <cell r="P90">
            <v>-464.02072727272844</v>
          </cell>
          <cell r="Q90">
            <v>23294.113454545455</v>
          </cell>
          <cell r="R90">
            <v>21655</v>
          </cell>
          <cell r="S90">
            <v>-1639.1134545454552</v>
          </cell>
          <cell r="T90">
            <v>8491.8763636363874</v>
          </cell>
          <cell r="U90">
            <v>3233</v>
          </cell>
          <cell r="V90">
            <v>5258.8763636363656</v>
          </cell>
          <cell r="W90">
            <v>7876</v>
          </cell>
          <cell r="X90">
            <v>-615.8763636363874</v>
          </cell>
          <cell r="Y90">
            <v>5557.9072727272869</v>
          </cell>
          <cell r="Z90">
            <v>1998</v>
          </cell>
          <cell r="AA90">
            <v>3485.3072727272738</v>
          </cell>
          <cell r="AB90">
            <v>5098</v>
          </cell>
          <cell r="AC90">
            <v>-459.90727272728691</v>
          </cell>
          <cell r="AD90">
            <v>12154.898424242425</v>
          </cell>
          <cell r="AE90">
            <v>10102.754424242425</v>
          </cell>
          <cell r="AF90">
            <v>2052.1439999999998</v>
          </cell>
          <cell r="AG90">
            <v>9686</v>
          </cell>
          <cell r="AH90">
            <v>0</v>
          </cell>
          <cell r="AI90">
            <v>2061</v>
          </cell>
          <cell r="AJ90">
            <v>-2468.8984242424249</v>
          </cell>
          <cell r="AK90">
            <v>1399</v>
          </cell>
          <cell r="AL90">
            <v>577</v>
          </cell>
          <cell r="AM90">
            <v>822</v>
          </cell>
          <cell r="AN90">
            <v>822</v>
          </cell>
          <cell r="AO90">
            <v>0</v>
          </cell>
          <cell r="AP90">
            <v>0</v>
          </cell>
          <cell r="AQ90">
            <v>324.65864935622579</v>
          </cell>
          <cell r="AR90">
            <v>64.064345846314197</v>
          </cell>
        </row>
        <row r="91">
          <cell r="F91">
            <v>68</v>
          </cell>
          <cell r="G91">
            <v>19.466024096385546</v>
          </cell>
          <cell r="H91">
            <v>48.533975903614454</v>
          </cell>
          <cell r="P91">
            <v>-223.27272727272725</v>
          </cell>
          <cell r="Q91">
            <v>3953.727272727273</v>
          </cell>
          <cell r="R91">
            <v>3466</v>
          </cell>
          <cell r="S91">
            <v>0</v>
          </cell>
          <cell r="T91">
            <v>0</v>
          </cell>
          <cell r="U91">
            <v>0</v>
          </cell>
          <cell r="V91">
            <v>943.72727272727275</v>
          </cell>
          <cell r="W91">
            <v>1353</v>
          </cell>
          <cell r="X91">
            <v>0</v>
          </cell>
          <cell r="Y91">
            <v>0</v>
          </cell>
          <cell r="Z91">
            <v>0</v>
          </cell>
          <cell r="AA91">
            <v>0</v>
          </cell>
          <cell r="AB91">
            <v>0</v>
          </cell>
          <cell r="AC91">
            <v>0</v>
          </cell>
          <cell r="AD91">
            <v>0</v>
          </cell>
          <cell r="AE91">
            <v>0</v>
          </cell>
          <cell r="AF91">
            <v>269</v>
          </cell>
          <cell r="AG91">
            <v>2881</v>
          </cell>
          <cell r="AH91">
            <v>0</v>
          </cell>
          <cell r="AI91">
            <v>306</v>
          </cell>
          <cell r="AJ91">
            <v>-647.63636363636351</v>
          </cell>
          <cell r="AK91">
            <v>68</v>
          </cell>
          <cell r="AL91">
            <v>19.466024096385546</v>
          </cell>
          <cell r="AM91">
            <v>48.533975903614454</v>
          </cell>
          <cell r="AN91">
            <v>48.533975903614454</v>
          </cell>
          <cell r="AO91">
            <v>0</v>
          </cell>
          <cell r="AP91">
            <v>0</v>
          </cell>
          <cell r="AQ91">
            <v>0</v>
          </cell>
          <cell r="AR91">
            <v>0</v>
          </cell>
        </row>
        <row r="92">
          <cell r="F92">
            <v>0</v>
          </cell>
          <cell r="G92">
            <v>0</v>
          </cell>
          <cell r="H92">
            <v>0</v>
          </cell>
          <cell r="P92">
            <v>-107</v>
          </cell>
          <cell r="S92">
            <v>-90</v>
          </cell>
          <cell r="X92">
            <v>0</v>
          </cell>
          <cell r="Y92">
            <v>0</v>
          </cell>
          <cell r="Z92">
            <v>0</v>
          </cell>
          <cell r="AC92">
            <v>0</v>
          </cell>
          <cell r="AD92">
            <v>0</v>
          </cell>
          <cell r="AE92">
            <v>0</v>
          </cell>
          <cell r="AF92">
            <v>1</v>
          </cell>
          <cell r="AG92">
            <v>1</v>
          </cell>
          <cell r="AH92">
            <v>-3</v>
          </cell>
          <cell r="AJ92">
            <v>0</v>
          </cell>
          <cell r="AK92">
            <v>-196</v>
          </cell>
          <cell r="AL92">
            <v>-107</v>
          </cell>
          <cell r="AM92">
            <v>-89</v>
          </cell>
          <cell r="AN92">
            <v>-89</v>
          </cell>
          <cell r="AO92">
            <v>0</v>
          </cell>
          <cell r="AP92">
            <v>-25</v>
          </cell>
          <cell r="AQ92">
            <v>-107</v>
          </cell>
          <cell r="AR92">
            <v>-64</v>
          </cell>
        </row>
        <row r="93">
          <cell r="P93">
            <v>-1614.15</v>
          </cell>
          <cell r="Q93">
            <v>2962.8939999999998</v>
          </cell>
          <cell r="S93">
            <v>-2962.8939999999998</v>
          </cell>
          <cell r="T93">
            <v>176.47000000000003</v>
          </cell>
          <cell r="X93">
            <v>-176.47000000000003</v>
          </cell>
          <cell r="Y93">
            <v>225.76000000000002</v>
          </cell>
          <cell r="AB93">
            <v>432</v>
          </cell>
          <cell r="AC93">
            <v>206.23999999999998</v>
          </cell>
          <cell r="AD93">
            <v>1009.45</v>
          </cell>
          <cell r="AE93">
            <v>932.45</v>
          </cell>
          <cell r="AF93">
            <v>77</v>
          </cell>
          <cell r="AI93">
            <v>0</v>
          </cell>
          <cell r="AJ93" t="e">
            <v>#REF!</v>
          </cell>
          <cell r="AN93">
            <v>0</v>
          </cell>
          <cell r="AO93">
            <v>1616</v>
          </cell>
          <cell r="AP93" t="e">
            <v>#REF!</v>
          </cell>
        </row>
        <row r="94">
          <cell r="P94">
            <v>-1614.15</v>
          </cell>
          <cell r="Q94">
            <v>2962.8939999999998</v>
          </cell>
          <cell r="S94">
            <v>-2962.8939999999998</v>
          </cell>
          <cell r="T94">
            <v>176.47000000000003</v>
          </cell>
          <cell r="W94">
            <v>0</v>
          </cell>
          <cell r="X94">
            <v>-176.47000000000003</v>
          </cell>
          <cell r="Y94">
            <v>225.76000000000002</v>
          </cell>
          <cell r="AB94">
            <v>432</v>
          </cell>
          <cell r="AC94">
            <v>206.23999999999998</v>
          </cell>
          <cell r="AD94">
            <v>1009.45</v>
          </cell>
          <cell r="AE94">
            <v>932.45</v>
          </cell>
          <cell r="AF94">
            <v>77</v>
          </cell>
          <cell r="AI94">
            <v>0</v>
          </cell>
          <cell r="AJ94">
            <v>-1009.45</v>
          </cell>
          <cell r="AN94">
            <v>0</v>
          </cell>
          <cell r="AP94" t="e">
            <v>#REF!</v>
          </cell>
        </row>
        <row r="95">
          <cell r="F95">
            <v>14238.3</v>
          </cell>
          <cell r="G95">
            <v>9748.4660240963858</v>
          </cell>
          <cell r="H95">
            <v>4489.8339759036144</v>
          </cell>
          <cell r="P95">
            <v>3319.6499999999996</v>
          </cell>
          <cell r="Q95">
            <v>0</v>
          </cell>
          <cell r="R95">
            <v>0</v>
          </cell>
          <cell r="S95">
            <v>31270.486666666668</v>
          </cell>
          <cell r="T95">
            <v>26852.267799999998</v>
          </cell>
          <cell r="U95">
            <v>4508.2188666666671</v>
          </cell>
          <cell r="V95">
            <v>0</v>
          </cell>
          <cell r="W95">
            <v>0</v>
          </cell>
          <cell r="X95">
            <v>29515.875545454546</v>
          </cell>
          <cell r="Y95">
            <v>12409</v>
          </cell>
          <cell r="Z95">
            <v>17106.875545454543</v>
          </cell>
          <cell r="AA95">
            <v>0</v>
          </cell>
          <cell r="AB95">
            <v>0</v>
          </cell>
          <cell r="AC95">
            <v>24859.817575757574</v>
          </cell>
          <cell r="AD95">
            <v>10105</v>
          </cell>
          <cell r="AE95">
            <v>14754.817575757575</v>
          </cell>
          <cell r="AF95">
            <v>5251.9509090909087</v>
          </cell>
          <cell r="AG95">
            <v>4781</v>
          </cell>
          <cell r="AH95">
            <v>470.95090909090914</v>
          </cell>
          <cell r="AI95">
            <v>0</v>
          </cell>
          <cell r="AJ95">
            <v>0</v>
          </cell>
          <cell r="AK95">
            <v>116775.1297878788</v>
          </cell>
          <cell r="AL95">
            <v>43965.116024096387</v>
          </cell>
          <cell r="AM95">
            <v>72810.013763782408</v>
          </cell>
          <cell r="AN95">
            <v>72810.013763782408</v>
          </cell>
          <cell r="AO95">
            <v>22426</v>
          </cell>
          <cell r="AP95">
            <v>56464</v>
          </cell>
          <cell r="AQ95">
            <v>5344.308649356225</v>
          </cell>
          <cell r="AR95">
            <v>14571.544133725103</v>
          </cell>
        </row>
        <row r="96">
          <cell r="F96">
            <v>6192.2999999999993</v>
          </cell>
          <cell r="G96">
            <v>1702.4660240963858</v>
          </cell>
          <cell r="H96">
            <v>4489.8339759036144</v>
          </cell>
          <cell r="P96">
            <v>3319.6499999999996</v>
          </cell>
          <cell r="Q96">
            <v>0</v>
          </cell>
          <cell r="R96">
            <v>0</v>
          </cell>
          <cell r="S96">
            <v>9748.4866666666676</v>
          </cell>
          <cell r="T96">
            <v>5330.2677999999978</v>
          </cell>
          <cell r="U96">
            <v>4508.2188666666671</v>
          </cell>
          <cell r="V96">
            <v>0</v>
          </cell>
          <cell r="W96">
            <v>0</v>
          </cell>
          <cell r="X96">
            <v>3835.8755454545462</v>
          </cell>
          <cell r="Y96">
            <v>1612</v>
          </cell>
          <cell r="Z96">
            <v>2223.8755454545426</v>
          </cell>
          <cell r="AA96">
            <v>0</v>
          </cell>
          <cell r="AB96">
            <v>0</v>
          </cell>
          <cell r="AC96">
            <v>2279.8175757575736</v>
          </cell>
          <cell r="AD96">
            <v>925</v>
          </cell>
          <cell r="AE96">
            <v>1354.8175757575755</v>
          </cell>
          <cell r="AF96">
            <v>5251.9509090909087</v>
          </cell>
          <cell r="AG96">
            <v>4781</v>
          </cell>
          <cell r="AH96">
            <v>470.95090909090914</v>
          </cell>
          <cell r="AI96">
            <v>0</v>
          </cell>
          <cell r="AJ96">
            <v>0</v>
          </cell>
          <cell r="AK96">
            <v>31483.129787878803</v>
          </cell>
          <cell r="AL96">
            <v>8478.1160240963873</v>
          </cell>
          <cell r="AM96">
            <v>23005.013763782408</v>
          </cell>
          <cell r="AN96">
            <v>23005.013763782401</v>
          </cell>
          <cell r="AO96">
            <v>2449</v>
          </cell>
          <cell r="AP96">
            <v>6659</v>
          </cell>
          <cell r="AQ96">
            <v>5344.308649356225</v>
          </cell>
          <cell r="AR96">
            <v>14571.544133725103</v>
          </cell>
        </row>
        <row r="97">
          <cell r="F97">
            <v>825</v>
          </cell>
          <cell r="P97">
            <v>2016</v>
          </cell>
          <cell r="S97">
            <v>-474</v>
          </cell>
          <cell r="X97">
            <v>1029</v>
          </cell>
          <cell r="AC97">
            <v>-117</v>
          </cell>
          <cell r="AD97">
            <v>25802.811515151516</v>
          </cell>
          <cell r="AF97">
            <v>266</v>
          </cell>
          <cell r="AG97">
            <v>266</v>
          </cell>
          <cell r="AH97">
            <v>0</v>
          </cell>
          <cell r="AI97">
            <v>0</v>
          </cell>
          <cell r="AJ97">
            <v>0</v>
          </cell>
          <cell r="AK97">
            <v>3695</v>
          </cell>
          <cell r="AN97" t="e">
            <v>#REF!</v>
          </cell>
          <cell r="AP97" t="e">
            <v>#REF!</v>
          </cell>
        </row>
        <row r="98">
          <cell r="P98">
            <v>992</v>
          </cell>
          <cell r="S98">
            <v>106</v>
          </cell>
          <cell r="X98">
            <v>116</v>
          </cell>
          <cell r="AC98">
            <v>0</v>
          </cell>
          <cell r="AF98">
            <v>0</v>
          </cell>
          <cell r="AI98">
            <v>0</v>
          </cell>
          <cell r="AJ98">
            <v>0</v>
          </cell>
          <cell r="AN98" t="e">
            <v>#REF!</v>
          </cell>
          <cell r="AP98" t="e">
            <v>#REF!</v>
          </cell>
        </row>
        <row r="99">
          <cell r="P99">
            <v>976</v>
          </cell>
          <cell r="S99">
            <v>106</v>
          </cell>
          <cell r="X99">
            <v>116</v>
          </cell>
          <cell r="AC99">
            <v>0</v>
          </cell>
          <cell r="AF99">
            <v>0</v>
          </cell>
          <cell r="AG99">
            <v>454</v>
          </cell>
          <cell r="AH99">
            <v>0</v>
          </cell>
          <cell r="AI99">
            <v>0</v>
          </cell>
          <cell r="AJ99">
            <v>0</v>
          </cell>
          <cell r="AK99">
            <v>5737</v>
          </cell>
          <cell r="AL99">
            <v>109509.14393939395</v>
          </cell>
          <cell r="AM99">
            <v>46269.90741929959</v>
          </cell>
          <cell r="AN99" t="e">
            <v>#REF!</v>
          </cell>
          <cell r="AP99" t="e">
            <v>#REF!</v>
          </cell>
        </row>
        <row r="100">
          <cell r="F100">
            <v>0</v>
          </cell>
          <cell r="P100">
            <v>967</v>
          </cell>
          <cell r="S100">
            <v>106</v>
          </cell>
          <cell r="X100">
            <v>116</v>
          </cell>
          <cell r="AC100">
            <v>0</v>
          </cell>
          <cell r="AF100">
            <v>861</v>
          </cell>
          <cell r="AG100">
            <v>861</v>
          </cell>
          <cell r="AH100">
            <v>0</v>
          </cell>
          <cell r="AI100">
            <v>0</v>
          </cell>
          <cell r="AJ100">
            <v>0</v>
          </cell>
          <cell r="AK100">
            <v>0</v>
          </cell>
          <cell r="AL100">
            <v>85097.370909090911</v>
          </cell>
          <cell r="AM100">
            <v>40210.957581756855</v>
          </cell>
          <cell r="AN100" t="e">
            <v>#REF!</v>
          </cell>
          <cell r="AP100" t="e">
            <v>#REF!</v>
          </cell>
        </row>
        <row r="101">
          <cell r="F101">
            <v>93</v>
          </cell>
          <cell r="P101">
            <v>810</v>
          </cell>
          <cell r="Q101">
            <v>-0.32000000000000028</v>
          </cell>
          <cell r="R101">
            <v>31</v>
          </cell>
          <cell r="S101">
            <v>206</v>
          </cell>
          <cell r="T101">
            <v>-0.3360000000000003</v>
          </cell>
          <cell r="W101">
            <v>2</v>
          </cell>
          <cell r="X101">
            <v>459</v>
          </cell>
          <cell r="Y101">
            <v>0.28000000000000114</v>
          </cell>
          <cell r="AB101">
            <v>10</v>
          </cell>
          <cell r="AC101">
            <v>-117</v>
          </cell>
          <cell r="AD101">
            <v>0.35200000000000031</v>
          </cell>
          <cell r="AE101">
            <v>0.35200000000000031</v>
          </cell>
          <cell r="AF101">
            <v>266</v>
          </cell>
          <cell r="AG101">
            <v>266</v>
          </cell>
          <cell r="AH101">
            <v>0</v>
          </cell>
          <cell r="AI101">
            <v>0</v>
          </cell>
          <cell r="AJ101">
            <v>127.648</v>
          </cell>
          <cell r="AK101">
            <v>1741</v>
          </cell>
          <cell r="AL101">
            <v>116775.1297878788</v>
          </cell>
          <cell r="AM101">
            <v>43965.116024096387</v>
          </cell>
          <cell r="AN101" t="e">
            <v>#REF!</v>
          </cell>
          <cell r="AP101" t="e">
            <v>#REF!</v>
          </cell>
        </row>
        <row r="102">
          <cell r="F102">
            <v>93</v>
          </cell>
          <cell r="P102">
            <v>0</v>
          </cell>
          <cell r="Q102">
            <v>0</v>
          </cell>
          <cell r="R102">
            <v>0</v>
          </cell>
          <cell r="S102">
            <v>0</v>
          </cell>
          <cell r="T102">
            <v>0</v>
          </cell>
          <cell r="X102">
            <v>0</v>
          </cell>
          <cell r="Y102">
            <v>0</v>
          </cell>
          <cell r="AC102">
            <v>0</v>
          </cell>
          <cell r="AD102">
            <v>0</v>
          </cell>
          <cell r="AE102">
            <v>0</v>
          </cell>
          <cell r="AF102">
            <v>0</v>
          </cell>
          <cell r="AG102">
            <v>0</v>
          </cell>
          <cell r="AH102">
            <v>0</v>
          </cell>
          <cell r="AI102">
            <v>0</v>
          </cell>
          <cell r="AJ102">
            <v>0</v>
          </cell>
          <cell r="AK102">
            <v>93</v>
          </cell>
          <cell r="AN102" t="e">
            <v>#REF!</v>
          </cell>
          <cell r="AP102" t="e">
            <v>#REF!</v>
          </cell>
        </row>
        <row r="103">
          <cell r="F103">
            <v>639</v>
          </cell>
          <cell r="P103">
            <v>1206</v>
          </cell>
          <cell r="Q103">
            <v>0</v>
          </cell>
          <cell r="S103">
            <v>-680</v>
          </cell>
          <cell r="T103">
            <v>0</v>
          </cell>
          <cell r="X103">
            <v>0</v>
          </cell>
          <cell r="Y103">
            <v>0</v>
          </cell>
          <cell r="AC103">
            <v>0</v>
          </cell>
          <cell r="AD103">
            <v>0</v>
          </cell>
          <cell r="AE103">
            <v>0</v>
          </cell>
          <cell r="AF103">
            <v>0</v>
          </cell>
          <cell r="AG103">
            <v>0</v>
          </cell>
          <cell r="AH103">
            <v>0</v>
          </cell>
          <cell r="AI103">
            <v>0</v>
          </cell>
          <cell r="AJ103">
            <v>0</v>
          </cell>
          <cell r="AK103">
            <v>1291</v>
          </cell>
          <cell r="AN103" t="e">
            <v>#REF!</v>
          </cell>
          <cell r="AP103" t="e">
            <v>#REF!</v>
          </cell>
        </row>
        <row r="104">
          <cell r="F104">
            <v>0</v>
          </cell>
          <cell r="P104">
            <v>800</v>
          </cell>
          <cell r="Q104">
            <v>-0.32000000000000028</v>
          </cell>
          <cell r="R104">
            <v>31</v>
          </cell>
          <cell r="S104">
            <v>0</v>
          </cell>
          <cell r="T104">
            <v>-0.3360000000000003</v>
          </cell>
          <cell r="W104">
            <v>2</v>
          </cell>
          <cell r="X104">
            <v>2.3360000000000003</v>
          </cell>
          <cell r="Y104">
            <v>0.28000000000000114</v>
          </cell>
          <cell r="AB104">
            <v>10</v>
          </cell>
          <cell r="AC104">
            <v>9.7199999999999989</v>
          </cell>
          <cell r="AD104">
            <v>0.35200000000000031</v>
          </cell>
          <cell r="AE104">
            <v>0.35200000000000031</v>
          </cell>
          <cell r="AF104">
            <v>0</v>
          </cell>
          <cell r="AG104">
            <v>128</v>
          </cell>
          <cell r="AH104">
            <v>128</v>
          </cell>
          <cell r="AI104">
            <v>0</v>
          </cell>
          <cell r="AJ104">
            <v>127.648</v>
          </cell>
          <cell r="AN104">
            <v>3702.2</v>
          </cell>
          <cell r="AP104">
            <v>3702</v>
          </cell>
        </row>
        <row r="105">
          <cell r="F105">
            <v>0</v>
          </cell>
          <cell r="P105">
            <v>-0.20800000000000018</v>
          </cell>
          <cell r="Q105">
            <v>234.404</v>
          </cell>
          <cell r="R105">
            <v>154</v>
          </cell>
          <cell r="S105">
            <v>0</v>
          </cell>
          <cell r="T105">
            <v>-0.42800000000000082</v>
          </cell>
          <cell r="W105">
            <v>79</v>
          </cell>
          <cell r="X105">
            <v>0</v>
          </cell>
          <cell r="Y105">
            <v>6.799999999999784E-2</v>
          </cell>
          <cell r="AB105">
            <v>86</v>
          </cell>
          <cell r="AC105">
            <v>85.932000000000002</v>
          </cell>
          <cell r="AD105">
            <v>0.28399999999999892</v>
          </cell>
          <cell r="AE105">
            <v>0.28399999999999892</v>
          </cell>
          <cell r="AF105">
            <v>0</v>
          </cell>
          <cell r="AG105">
            <v>30</v>
          </cell>
          <cell r="AH105">
            <v>30</v>
          </cell>
          <cell r="AI105">
            <v>0</v>
          </cell>
          <cell r="AJ105">
            <v>29.716000000000001</v>
          </cell>
          <cell r="AK105">
            <v>0</v>
          </cell>
          <cell r="AN105" t="e">
            <v>#REF!</v>
          </cell>
          <cell r="AP105" t="e">
            <v>#REF!</v>
          </cell>
        </row>
        <row r="106">
          <cell r="P106">
            <v>0</v>
          </cell>
          <cell r="Q106">
            <v>233.64000000000001</v>
          </cell>
          <cell r="R106">
            <v>0</v>
          </cell>
          <cell r="S106">
            <v>-233.64000000000001</v>
          </cell>
          <cell r="T106">
            <v>0</v>
          </cell>
          <cell r="W106">
            <v>0</v>
          </cell>
          <cell r="X106">
            <v>0</v>
          </cell>
          <cell r="Y106">
            <v>0</v>
          </cell>
          <cell r="AB106">
            <v>0</v>
          </cell>
          <cell r="AC106">
            <v>0</v>
          </cell>
          <cell r="AD106">
            <v>0</v>
          </cell>
          <cell r="AE106">
            <v>0</v>
          </cell>
          <cell r="AF106">
            <v>0</v>
          </cell>
          <cell r="AI106">
            <v>0</v>
          </cell>
          <cell r="AJ106">
            <v>0</v>
          </cell>
          <cell r="AK106">
            <v>0</v>
          </cell>
          <cell r="AN106" t="e">
            <v>#REF!</v>
          </cell>
          <cell r="AP106" t="e">
            <v>#REF!</v>
          </cell>
        </row>
        <row r="107">
          <cell r="F107">
            <v>0</v>
          </cell>
          <cell r="P107">
            <v>-0.20800000000000018</v>
          </cell>
          <cell r="Q107">
            <v>-0.23600000000000065</v>
          </cell>
          <cell r="R107">
            <v>154</v>
          </cell>
          <cell r="S107">
            <v>154.23599999999999</v>
          </cell>
          <cell r="T107">
            <v>-0.42800000000000082</v>
          </cell>
          <cell r="W107">
            <v>79</v>
          </cell>
          <cell r="X107">
            <v>79.427999999999997</v>
          </cell>
          <cell r="Y107">
            <v>6.799999999999784E-2</v>
          </cell>
          <cell r="AB107">
            <v>86</v>
          </cell>
          <cell r="AC107">
            <v>85.932000000000002</v>
          </cell>
          <cell r="AD107">
            <v>0.28399999999999892</v>
          </cell>
          <cell r="AE107">
            <v>0.28399999999999892</v>
          </cell>
          <cell r="AF107">
            <v>0</v>
          </cell>
          <cell r="AG107">
            <v>30</v>
          </cell>
          <cell r="AH107">
            <v>30</v>
          </cell>
          <cell r="AI107">
            <v>0</v>
          </cell>
          <cell r="AJ107">
            <v>29.716000000000001</v>
          </cell>
          <cell r="AK107">
            <v>0</v>
          </cell>
          <cell r="AN107" t="e">
            <v>#REF!</v>
          </cell>
          <cell r="AP107" t="e">
            <v>#REF!</v>
          </cell>
        </row>
        <row r="108">
          <cell r="F108">
            <v>0</v>
          </cell>
          <cell r="P108">
            <v>0</v>
          </cell>
          <cell r="Q108">
            <v>526.04999999999995</v>
          </cell>
          <cell r="R108">
            <v>800</v>
          </cell>
          <cell r="S108">
            <v>273.95000000000005</v>
          </cell>
          <cell r="T108">
            <v>0</v>
          </cell>
          <cell r="X108">
            <v>0</v>
          </cell>
          <cell r="Y108">
            <v>0</v>
          </cell>
          <cell r="AC108">
            <v>0</v>
          </cell>
          <cell r="AD108">
            <v>0</v>
          </cell>
          <cell r="AE108">
            <v>0</v>
          </cell>
          <cell r="AF108">
            <v>0</v>
          </cell>
          <cell r="AG108">
            <v>0</v>
          </cell>
          <cell r="AH108">
            <v>0</v>
          </cell>
          <cell r="AI108">
            <v>0</v>
          </cell>
          <cell r="AJ108">
            <v>0</v>
          </cell>
          <cell r="AK108">
            <v>0</v>
          </cell>
          <cell r="AN108" t="e">
            <v>#REF!</v>
          </cell>
          <cell r="AP108" t="e">
            <v>#REF!</v>
          </cell>
          <cell r="AQ108" t="e">
            <v>#REF!</v>
          </cell>
          <cell r="AR108" t="e">
            <v>#REF!</v>
          </cell>
        </row>
        <row r="109">
          <cell r="F109">
            <v>0</v>
          </cell>
          <cell r="P109">
            <v>0</v>
          </cell>
          <cell r="Q109">
            <v>526.04999999999995</v>
          </cell>
          <cell r="R109">
            <v>800</v>
          </cell>
          <cell r="S109">
            <v>0</v>
          </cell>
          <cell r="T109">
            <v>0</v>
          </cell>
          <cell r="X109">
            <v>0</v>
          </cell>
          <cell r="Y109">
            <v>0</v>
          </cell>
          <cell r="AC109">
            <v>0</v>
          </cell>
          <cell r="AD109">
            <v>0</v>
          </cell>
          <cell r="AE109">
            <v>0</v>
          </cell>
          <cell r="AF109">
            <v>0</v>
          </cell>
          <cell r="AG109">
            <v>0</v>
          </cell>
          <cell r="AH109">
            <v>0</v>
          </cell>
          <cell r="AI109">
            <v>0</v>
          </cell>
          <cell r="AJ109">
            <v>0</v>
          </cell>
          <cell r="AK109">
            <v>0</v>
          </cell>
          <cell r="AN109" t="e">
            <v>#REF!</v>
          </cell>
          <cell r="AP109" t="e">
            <v>#REF!</v>
          </cell>
        </row>
        <row r="110">
          <cell r="F110">
            <v>0</v>
          </cell>
          <cell r="P110">
            <v>0</v>
          </cell>
          <cell r="Q110">
            <v>0</v>
          </cell>
          <cell r="S110">
            <v>0</v>
          </cell>
          <cell r="T110">
            <v>0</v>
          </cell>
          <cell r="X110">
            <v>0</v>
          </cell>
          <cell r="Y110">
            <v>0</v>
          </cell>
          <cell r="AC110">
            <v>0</v>
          </cell>
          <cell r="AD110">
            <v>0</v>
          </cell>
          <cell r="AE110">
            <v>0</v>
          </cell>
          <cell r="AF110">
            <v>0</v>
          </cell>
          <cell r="AG110">
            <v>0</v>
          </cell>
          <cell r="AH110">
            <v>0</v>
          </cell>
          <cell r="AI110">
            <v>0</v>
          </cell>
          <cell r="AJ110">
            <v>0</v>
          </cell>
          <cell r="AK110">
            <v>0</v>
          </cell>
          <cell r="AN110" t="e">
            <v>#REF!</v>
          </cell>
          <cell r="AP110" t="e">
            <v>#REF!</v>
          </cell>
          <cell r="AQ110">
            <v>0</v>
          </cell>
          <cell r="AR110">
            <v>0</v>
          </cell>
        </row>
        <row r="111">
          <cell r="F111">
            <v>0</v>
          </cell>
          <cell r="P111">
            <v>0</v>
          </cell>
          <cell r="Q111">
            <v>0</v>
          </cell>
          <cell r="S111">
            <v>0</v>
          </cell>
          <cell r="T111">
            <v>0</v>
          </cell>
          <cell r="X111">
            <v>0</v>
          </cell>
          <cell r="Y111">
            <v>0</v>
          </cell>
          <cell r="AC111">
            <v>0</v>
          </cell>
          <cell r="AD111">
            <v>0</v>
          </cell>
          <cell r="AE111">
            <v>0</v>
          </cell>
          <cell r="AF111">
            <v>0</v>
          </cell>
          <cell r="AG111">
            <v>0</v>
          </cell>
          <cell r="AH111">
            <v>0</v>
          </cell>
          <cell r="AI111">
            <v>0</v>
          </cell>
          <cell r="AJ111">
            <v>0</v>
          </cell>
          <cell r="AK111">
            <v>0</v>
          </cell>
          <cell r="AN111" t="e">
            <v>#REF!</v>
          </cell>
          <cell r="AP111" t="e">
            <v>#REF!</v>
          </cell>
        </row>
        <row r="112">
          <cell r="F112">
            <v>0</v>
          </cell>
          <cell r="P112">
            <v>0</v>
          </cell>
          <cell r="Q112">
            <v>0</v>
          </cell>
          <cell r="R112">
            <v>928</v>
          </cell>
          <cell r="S112">
            <v>0</v>
          </cell>
          <cell r="T112">
            <v>0</v>
          </cell>
          <cell r="W112">
            <v>366</v>
          </cell>
          <cell r="X112">
            <v>0</v>
          </cell>
          <cell r="Y112">
            <v>0</v>
          </cell>
          <cell r="AB112">
            <v>251</v>
          </cell>
          <cell r="AC112">
            <v>0</v>
          </cell>
          <cell r="AD112">
            <v>0</v>
          </cell>
          <cell r="AE112">
            <v>0</v>
          </cell>
          <cell r="AF112">
            <v>0</v>
          </cell>
          <cell r="AG112">
            <v>0</v>
          </cell>
          <cell r="AH112">
            <v>0</v>
          </cell>
          <cell r="AI112">
            <v>0</v>
          </cell>
          <cell r="AJ112">
            <v>535</v>
          </cell>
          <cell r="AK112">
            <v>0</v>
          </cell>
          <cell r="AN112" t="e">
            <v>#REF!</v>
          </cell>
          <cell r="AP112" t="e">
            <v>#REF!</v>
          </cell>
        </row>
        <row r="113">
          <cell r="F113">
            <v>0</v>
          </cell>
          <cell r="P113">
            <v>0</v>
          </cell>
          <cell r="Q113">
            <v>0</v>
          </cell>
          <cell r="R113">
            <v>8</v>
          </cell>
          <cell r="S113">
            <v>0</v>
          </cell>
          <cell r="T113">
            <v>0</v>
          </cell>
          <cell r="W113">
            <v>57</v>
          </cell>
          <cell r="X113">
            <v>0</v>
          </cell>
          <cell r="Y113">
            <v>0</v>
          </cell>
          <cell r="AB113">
            <v>7</v>
          </cell>
          <cell r="AC113">
            <v>0</v>
          </cell>
          <cell r="AD113">
            <v>0</v>
          </cell>
          <cell r="AE113">
            <v>0</v>
          </cell>
          <cell r="AF113">
            <v>0</v>
          </cell>
          <cell r="AG113">
            <v>0</v>
          </cell>
          <cell r="AH113">
            <v>0</v>
          </cell>
          <cell r="AI113">
            <v>0</v>
          </cell>
          <cell r="AJ113">
            <v>0</v>
          </cell>
          <cell r="AK113">
            <v>0</v>
          </cell>
          <cell r="AN113">
            <v>19</v>
          </cell>
          <cell r="AP113">
            <v>21</v>
          </cell>
        </row>
        <row r="114">
          <cell r="F114">
            <v>0</v>
          </cell>
          <cell r="P114">
            <v>0</v>
          </cell>
          <cell r="Q114">
            <v>0</v>
          </cell>
          <cell r="S114">
            <v>0</v>
          </cell>
          <cell r="T114">
            <v>0</v>
          </cell>
          <cell r="X114">
            <v>0</v>
          </cell>
          <cell r="Y114">
            <v>0</v>
          </cell>
          <cell r="AC114">
            <v>0</v>
          </cell>
          <cell r="AD114">
            <v>0</v>
          </cell>
          <cell r="AE114">
            <v>0</v>
          </cell>
          <cell r="AF114">
            <v>0</v>
          </cell>
          <cell r="AG114">
            <v>0</v>
          </cell>
          <cell r="AH114">
            <v>0</v>
          </cell>
          <cell r="AI114">
            <v>0</v>
          </cell>
          <cell r="AJ114">
            <v>0</v>
          </cell>
          <cell r="AK114">
            <v>0</v>
          </cell>
          <cell r="AM114">
            <v>0</v>
          </cell>
          <cell r="AN114" t="e">
            <v>#REF!</v>
          </cell>
          <cell r="AP114" t="e">
            <v>#REF!</v>
          </cell>
        </row>
        <row r="115">
          <cell r="F115">
            <v>0</v>
          </cell>
          <cell r="P115">
            <v>0</v>
          </cell>
          <cell r="S115">
            <v>0</v>
          </cell>
          <cell r="X115">
            <v>0</v>
          </cell>
          <cell r="AC115">
            <v>0</v>
          </cell>
          <cell r="AF115">
            <v>0</v>
          </cell>
          <cell r="AG115">
            <v>0</v>
          </cell>
          <cell r="AH115">
            <v>0</v>
          </cell>
          <cell r="AI115">
            <v>0</v>
          </cell>
          <cell r="AJ115">
            <v>0</v>
          </cell>
          <cell r="AK115">
            <v>0</v>
          </cell>
          <cell r="AM115">
            <v>0</v>
          </cell>
          <cell r="AP115">
            <v>0</v>
          </cell>
        </row>
        <row r="116">
          <cell r="F116">
            <v>0</v>
          </cell>
          <cell r="P116">
            <v>0</v>
          </cell>
          <cell r="S116">
            <v>0</v>
          </cell>
          <cell r="X116">
            <v>0</v>
          </cell>
          <cell r="AC116">
            <v>0</v>
          </cell>
          <cell r="AF116">
            <v>0</v>
          </cell>
          <cell r="AG116">
            <v>0</v>
          </cell>
          <cell r="AH116">
            <v>0</v>
          </cell>
          <cell r="AI116">
            <v>0</v>
          </cell>
          <cell r="AJ116">
            <v>0</v>
          </cell>
          <cell r="AK116">
            <v>0</v>
          </cell>
          <cell r="AL116">
            <v>0</v>
          </cell>
          <cell r="AM116">
            <v>0</v>
          </cell>
          <cell r="AP116">
            <v>17200.466666666667</v>
          </cell>
        </row>
        <row r="117">
          <cell r="F117">
            <v>0</v>
          </cell>
          <cell r="P117">
            <v>0</v>
          </cell>
          <cell r="S117">
            <v>0</v>
          </cell>
          <cell r="AC117">
            <v>0</v>
          </cell>
          <cell r="AG117">
            <v>0</v>
          </cell>
          <cell r="AH117">
            <v>0</v>
          </cell>
          <cell r="AK117">
            <v>0</v>
          </cell>
          <cell r="AL117">
            <v>0</v>
          </cell>
          <cell r="AM117">
            <v>0</v>
          </cell>
        </row>
        <row r="118">
          <cell r="F118">
            <v>0</v>
          </cell>
          <cell r="P118">
            <v>0</v>
          </cell>
          <cell r="S118">
            <v>0</v>
          </cell>
          <cell r="AC118">
            <v>0</v>
          </cell>
          <cell r="AF118">
            <v>0</v>
          </cell>
          <cell r="AG118">
            <v>0</v>
          </cell>
          <cell r="AH118">
            <v>0</v>
          </cell>
          <cell r="AK118">
            <v>0</v>
          </cell>
          <cell r="AL118">
            <v>0</v>
          </cell>
          <cell r="AM118">
            <v>0</v>
          </cell>
        </row>
        <row r="119">
          <cell r="F119">
            <v>0</v>
          </cell>
          <cell r="P119">
            <v>0</v>
          </cell>
          <cell r="S119">
            <v>0</v>
          </cell>
          <cell r="X119">
            <v>0</v>
          </cell>
          <cell r="AC119">
            <v>0</v>
          </cell>
          <cell r="AF119">
            <v>0</v>
          </cell>
          <cell r="AG119">
            <v>0</v>
          </cell>
          <cell r="AH119">
            <v>0</v>
          </cell>
          <cell r="AK119">
            <v>0</v>
          </cell>
        </row>
        <row r="120">
          <cell r="F120">
            <v>0</v>
          </cell>
          <cell r="P120">
            <v>0</v>
          </cell>
          <cell r="S120">
            <v>0</v>
          </cell>
          <cell r="X120">
            <v>0</v>
          </cell>
          <cell r="AC120">
            <v>0</v>
          </cell>
          <cell r="AE120" t="e">
            <v>#REF!</v>
          </cell>
          <cell r="AF120">
            <v>0</v>
          </cell>
          <cell r="AG120">
            <v>0</v>
          </cell>
          <cell r="AH120">
            <v>0</v>
          </cell>
          <cell r="AI120">
            <v>0</v>
          </cell>
          <cell r="AJ120">
            <v>0</v>
          </cell>
          <cell r="AK120">
            <v>0</v>
          </cell>
          <cell r="AN120" t="e">
            <v>#REF!</v>
          </cell>
          <cell r="AP120">
            <v>36465</v>
          </cell>
          <cell r="AQ120" t="e">
            <v>#REF!</v>
          </cell>
        </row>
        <row r="121">
          <cell r="F121">
            <v>100</v>
          </cell>
          <cell r="P121">
            <v>0</v>
          </cell>
          <cell r="S121">
            <v>0</v>
          </cell>
          <cell r="X121">
            <v>0</v>
          </cell>
          <cell r="AC121">
            <v>0</v>
          </cell>
          <cell r="AF121">
            <v>0</v>
          </cell>
          <cell r="AG121">
            <v>0</v>
          </cell>
          <cell r="AH121">
            <v>0</v>
          </cell>
          <cell r="AJ121">
            <v>0</v>
          </cell>
          <cell r="AK121">
            <v>0</v>
          </cell>
          <cell r="AN121" t="e">
            <v>#REF!</v>
          </cell>
          <cell r="AP121" t="e">
            <v>#REF!</v>
          </cell>
        </row>
        <row r="122">
          <cell r="F122">
            <v>100</v>
          </cell>
          <cell r="P122">
            <v>-0.40000000000000036</v>
          </cell>
          <cell r="Q122">
            <v>0</v>
          </cell>
          <cell r="R122">
            <v>1921</v>
          </cell>
          <cell r="S122">
            <v>1921</v>
          </cell>
          <cell r="T122">
            <v>-0.76400000000000112</v>
          </cell>
          <cell r="U122">
            <v>0</v>
          </cell>
          <cell r="V122">
            <v>0</v>
          </cell>
          <cell r="W122">
            <v>504</v>
          </cell>
          <cell r="X122">
            <v>504.76400000000001</v>
          </cell>
          <cell r="Y122">
            <v>0.34799999999999898</v>
          </cell>
          <cell r="Z122">
            <v>0</v>
          </cell>
          <cell r="AA122">
            <v>0</v>
          </cell>
          <cell r="AB122">
            <v>354</v>
          </cell>
          <cell r="AC122">
            <v>353.65199999999999</v>
          </cell>
          <cell r="AD122">
            <v>0.63599999999999923</v>
          </cell>
          <cell r="AE122">
            <v>0.63599999999999923</v>
          </cell>
          <cell r="AF122">
            <v>0</v>
          </cell>
          <cell r="AG122">
            <v>693</v>
          </cell>
          <cell r="AH122">
            <v>693</v>
          </cell>
          <cell r="AI122">
            <v>0</v>
          </cell>
          <cell r="AJ122">
            <v>692.36400000000003</v>
          </cell>
          <cell r="AK122">
            <v>100</v>
          </cell>
          <cell r="AN122" t="e">
            <v>#REF!</v>
          </cell>
          <cell r="AP122" t="e">
            <v>#REF!</v>
          </cell>
        </row>
        <row r="123">
          <cell r="F123">
            <v>3480</v>
          </cell>
          <cell r="P123">
            <v>-0.40000000000000036</v>
          </cell>
          <cell r="Q123">
            <v>0</v>
          </cell>
          <cell r="S123">
            <v>0</v>
          </cell>
          <cell r="T123">
            <v>-0.76400000000000112</v>
          </cell>
          <cell r="U123">
            <v>0</v>
          </cell>
          <cell r="V123">
            <v>0</v>
          </cell>
          <cell r="X123">
            <v>0</v>
          </cell>
          <cell r="Y123">
            <v>0.34799999999999898</v>
          </cell>
          <cell r="Z123">
            <v>0</v>
          </cell>
          <cell r="AA123">
            <v>0</v>
          </cell>
          <cell r="AC123">
            <v>-0.34799999999999898</v>
          </cell>
          <cell r="AF123">
            <v>0</v>
          </cell>
          <cell r="AJ123">
            <v>0</v>
          </cell>
          <cell r="AK123">
            <v>0</v>
          </cell>
          <cell r="AN123" t="e">
            <v>#REF!</v>
          </cell>
          <cell r="AP123" t="e">
            <v>#REF!</v>
          </cell>
        </row>
        <row r="124">
          <cell r="F124">
            <v>3480</v>
          </cell>
          <cell r="P124">
            <v>0</v>
          </cell>
          <cell r="X124">
            <v>0</v>
          </cell>
          <cell r="AC124">
            <v>0</v>
          </cell>
          <cell r="AJ124">
            <v>0</v>
          </cell>
          <cell r="AK124">
            <v>3480</v>
          </cell>
          <cell r="AL124">
            <v>396.87424242423458</v>
          </cell>
          <cell r="AP124" t="e">
            <v>#REF!</v>
          </cell>
        </row>
        <row r="125">
          <cell r="F125">
            <v>0</v>
          </cell>
          <cell r="P125">
            <v>0</v>
          </cell>
          <cell r="X125">
            <v>0</v>
          </cell>
          <cell r="AC125">
            <v>0</v>
          </cell>
          <cell r="AJ125">
            <v>0</v>
          </cell>
          <cell r="AK125">
            <v>0</v>
          </cell>
          <cell r="AL125">
            <v>-8132.8846363636376</v>
          </cell>
          <cell r="AP125" t="e">
            <v>#REF!</v>
          </cell>
        </row>
        <row r="126">
          <cell r="F126">
            <v>4527</v>
          </cell>
          <cell r="G126">
            <v>0</v>
          </cell>
          <cell r="H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J126">
            <v>0</v>
          </cell>
          <cell r="AK126">
            <v>0</v>
          </cell>
          <cell r="AL126">
            <v>13247.384148484838</v>
          </cell>
          <cell r="AO126">
            <v>0</v>
          </cell>
          <cell r="AP126" t="e">
            <v>#REF!</v>
          </cell>
          <cell r="AQ126" t="e">
            <v>#REF!</v>
          </cell>
          <cell r="AR126" t="e">
            <v>#REF!</v>
          </cell>
        </row>
        <row r="127">
          <cell r="F127">
            <v>0</v>
          </cell>
          <cell r="G127">
            <v>0</v>
          </cell>
          <cell r="H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J127">
            <v>0</v>
          </cell>
          <cell r="AK127">
            <v>0</v>
          </cell>
          <cell r="AO127">
            <v>0</v>
          </cell>
          <cell r="AP127">
            <v>0</v>
          </cell>
          <cell r="AQ127">
            <v>0</v>
          </cell>
          <cell r="AR127">
            <v>0</v>
          </cell>
        </row>
        <row r="128">
          <cell r="F128">
            <v>3580</v>
          </cell>
          <cell r="G128">
            <v>0</v>
          </cell>
          <cell r="H128">
            <v>0</v>
          </cell>
          <cell r="P128">
            <v>1206</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J128">
            <v>0</v>
          </cell>
          <cell r="AK128">
            <v>3580</v>
          </cell>
          <cell r="AL128">
            <v>5340</v>
          </cell>
          <cell r="AO128">
            <v>0</v>
          </cell>
          <cell r="AP128">
            <v>0</v>
          </cell>
          <cell r="AQ128">
            <v>0</v>
          </cell>
          <cell r="AR128">
            <v>0</v>
          </cell>
        </row>
        <row r="129">
          <cell r="F129">
            <v>3580</v>
          </cell>
          <cell r="G129">
            <v>0</v>
          </cell>
          <cell r="H129">
            <v>0</v>
          </cell>
          <cell r="P129">
            <v>1206</v>
          </cell>
          <cell r="S129">
            <v>-680</v>
          </cell>
          <cell r="X129">
            <v>0</v>
          </cell>
          <cell r="Y129">
            <v>0</v>
          </cell>
          <cell r="Z129">
            <v>0</v>
          </cell>
          <cell r="AC129">
            <v>0</v>
          </cell>
          <cell r="AD129">
            <v>0</v>
          </cell>
          <cell r="AE129">
            <v>0</v>
          </cell>
          <cell r="AF129">
            <v>0</v>
          </cell>
          <cell r="AG129">
            <v>0</v>
          </cell>
          <cell r="AH129">
            <v>0</v>
          </cell>
          <cell r="AJ129">
            <v>0</v>
          </cell>
          <cell r="AK129">
            <v>3580</v>
          </cell>
          <cell r="AL129">
            <v>9106</v>
          </cell>
        </row>
        <row r="130">
          <cell r="P130">
            <v>0</v>
          </cell>
          <cell r="X130">
            <v>0</v>
          </cell>
          <cell r="AC130">
            <v>0</v>
          </cell>
          <cell r="AJ130">
            <v>0</v>
          </cell>
          <cell r="AK130">
            <v>16827.384148484838</v>
          </cell>
          <cell r="AL130">
            <v>4912</v>
          </cell>
          <cell r="AM130">
            <v>-5132.2365200943386</v>
          </cell>
        </row>
        <row r="131">
          <cell r="P131">
            <v>0</v>
          </cell>
          <cell r="X131">
            <v>0</v>
          </cell>
          <cell r="AC131">
            <v>0</v>
          </cell>
          <cell r="AJ131">
            <v>0</v>
          </cell>
          <cell r="AK131">
            <v>16827.384148484838</v>
          </cell>
          <cell r="AL131">
            <v>9186.0424182431379</v>
          </cell>
          <cell r="AM131">
            <v>-16555.413327334049</v>
          </cell>
          <cell r="AP131" t="e">
            <v>#REF!</v>
          </cell>
          <cell r="AR131" t="e">
            <v>#REF!</v>
          </cell>
        </row>
        <row r="132">
          <cell r="P132">
            <v>0</v>
          </cell>
          <cell r="X132">
            <v>0</v>
          </cell>
          <cell r="AC132">
            <v>0</v>
          </cell>
          <cell r="AJ132">
            <v>0</v>
          </cell>
          <cell r="AK132">
            <v>24039.120212121197</v>
          </cell>
          <cell r="AL132">
            <v>13754.883975903613</v>
          </cell>
          <cell r="AM132">
            <v>9418.9862362175918</v>
          </cell>
          <cell r="AO132">
            <v>0</v>
          </cell>
          <cell r="AP132" t="e">
            <v>#REF!</v>
          </cell>
        </row>
        <row r="133">
          <cell r="P133">
            <v>0</v>
          </cell>
          <cell r="X133">
            <v>0</v>
          </cell>
          <cell r="AC133">
            <v>0</v>
          </cell>
          <cell r="AJ133">
            <v>0</v>
          </cell>
          <cell r="AK133">
            <v>-1951.236272727273</v>
          </cell>
          <cell r="AO133">
            <v>0</v>
          </cell>
          <cell r="AP133" t="e">
            <v>#REF!</v>
          </cell>
        </row>
        <row r="134">
          <cell r="P134">
            <v>0</v>
          </cell>
          <cell r="X134">
            <v>0</v>
          </cell>
          <cell r="AC134">
            <v>0</v>
          </cell>
          <cell r="AJ134">
            <v>0</v>
          </cell>
          <cell r="AK134">
            <v>7211.7360636363592</v>
          </cell>
          <cell r="AO134">
            <v>0</v>
          </cell>
          <cell r="AP134" t="e">
            <v>#REF!</v>
          </cell>
        </row>
        <row r="135">
          <cell r="P135">
            <v>0</v>
          </cell>
          <cell r="X135">
            <v>0</v>
          </cell>
          <cell r="AC135">
            <v>0</v>
          </cell>
          <cell r="AJ135">
            <v>0</v>
          </cell>
          <cell r="AK135">
            <v>58108</v>
          </cell>
          <cell r="AM135">
            <v>58108</v>
          </cell>
          <cell r="AO135">
            <v>0</v>
          </cell>
          <cell r="AP135">
            <v>0</v>
          </cell>
          <cell r="AQ135">
            <v>0</v>
          </cell>
        </row>
        <row r="136">
          <cell r="P136">
            <v>0</v>
          </cell>
          <cell r="X136">
            <v>0</v>
          </cell>
          <cell r="AC136">
            <v>0</v>
          </cell>
          <cell r="AJ136">
            <v>0</v>
          </cell>
          <cell r="AK136">
            <v>-5132.2365200943386</v>
          </cell>
          <cell r="AM136">
            <v>28333</v>
          </cell>
          <cell r="AO136">
            <v>0</v>
          </cell>
          <cell r="AQ136">
            <v>0</v>
          </cell>
        </row>
        <row r="137">
          <cell r="P137">
            <v>0</v>
          </cell>
          <cell r="X137">
            <v>0</v>
          </cell>
          <cell r="AC137">
            <v>0</v>
          </cell>
          <cell r="AJ137">
            <v>0</v>
          </cell>
          <cell r="AK137">
            <v>82229</v>
          </cell>
          <cell r="AM137">
            <v>82229</v>
          </cell>
          <cell r="AO137">
            <v>0</v>
          </cell>
          <cell r="AP137">
            <v>36.19</v>
          </cell>
          <cell r="AQ137">
            <v>0</v>
          </cell>
        </row>
        <row r="138">
          <cell r="P138">
            <v>0</v>
          </cell>
          <cell r="X138">
            <v>0</v>
          </cell>
          <cell r="AC138">
            <v>0</v>
          </cell>
          <cell r="AJ138">
            <v>0</v>
          </cell>
          <cell r="AK138">
            <v>9418.9862362175918</v>
          </cell>
          <cell r="AO138">
            <v>0</v>
          </cell>
        </row>
        <row r="139">
          <cell r="P139">
            <v>0</v>
          </cell>
          <cell r="X139">
            <v>0</v>
          </cell>
          <cell r="AC139">
            <v>0</v>
          </cell>
          <cell r="AJ139">
            <v>0</v>
          </cell>
          <cell r="AK139">
            <v>52.04</v>
          </cell>
          <cell r="AN139">
            <v>0</v>
          </cell>
          <cell r="AO139" t="e">
            <v>#DIV/0!</v>
          </cell>
          <cell r="AP139" t="e">
            <v>#REF!</v>
          </cell>
        </row>
        <row r="140">
          <cell r="P140">
            <v>0</v>
          </cell>
          <cell r="X140">
            <v>0</v>
          </cell>
          <cell r="AC140">
            <v>0</v>
          </cell>
          <cell r="AJ140">
            <v>0</v>
          </cell>
          <cell r="AK140">
            <v>46.08</v>
          </cell>
          <cell r="AO140" t="e">
            <v>#DIV/0!</v>
          </cell>
          <cell r="AP140">
            <v>180931</v>
          </cell>
          <cell r="AQ140">
            <v>180931</v>
          </cell>
        </row>
        <row r="141">
          <cell r="P141">
            <v>0</v>
          </cell>
          <cell r="X141">
            <v>0</v>
          </cell>
          <cell r="AC141">
            <v>0</v>
          </cell>
          <cell r="AJ141">
            <v>0</v>
          </cell>
          <cell r="AK141">
            <v>0</v>
          </cell>
          <cell r="AO141">
            <v>0</v>
          </cell>
        </row>
        <row r="142">
          <cell r="P142">
            <v>0</v>
          </cell>
          <cell r="X142">
            <v>0</v>
          </cell>
          <cell r="AC142">
            <v>0</v>
          </cell>
          <cell r="AJ142">
            <v>0</v>
          </cell>
          <cell r="AK142">
            <v>12.49</v>
          </cell>
          <cell r="AN142">
            <v>0</v>
          </cell>
          <cell r="AO142" t="e">
            <v>#DIV/0!</v>
          </cell>
          <cell r="AP142">
            <v>0</v>
          </cell>
        </row>
        <row r="143">
          <cell r="P143">
            <v>0</v>
          </cell>
          <cell r="Q143">
            <v>0</v>
          </cell>
          <cell r="X143">
            <v>0</v>
          </cell>
          <cell r="AC143">
            <v>0</v>
          </cell>
          <cell r="AJ143">
            <v>0</v>
          </cell>
          <cell r="AK143">
            <v>14.59</v>
          </cell>
          <cell r="AO143" t="e">
            <v>#DIV/0!</v>
          </cell>
          <cell r="AP143">
            <v>2601</v>
          </cell>
        </row>
        <row r="144">
          <cell r="P144">
            <v>0</v>
          </cell>
          <cell r="X144">
            <v>0</v>
          </cell>
          <cell r="AC144">
            <v>0</v>
          </cell>
          <cell r="AJ144">
            <v>0</v>
          </cell>
          <cell r="AK144">
            <v>56960</v>
          </cell>
          <cell r="AL144">
            <v>56960</v>
          </cell>
          <cell r="AN144">
            <v>0</v>
          </cell>
          <cell r="AO144" t="e">
            <v>#DIV/0!</v>
          </cell>
          <cell r="AP144" t="e">
            <v>#REF!</v>
          </cell>
          <cell r="AQ144">
            <v>180931</v>
          </cell>
          <cell r="AR144" t="e">
            <v>#REF!</v>
          </cell>
        </row>
        <row r="145">
          <cell r="P145">
            <v>0</v>
          </cell>
          <cell r="X145">
            <v>0</v>
          </cell>
          <cell r="AC145">
            <v>0</v>
          </cell>
          <cell r="AJ145">
            <v>0</v>
          </cell>
          <cell r="AK145">
            <v>11.11</v>
          </cell>
          <cell r="AL145">
            <v>49395</v>
          </cell>
          <cell r="AO145" t="e">
            <v>#DIV/0!</v>
          </cell>
          <cell r="AP145">
            <v>0</v>
          </cell>
        </row>
        <row r="146">
          <cell r="P146">
            <v>0</v>
          </cell>
          <cell r="X146">
            <v>0</v>
          </cell>
          <cell r="AC146">
            <v>0</v>
          </cell>
          <cell r="AJ146">
            <v>0</v>
          </cell>
          <cell r="AK146">
            <v>57720</v>
          </cell>
          <cell r="AL146">
            <v>57720</v>
          </cell>
          <cell r="AP146" t="e">
            <v>#REF!</v>
          </cell>
          <cell r="AQ146">
            <v>180931</v>
          </cell>
          <cell r="AR146" t="e">
            <v>#REF!</v>
          </cell>
        </row>
        <row r="147">
          <cell r="P147">
            <v>0</v>
          </cell>
          <cell r="X147">
            <v>0</v>
          </cell>
          <cell r="AC147">
            <v>0</v>
          </cell>
          <cell r="AJ147">
            <v>0</v>
          </cell>
          <cell r="AK147">
            <v>5857.1428571428578</v>
          </cell>
          <cell r="AL147">
            <v>-46268.907419299605</v>
          </cell>
          <cell r="AM147">
            <v>-63240.236520094339</v>
          </cell>
        </row>
        <row r="148">
          <cell r="P148">
            <v>0</v>
          </cell>
          <cell r="S148">
            <v>0</v>
          </cell>
          <cell r="X148">
            <v>0</v>
          </cell>
          <cell r="AC148">
            <v>0</v>
          </cell>
          <cell r="AJ148">
            <v>300</v>
          </cell>
          <cell r="AK148">
            <v>865.25</v>
          </cell>
          <cell r="AL148">
            <v>-40208.957581756862</v>
          </cell>
          <cell r="AM148">
            <v>-44888.413327334049</v>
          </cell>
          <cell r="AP148" t="e">
            <v>#REF!</v>
          </cell>
          <cell r="AQ148" t="e">
            <v>#REF!</v>
          </cell>
          <cell r="AR148" t="e">
            <v>#REF!</v>
          </cell>
        </row>
        <row r="149">
          <cell r="P149">
            <v>0</v>
          </cell>
          <cell r="S149">
            <v>0</v>
          </cell>
          <cell r="X149">
            <v>0</v>
          </cell>
          <cell r="AC149">
            <v>0</v>
          </cell>
          <cell r="AJ149">
            <v>0</v>
          </cell>
          <cell r="AK149">
            <v>5114.2857142857147</v>
          </cell>
          <cell r="AL149">
            <v>-43965.116024096387</v>
          </cell>
          <cell r="AM149">
            <v>-72810.013763782408</v>
          </cell>
        </row>
        <row r="150">
          <cell r="P150">
            <v>0</v>
          </cell>
          <cell r="Q150">
            <v>0</v>
          </cell>
          <cell r="S150">
            <v>0</v>
          </cell>
          <cell r="T150">
            <v>0</v>
          </cell>
          <cell r="X150">
            <v>0</v>
          </cell>
          <cell r="Y150">
            <v>0</v>
          </cell>
          <cell r="AC150">
            <v>0</v>
          </cell>
          <cell r="AJ150">
            <v>0</v>
          </cell>
          <cell r="AK150">
            <v>865.25</v>
          </cell>
          <cell r="AL150">
            <v>56960</v>
          </cell>
          <cell r="AM150">
            <v>58108</v>
          </cell>
          <cell r="AN150">
            <v>0</v>
          </cell>
          <cell r="AO150">
            <v>0</v>
          </cell>
        </row>
        <row r="151">
          <cell r="AJ151">
            <v>0</v>
          </cell>
          <cell r="AK151">
            <v>0</v>
          </cell>
          <cell r="AL151">
            <v>49395</v>
          </cell>
          <cell r="AM151">
            <v>28333</v>
          </cell>
          <cell r="AO151">
            <v>0</v>
          </cell>
        </row>
        <row r="152">
          <cell r="P152">
            <v>-1295.5</v>
          </cell>
          <cell r="Q152">
            <v>2567.7454545454548</v>
          </cell>
          <cell r="S152">
            <v>-2567.7454545454548</v>
          </cell>
          <cell r="T152">
            <v>1558.3090909090909</v>
          </cell>
          <cell r="W152">
            <v>1510</v>
          </cell>
          <cell r="X152">
            <v>-48.309090909090855</v>
          </cell>
          <cell r="Y152">
            <v>1196.7</v>
          </cell>
          <cell r="AC152">
            <v>-1196.7</v>
          </cell>
          <cell r="AD152">
            <v>1791.7636363636364</v>
          </cell>
          <cell r="AE152">
            <v>1791.7636363636364</v>
          </cell>
          <cell r="AF152">
            <v>0</v>
          </cell>
          <cell r="AG152">
            <v>1946</v>
          </cell>
          <cell r="AH152">
            <v>938</v>
          </cell>
          <cell r="AI152">
            <v>0</v>
          </cell>
          <cell r="AJ152">
            <v>0</v>
          </cell>
          <cell r="AK152">
            <v>139949</v>
          </cell>
          <cell r="AL152">
            <v>57720</v>
          </cell>
          <cell r="AM152">
            <v>82229</v>
          </cell>
          <cell r="AN152">
            <v>197</v>
          </cell>
          <cell r="AO152">
            <v>0</v>
          </cell>
          <cell r="AP152">
            <v>9542.2601818181811</v>
          </cell>
        </row>
        <row r="153">
          <cell r="AK153">
            <v>0</v>
          </cell>
          <cell r="AL153">
            <v>49395</v>
          </cell>
          <cell r="AM153">
            <v>28333</v>
          </cell>
          <cell r="AO153">
            <v>2093</v>
          </cell>
          <cell r="AP153">
            <v>5098</v>
          </cell>
          <cell r="AQ153">
            <v>4891.9653693155615</v>
          </cell>
          <cell r="AR153">
            <v>11328.349456446114</v>
          </cell>
        </row>
        <row r="154">
          <cell r="P154">
            <v>57</v>
          </cell>
          <cell r="Q154">
            <v>1275.7272727272727</v>
          </cell>
          <cell r="R154">
            <v>1487</v>
          </cell>
          <cell r="S154">
            <v>211.27272727272725</v>
          </cell>
          <cell r="T154">
            <v>814</v>
          </cell>
          <cell r="U154">
            <v>317</v>
          </cell>
          <cell r="V154">
            <v>497</v>
          </cell>
          <cell r="W154">
            <v>831</v>
          </cell>
          <cell r="X154">
            <v>17</v>
          </cell>
          <cell r="Y154">
            <v>598</v>
          </cell>
          <cell r="Z154">
            <v>223</v>
          </cell>
          <cell r="AA154">
            <v>375</v>
          </cell>
          <cell r="AB154">
            <v>596</v>
          </cell>
          <cell r="AC154">
            <v>-2</v>
          </cell>
          <cell r="AD154">
            <v>359.09090909090912</v>
          </cell>
          <cell r="AE154">
            <v>359.09090909090912</v>
          </cell>
          <cell r="AF154">
            <v>0</v>
          </cell>
          <cell r="AG154">
            <v>437</v>
          </cell>
          <cell r="AH154">
            <v>265</v>
          </cell>
          <cell r="AI154">
            <v>0</v>
          </cell>
          <cell r="AJ154">
            <v>77.909090909090878</v>
          </cell>
          <cell r="AK154">
            <v>139949</v>
          </cell>
          <cell r="AL154">
            <v>57720</v>
          </cell>
          <cell r="AM154">
            <v>82229</v>
          </cell>
          <cell r="AN154">
            <v>0</v>
          </cell>
          <cell r="AO154">
            <v>2889</v>
          </cell>
          <cell r="AP154">
            <v>5865</v>
          </cell>
          <cell r="AQ154">
            <v>4320.2514445347797</v>
          </cell>
          <cell r="AR154">
            <v>12672.305468164745</v>
          </cell>
        </row>
        <row r="155">
          <cell r="P155">
            <v>0</v>
          </cell>
          <cell r="Q155">
            <v>0</v>
          </cell>
          <cell r="S155">
            <v>0</v>
          </cell>
          <cell r="T155">
            <v>70</v>
          </cell>
          <cell r="X155">
            <v>-70</v>
          </cell>
          <cell r="Y155">
            <v>24</v>
          </cell>
          <cell r="AC155">
            <v>-24</v>
          </cell>
          <cell r="AJ155">
            <v>0</v>
          </cell>
          <cell r="AK155">
            <v>0</v>
          </cell>
          <cell r="AL155">
            <v>-100</v>
          </cell>
          <cell r="AM155">
            <v>-100</v>
          </cell>
          <cell r="AO155">
            <v>2449</v>
          </cell>
          <cell r="AP155">
            <v>6659</v>
          </cell>
          <cell r="AQ155">
            <v>5344.308649356225</v>
          </cell>
          <cell r="AR155">
            <v>14571.544133725103</v>
          </cell>
        </row>
        <row r="156">
          <cell r="P156">
            <v>0</v>
          </cell>
          <cell r="Q156">
            <v>0</v>
          </cell>
          <cell r="S156">
            <v>0</v>
          </cell>
          <cell r="T156">
            <v>0</v>
          </cell>
          <cell r="X156">
            <v>0</v>
          </cell>
          <cell r="Y156">
            <v>0</v>
          </cell>
          <cell r="AC156">
            <v>0</v>
          </cell>
          <cell r="AJ156">
            <v>0</v>
          </cell>
          <cell r="AK156">
            <v>20.6</v>
          </cell>
          <cell r="AL156">
            <v>31.3</v>
          </cell>
          <cell r="AM156">
            <v>12.9</v>
          </cell>
          <cell r="AP156" t="e">
            <v>#REF!</v>
          </cell>
        </row>
        <row r="157">
          <cell r="P157">
            <v>-681</v>
          </cell>
          <cell r="Q157">
            <v>1041.8333333333333</v>
          </cell>
          <cell r="S157">
            <v>-1041.8333333333333</v>
          </cell>
          <cell r="T157">
            <v>213</v>
          </cell>
          <cell r="X157">
            <v>-213</v>
          </cell>
          <cell r="Y157">
            <v>1171.0035872727274</v>
          </cell>
          <cell r="AC157">
            <v>-1171.0035872727274</v>
          </cell>
          <cell r="AJ157">
            <v>0</v>
          </cell>
          <cell r="AK157">
            <v>4.3796018241005417</v>
          </cell>
          <cell r="AL157">
            <v>-100</v>
          </cell>
          <cell r="AM157">
            <v>-100</v>
          </cell>
          <cell r="AP157" t="e">
            <v>#REF!</v>
          </cell>
        </row>
        <row r="158">
          <cell r="F158">
            <v>0</v>
          </cell>
          <cell r="P158">
            <v>-47</v>
          </cell>
          <cell r="Q158">
            <v>140</v>
          </cell>
          <cell r="S158">
            <v>-140</v>
          </cell>
          <cell r="T158">
            <v>105</v>
          </cell>
          <cell r="X158">
            <v>-105</v>
          </cell>
          <cell r="Y158">
            <v>190</v>
          </cell>
          <cell r="AC158">
            <v>-190</v>
          </cell>
          <cell r="AJ158">
            <v>0</v>
          </cell>
          <cell r="AK158">
            <v>0</v>
          </cell>
          <cell r="AL158">
            <v>0</v>
          </cell>
          <cell r="AM158">
            <v>0</v>
          </cell>
          <cell r="AP158" t="e">
            <v>#REF!</v>
          </cell>
        </row>
        <row r="159">
          <cell r="F159">
            <v>320</v>
          </cell>
          <cell r="P159">
            <v>-1248.5</v>
          </cell>
          <cell r="Q159">
            <v>140</v>
          </cell>
          <cell r="S159">
            <v>-140</v>
          </cell>
          <cell r="T159" t="str">
            <v xml:space="preserve">                   КОРИГУВАННЯ   ПЛАНУ   НА   СЕРПЕНЬ  1998 р</v>
          </cell>
          <cell r="X159" t="e">
            <v>#VALUE!</v>
          </cell>
          <cell r="Y159">
            <v>1006.7</v>
          </cell>
          <cell r="AC159">
            <v>-1006.7</v>
          </cell>
          <cell r="AF159">
            <v>312.8</v>
          </cell>
          <cell r="AG159">
            <v>313</v>
          </cell>
          <cell r="AH159">
            <v>-0.19999999999998863</v>
          </cell>
          <cell r="AJ159">
            <v>0</v>
          </cell>
          <cell r="AK159">
            <v>3951.6000000000004</v>
          </cell>
          <cell r="AP159" t="e">
            <v>#REF!</v>
          </cell>
        </row>
        <row r="160">
          <cell r="F160">
            <v>0</v>
          </cell>
          <cell r="P160">
            <v>0</v>
          </cell>
          <cell r="Q160">
            <v>280</v>
          </cell>
          <cell r="S160">
            <v>0</v>
          </cell>
          <cell r="X160">
            <v>0</v>
          </cell>
          <cell r="Y160">
            <v>1196.7</v>
          </cell>
          <cell r="AC160">
            <v>0</v>
          </cell>
          <cell r="AF160">
            <v>141.6</v>
          </cell>
          <cell r="AG160">
            <v>142</v>
          </cell>
          <cell r="AH160">
            <v>-0.40000000000000568</v>
          </cell>
          <cell r="AJ160">
            <v>142</v>
          </cell>
          <cell r="AK160">
            <v>0</v>
          </cell>
        </row>
        <row r="161">
          <cell r="F161">
            <v>320</v>
          </cell>
          <cell r="P161">
            <v>859</v>
          </cell>
          <cell r="Q161">
            <v>2287.7454545454548</v>
          </cell>
          <cell r="S161">
            <v>1389</v>
          </cell>
          <cell r="X161">
            <v>1415</v>
          </cell>
          <cell r="Y161">
            <v>0</v>
          </cell>
          <cell r="AC161">
            <v>724</v>
          </cell>
          <cell r="AF161">
            <v>1203</v>
          </cell>
          <cell r="AG161">
            <v>530</v>
          </cell>
          <cell r="AH161">
            <v>673</v>
          </cell>
          <cell r="AJ161">
            <v>0</v>
          </cell>
          <cell r="AK161">
            <v>5590</v>
          </cell>
          <cell r="AP161" t="e">
            <v>#REF!</v>
          </cell>
        </row>
        <row r="162">
          <cell r="F162">
            <v>0</v>
          </cell>
          <cell r="P162">
            <v>390</v>
          </cell>
          <cell r="Q162">
            <v>776</v>
          </cell>
          <cell r="S162">
            <v>512</v>
          </cell>
          <cell r="X162">
            <v>2374</v>
          </cell>
          <cell r="Y162" t="e">
            <v>#REF!</v>
          </cell>
          <cell r="AB162">
            <v>9</v>
          </cell>
          <cell r="AC162">
            <v>1081</v>
          </cell>
          <cell r="AF162">
            <v>560</v>
          </cell>
          <cell r="AG162">
            <v>500</v>
          </cell>
          <cell r="AH162">
            <v>60</v>
          </cell>
          <cell r="AJ162">
            <v>0</v>
          </cell>
          <cell r="AK162">
            <v>4357</v>
          </cell>
          <cell r="AP162" t="e">
            <v>#REF!</v>
          </cell>
        </row>
        <row r="163">
          <cell r="F163">
            <v>0</v>
          </cell>
          <cell r="P163">
            <v>226</v>
          </cell>
          <cell r="Q163">
            <v>1739.5839999999998</v>
          </cell>
          <cell r="R163">
            <v>800</v>
          </cell>
          <cell r="S163">
            <v>133</v>
          </cell>
          <cell r="T163">
            <v>176.47000000000003</v>
          </cell>
          <cell r="U163">
            <v>0</v>
          </cell>
          <cell r="V163">
            <v>0</v>
          </cell>
          <cell r="W163">
            <v>0</v>
          </cell>
          <cell r="X163">
            <v>226</v>
          </cell>
          <cell r="Y163">
            <v>225.76000000000002</v>
          </cell>
          <cell r="Z163">
            <v>0</v>
          </cell>
          <cell r="AA163">
            <v>0</v>
          </cell>
          <cell r="AB163">
            <v>432</v>
          </cell>
          <cell r="AC163">
            <v>173</v>
          </cell>
          <cell r="AD163" t="e">
            <v>#REF!</v>
          </cell>
          <cell r="AE163">
            <v>1009.45</v>
          </cell>
          <cell r="AF163">
            <v>90</v>
          </cell>
          <cell r="AG163">
            <v>90</v>
          </cell>
          <cell r="AH163">
            <v>0</v>
          </cell>
          <cell r="AI163">
            <v>0</v>
          </cell>
          <cell r="AJ163" t="e">
            <v>#REF!</v>
          </cell>
          <cell r="AK163">
            <v>848</v>
          </cell>
          <cell r="AL163">
            <v>0</v>
          </cell>
          <cell r="AM163">
            <v>0</v>
          </cell>
          <cell r="AN163" t="e">
            <v>#REF!</v>
          </cell>
          <cell r="AO163">
            <v>1616</v>
          </cell>
          <cell r="AP163" t="e">
            <v>#REF!</v>
          </cell>
        </row>
        <row r="164">
          <cell r="F164">
            <v>14.170833333333334</v>
          </cell>
          <cell r="P164">
            <v>120</v>
          </cell>
          <cell r="Q164">
            <v>-0.23600000000000065</v>
          </cell>
          <cell r="R164">
            <v>154</v>
          </cell>
          <cell r="S164">
            <v>94</v>
          </cell>
          <cell r="T164">
            <v>-0.42800000000000082</v>
          </cell>
          <cell r="U164">
            <v>0</v>
          </cell>
          <cell r="V164">
            <v>0</v>
          </cell>
          <cell r="W164">
            <v>79</v>
          </cell>
          <cell r="X164">
            <v>131</v>
          </cell>
          <cell r="Y164">
            <v>6.799999999999784E-2</v>
          </cell>
          <cell r="Z164">
            <v>0</v>
          </cell>
          <cell r="AA164">
            <v>0</v>
          </cell>
          <cell r="AB164">
            <v>9</v>
          </cell>
          <cell r="AC164">
            <v>83</v>
          </cell>
          <cell r="AD164">
            <v>0.28399999999999892</v>
          </cell>
          <cell r="AE164">
            <v>0.28399999999999892</v>
          </cell>
          <cell r="AF164">
            <v>80</v>
          </cell>
          <cell r="AG164">
            <v>80</v>
          </cell>
          <cell r="AH164">
            <v>30</v>
          </cell>
          <cell r="AI164">
            <v>0</v>
          </cell>
          <cell r="AJ164">
            <v>29.716000000000001</v>
          </cell>
          <cell r="AK164">
            <v>428</v>
          </cell>
          <cell r="AL164">
            <v>0</v>
          </cell>
          <cell r="AM164">
            <v>0</v>
          </cell>
          <cell r="AN164" t="e">
            <v>#REF!</v>
          </cell>
          <cell r="AO164">
            <v>0</v>
          </cell>
          <cell r="AP164" t="e">
            <v>#REF!</v>
          </cell>
        </row>
        <row r="165">
          <cell r="F165">
            <v>14.170833333333334</v>
          </cell>
          <cell r="P165">
            <v>-310.27272727272702</v>
          </cell>
          <cell r="Q165">
            <v>5435.727272727273</v>
          </cell>
          <cell r="R165">
            <v>5523</v>
          </cell>
          <cell r="S165">
            <v>87.272727272727025</v>
          </cell>
          <cell r="T165">
            <v>2142.727272727273</v>
          </cell>
          <cell r="U165">
            <v>846</v>
          </cell>
          <cell r="V165">
            <v>1296.7272727272727</v>
          </cell>
          <cell r="W165">
            <v>2210</v>
          </cell>
          <cell r="X165">
            <v>67.272727272727025</v>
          </cell>
          <cell r="Y165">
            <v>1732.7272727272727</v>
          </cell>
          <cell r="Z165">
            <v>647</v>
          </cell>
          <cell r="AA165">
            <v>1085.7272727272727</v>
          </cell>
          <cell r="AB165">
            <v>1749</v>
          </cell>
          <cell r="AC165">
            <v>16.272727272727252</v>
          </cell>
          <cell r="AD165">
            <v>4852.6363636363631</v>
          </cell>
          <cell r="AE165">
            <v>4482.6363636363631</v>
          </cell>
          <cell r="AF165">
            <v>370</v>
          </cell>
          <cell r="AG165">
            <v>4464</v>
          </cell>
          <cell r="AH165">
            <v>3202</v>
          </cell>
          <cell r="AI165">
            <v>427</v>
          </cell>
          <cell r="AJ165">
            <v>-388.63636363636306</v>
          </cell>
          <cell r="AK165">
            <v>0</v>
          </cell>
          <cell r="AL165">
            <v>0</v>
          </cell>
          <cell r="AM165">
            <v>0</v>
          </cell>
          <cell r="AN165" t="e">
            <v>#REF!</v>
          </cell>
          <cell r="AO165">
            <v>0</v>
          </cell>
          <cell r="AP165" t="e">
            <v>#REF!</v>
          </cell>
        </row>
        <row r="166">
          <cell r="F166">
            <v>14.170833333333334</v>
          </cell>
          <cell r="P166">
            <v>1.1999999999999957</v>
          </cell>
          <cell r="Q166">
            <v>81.400000000000006</v>
          </cell>
          <cell r="R166">
            <v>62</v>
          </cell>
          <cell r="S166">
            <v>-19.400000000000006</v>
          </cell>
          <cell r="T166">
            <v>2606.1999999999998</v>
          </cell>
          <cell r="U166">
            <v>963</v>
          </cell>
          <cell r="V166">
            <v>1643.1999999999998</v>
          </cell>
          <cell r="W166">
            <v>2464</v>
          </cell>
          <cell r="X166">
            <v>-142.19999999999982</v>
          </cell>
          <cell r="Y166">
            <v>112.8</v>
          </cell>
          <cell r="Z166">
            <v>15</v>
          </cell>
          <cell r="AA166">
            <v>23.200000000000003</v>
          </cell>
          <cell r="AB166">
            <v>27</v>
          </cell>
          <cell r="AC166">
            <v>-85.8</v>
          </cell>
          <cell r="AD166">
            <v>36.333333333333336</v>
          </cell>
          <cell r="AE166">
            <v>22</v>
          </cell>
          <cell r="AF166">
            <v>14.333333333333336</v>
          </cell>
          <cell r="AG166">
            <v>44</v>
          </cell>
          <cell r="AH166">
            <v>15</v>
          </cell>
          <cell r="AI166">
            <v>29</v>
          </cell>
          <cell r="AJ166">
            <v>7.6666666666666643</v>
          </cell>
          <cell r="AK166">
            <v>14.170833333333334</v>
          </cell>
          <cell r="AL166">
            <v>0</v>
          </cell>
          <cell r="AM166">
            <v>0</v>
          </cell>
          <cell r="AN166">
            <v>19</v>
          </cell>
          <cell r="AO166">
            <v>0</v>
          </cell>
          <cell r="AP166">
            <v>2846.5333333333333</v>
          </cell>
        </row>
        <row r="167">
          <cell r="F167">
            <v>260</v>
          </cell>
          <cell r="P167">
            <v>450</v>
          </cell>
          <cell r="Q167">
            <v>13559.514000000001</v>
          </cell>
          <cell r="S167">
            <v>688.5</v>
          </cell>
          <cell r="T167">
            <v>876.30400000002464</v>
          </cell>
          <cell r="X167">
            <v>416.54545454545456</v>
          </cell>
          <cell r="Y167">
            <v>912.96000000001436</v>
          </cell>
          <cell r="AC167">
            <v>179.90909090909091</v>
          </cell>
          <cell r="AE167">
            <v>-6947.0430909090901</v>
          </cell>
          <cell r="AF167">
            <v>157.90909090909091</v>
          </cell>
          <cell r="AG167">
            <v>157.90909090909091</v>
          </cell>
          <cell r="AH167">
            <v>2561</v>
          </cell>
          <cell r="AK167">
            <v>1734.9545454545455</v>
          </cell>
          <cell r="AN167" t="e">
            <v>#REF!</v>
          </cell>
          <cell r="AP167" t="e">
            <v>#REF!</v>
          </cell>
        </row>
        <row r="168">
          <cell r="F168">
            <v>-60</v>
          </cell>
          <cell r="P168">
            <v>0</v>
          </cell>
          <cell r="S168">
            <v>700.5</v>
          </cell>
          <cell r="X168">
            <v>998.4545454545455</v>
          </cell>
          <cell r="AC168">
            <v>544.09090909090912</v>
          </cell>
          <cell r="AK168">
            <v>2183.0454545454545</v>
          </cell>
        </row>
        <row r="169">
          <cell r="F169">
            <v>60</v>
          </cell>
          <cell r="P169">
            <v>0</v>
          </cell>
          <cell r="S169">
            <v>1389</v>
          </cell>
          <cell r="X169">
            <v>1415</v>
          </cell>
          <cell r="AC169">
            <v>724</v>
          </cell>
          <cell r="AF169">
            <v>0</v>
          </cell>
          <cell r="AG169">
            <v>0</v>
          </cell>
          <cell r="AH169">
            <v>0</v>
          </cell>
          <cell r="AK169">
            <v>0</v>
          </cell>
        </row>
        <row r="170">
          <cell r="F170">
            <v>60</v>
          </cell>
          <cell r="G170">
            <v>0</v>
          </cell>
          <cell r="H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25802.811515151516</v>
          </cell>
          <cell r="AE170">
            <v>0</v>
          </cell>
          <cell r="AF170">
            <v>454</v>
          </cell>
          <cell r="AG170">
            <v>461</v>
          </cell>
          <cell r="AH170">
            <v>0</v>
          </cell>
          <cell r="AJ170">
            <v>0</v>
          </cell>
          <cell r="AK170">
            <v>60</v>
          </cell>
        </row>
        <row r="171">
          <cell r="F171">
            <v>427</v>
          </cell>
          <cell r="G171">
            <v>0</v>
          </cell>
          <cell r="H171">
            <v>0</v>
          </cell>
          <cell r="P171">
            <v>1736</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25802.811515151516</v>
          </cell>
          <cell r="AE171">
            <v>0</v>
          </cell>
          <cell r="AF171">
            <v>0</v>
          </cell>
          <cell r="AG171">
            <v>0</v>
          </cell>
          <cell r="AH171">
            <v>0</v>
          </cell>
          <cell r="AJ171">
            <v>0</v>
          </cell>
          <cell r="AK171">
            <v>0</v>
          </cell>
        </row>
        <row r="172">
          <cell r="F172">
            <v>825</v>
          </cell>
          <cell r="G172">
            <v>0</v>
          </cell>
          <cell r="H172">
            <v>0</v>
          </cell>
          <cell r="P172">
            <v>2016</v>
          </cell>
          <cell r="Q172">
            <v>0</v>
          </cell>
          <cell r="R172">
            <v>0</v>
          </cell>
          <cell r="S172">
            <v>-474</v>
          </cell>
          <cell r="T172">
            <v>0</v>
          </cell>
          <cell r="U172">
            <v>0</v>
          </cell>
          <cell r="V172">
            <v>0</v>
          </cell>
          <cell r="W172">
            <v>0</v>
          </cell>
          <cell r="X172">
            <v>1029</v>
          </cell>
          <cell r="Y172">
            <v>0</v>
          </cell>
          <cell r="Z172">
            <v>0</v>
          </cell>
          <cell r="AA172">
            <v>0</v>
          </cell>
          <cell r="AB172">
            <v>0</v>
          </cell>
          <cell r="AC172">
            <v>-117</v>
          </cell>
          <cell r="AD172">
            <v>0</v>
          </cell>
          <cell r="AE172">
            <v>0</v>
          </cell>
          <cell r="AF172">
            <v>266</v>
          </cell>
          <cell r="AG172">
            <v>461</v>
          </cell>
          <cell r="AH172">
            <v>0</v>
          </cell>
          <cell r="AJ172">
            <v>0</v>
          </cell>
          <cell r="AK172">
            <v>3890</v>
          </cell>
        </row>
        <row r="173">
          <cell r="F173">
            <v>825</v>
          </cell>
          <cell r="G173">
            <v>0</v>
          </cell>
          <cell r="H173">
            <v>0</v>
          </cell>
          <cell r="P173">
            <v>2016</v>
          </cell>
          <cell r="Q173">
            <v>0</v>
          </cell>
          <cell r="R173">
            <v>0</v>
          </cell>
          <cell r="S173">
            <v>-474</v>
          </cell>
          <cell r="T173">
            <v>0</v>
          </cell>
          <cell r="U173">
            <v>0</v>
          </cell>
          <cell r="V173">
            <v>0</v>
          </cell>
          <cell r="W173">
            <v>0</v>
          </cell>
          <cell r="X173">
            <v>1029</v>
          </cell>
          <cell r="Y173">
            <v>0</v>
          </cell>
          <cell r="Z173">
            <v>0</v>
          </cell>
          <cell r="AA173">
            <v>0</v>
          </cell>
          <cell r="AB173">
            <v>0</v>
          </cell>
          <cell r="AC173">
            <v>-117</v>
          </cell>
          <cell r="AD173">
            <v>0</v>
          </cell>
          <cell r="AE173">
            <v>0</v>
          </cell>
          <cell r="AF173">
            <v>266</v>
          </cell>
          <cell r="AG173">
            <v>266</v>
          </cell>
          <cell r="AH173">
            <v>0</v>
          </cell>
          <cell r="AJ173">
            <v>0</v>
          </cell>
          <cell r="AK173">
            <v>3695</v>
          </cell>
        </row>
        <row r="174">
          <cell r="F174">
            <v>0</v>
          </cell>
          <cell r="G174">
            <v>0</v>
          </cell>
          <cell r="H174">
            <v>0</v>
          </cell>
          <cell r="P174">
            <v>0</v>
          </cell>
          <cell r="Q174" t="str">
            <v>КТМ</v>
          </cell>
          <cell r="R174">
            <v>0</v>
          </cell>
          <cell r="S174">
            <v>0</v>
          </cell>
          <cell r="T174">
            <v>0</v>
          </cell>
          <cell r="U174">
            <v>0</v>
          </cell>
          <cell r="V174">
            <v>0</v>
          </cell>
          <cell r="W174">
            <v>0</v>
          </cell>
          <cell r="X174">
            <v>0</v>
          </cell>
          <cell r="Y174">
            <v>0</v>
          </cell>
          <cell r="Z174">
            <v>0</v>
          </cell>
          <cell r="AA174">
            <v>0</v>
          </cell>
          <cell r="AB174">
            <v>0</v>
          </cell>
          <cell r="AC174">
            <v>0</v>
          </cell>
          <cell r="AE174">
            <v>0</v>
          </cell>
          <cell r="AF174">
            <v>0</v>
          </cell>
          <cell r="AG174">
            <v>0</v>
          </cell>
          <cell r="AH174">
            <v>0</v>
          </cell>
          <cell r="AJ174">
            <v>0</v>
          </cell>
          <cell r="AK174">
            <v>0</v>
          </cell>
          <cell r="AN174" t="str">
            <v>ДОП.ВИР. СТ.ОРГ.</v>
          </cell>
          <cell r="AP174" t="str">
            <v>АК КЕ ВСЬОГО</v>
          </cell>
          <cell r="AQ174" t="str">
            <v>Е/Е</v>
          </cell>
          <cell r="AR174" t="str">
            <v xml:space="preserve"> Т/Е</v>
          </cell>
        </row>
        <row r="175">
          <cell r="F175">
            <v>0</v>
          </cell>
          <cell r="Q175">
            <v>1.895</v>
          </cell>
          <cell r="U175">
            <v>1.895</v>
          </cell>
          <cell r="V175">
            <v>1.895</v>
          </cell>
          <cell r="Y175">
            <v>1.895</v>
          </cell>
          <cell r="Z175">
            <v>1.895</v>
          </cell>
          <cell r="AA175">
            <v>1.895</v>
          </cell>
          <cell r="AG175">
            <v>0</v>
          </cell>
          <cell r="AK175">
            <v>0</v>
          </cell>
          <cell r="AN175">
            <v>1.895</v>
          </cell>
          <cell r="AP175">
            <v>1.895</v>
          </cell>
          <cell r="AQ175">
            <v>1.895</v>
          </cell>
        </row>
        <row r="176">
          <cell r="F176">
            <v>587</v>
          </cell>
          <cell r="P176">
            <v>863.25</v>
          </cell>
          <cell r="Q176">
            <v>0</v>
          </cell>
          <cell r="R176">
            <v>0</v>
          </cell>
          <cell r="S176">
            <v>1561.82</v>
          </cell>
          <cell r="T176">
            <v>554.80543636363632</v>
          </cell>
          <cell r="U176">
            <v>577.28729090909087</v>
          </cell>
          <cell r="V176">
            <v>0</v>
          </cell>
          <cell r="W176">
            <v>0</v>
          </cell>
          <cell r="X176">
            <v>640.95000000000005</v>
          </cell>
          <cell r="AA176">
            <v>0</v>
          </cell>
          <cell r="AB176">
            <v>0</v>
          </cell>
          <cell r="AC176">
            <v>535.86</v>
          </cell>
          <cell r="AF176">
            <v>1759.96</v>
          </cell>
          <cell r="AG176">
            <v>1532.909090909091</v>
          </cell>
          <cell r="AH176">
            <v>227.05090909090904</v>
          </cell>
          <cell r="AJ176">
            <v>0</v>
          </cell>
          <cell r="AK176">
            <v>0</v>
          </cell>
          <cell r="AO176">
            <v>247</v>
          </cell>
          <cell r="AP176">
            <v>610</v>
          </cell>
          <cell r="AQ176">
            <v>920.25</v>
          </cell>
          <cell r="AR176">
            <v>2050.3572727272726</v>
          </cell>
        </row>
        <row r="177">
          <cell r="F177">
            <v>3480</v>
          </cell>
          <cell r="G177">
            <v>0</v>
          </cell>
          <cell r="H177">
            <v>0</v>
          </cell>
          <cell r="P177">
            <v>152</v>
          </cell>
          <cell r="Q177">
            <v>132.19999999999999</v>
          </cell>
          <cell r="R177">
            <v>0</v>
          </cell>
          <cell r="S177">
            <v>428.72727272727275</v>
          </cell>
          <cell r="T177">
            <v>0</v>
          </cell>
          <cell r="U177">
            <v>0</v>
          </cell>
          <cell r="V177">
            <v>0</v>
          </cell>
          <cell r="W177">
            <v>0</v>
          </cell>
          <cell r="X177">
            <v>248.36363636363637</v>
          </cell>
          <cell r="Y177">
            <v>68.7</v>
          </cell>
          <cell r="Z177">
            <v>145.36363636363637</v>
          </cell>
          <cell r="AA177">
            <v>0</v>
          </cell>
          <cell r="AB177">
            <v>0</v>
          </cell>
          <cell r="AC177">
            <v>191.18181818181819</v>
          </cell>
          <cell r="AD177">
            <v>88</v>
          </cell>
          <cell r="AE177">
            <v>103.18181818181819</v>
          </cell>
          <cell r="AF177">
            <v>157.90909090909091</v>
          </cell>
          <cell r="AG177">
            <v>157.90909090909091</v>
          </cell>
          <cell r="AH177">
            <v>0</v>
          </cell>
          <cell r="AJ177">
            <v>0</v>
          </cell>
          <cell r="AK177">
            <v>3480</v>
          </cell>
          <cell r="AO177">
            <v>266</v>
          </cell>
          <cell r="AP177">
            <v>200.89999999999998</v>
          </cell>
          <cell r="AQ177">
            <v>907.25</v>
          </cell>
          <cell r="AR177">
            <v>2372.7209090909091</v>
          </cell>
        </row>
        <row r="178">
          <cell r="F178">
            <v>742.3</v>
          </cell>
          <cell r="G178">
            <v>0</v>
          </cell>
          <cell r="H178">
            <v>0</v>
          </cell>
          <cell r="P178">
            <v>962.45</v>
          </cell>
          <cell r="Q178">
            <v>0</v>
          </cell>
          <cell r="R178">
            <v>0</v>
          </cell>
          <cell r="S178">
            <v>2034.72</v>
          </cell>
          <cell r="T178">
            <v>659.81780000000003</v>
          </cell>
          <cell r="U178">
            <v>686.40219999999999</v>
          </cell>
          <cell r="V178">
            <v>0</v>
          </cell>
          <cell r="W178">
            <v>0</v>
          </cell>
          <cell r="X178">
            <v>830.12099999999998</v>
          </cell>
          <cell r="Y178">
            <v>78.3</v>
          </cell>
          <cell r="Z178">
            <v>120.36363636363637</v>
          </cell>
          <cell r="AA178">
            <v>0</v>
          </cell>
          <cell r="AB178">
            <v>0</v>
          </cell>
          <cell r="AC178">
            <v>689.86</v>
          </cell>
          <cell r="AD178">
            <v>73</v>
          </cell>
          <cell r="AE178">
            <v>107.90909090909091</v>
          </cell>
          <cell r="AF178">
            <v>1784.8600000000001</v>
          </cell>
          <cell r="AG178">
            <v>1697.909090909091</v>
          </cell>
          <cell r="AH178">
            <v>86.950909090909136</v>
          </cell>
          <cell r="AJ178">
            <v>0</v>
          </cell>
          <cell r="AK178">
            <v>7462.360090909091</v>
          </cell>
          <cell r="AO178">
            <v>292</v>
          </cell>
          <cell r="AP178">
            <v>761</v>
          </cell>
          <cell r="AQ178">
            <v>1068.45</v>
          </cell>
          <cell r="AR178">
            <v>2428.0464545454552</v>
          </cell>
        </row>
        <row r="179">
          <cell r="F179">
            <v>0</v>
          </cell>
          <cell r="G179">
            <v>0</v>
          </cell>
          <cell r="H179">
            <v>0</v>
          </cell>
          <cell r="P179">
            <v>450</v>
          </cell>
          <cell r="Q179">
            <v>0</v>
          </cell>
          <cell r="R179">
            <v>0</v>
          </cell>
          <cell r="S179">
            <v>688.5</v>
          </cell>
          <cell r="T179">
            <v>0</v>
          </cell>
          <cell r="U179">
            <v>0</v>
          </cell>
          <cell r="V179">
            <v>0</v>
          </cell>
          <cell r="W179">
            <v>0</v>
          </cell>
          <cell r="X179">
            <v>416.54545454545456</v>
          </cell>
          <cell r="Y179">
            <v>175</v>
          </cell>
          <cell r="Z179">
            <v>241.54545454545456</v>
          </cell>
          <cell r="AA179">
            <v>0</v>
          </cell>
          <cell r="AB179">
            <v>0</v>
          </cell>
          <cell r="AC179">
            <v>179.90909090909091</v>
          </cell>
          <cell r="AD179">
            <v>73</v>
          </cell>
          <cell r="AE179">
            <v>106.90909090909091</v>
          </cell>
          <cell r="AF179">
            <v>157.90909090909091</v>
          </cell>
          <cell r="AG179">
            <v>157.90909090909091</v>
          </cell>
          <cell r="AH179">
            <v>0</v>
          </cell>
          <cell r="AJ179">
            <v>0</v>
          </cell>
          <cell r="AK179">
            <v>-1272.236272727273</v>
          </cell>
          <cell r="AO179">
            <v>350</v>
          </cell>
          <cell r="AP179">
            <v>82.5</v>
          </cell>
          <cell r="AQ179">
            <v>0</v>
          </cell>
          <cell r="AR179">
            <v>14</v>
          </cell>
        </row>
        <row r="180">
          <cell r="F180">
            <v>0</v>
          </cell>
          <cell r="P180">
            <v>-107</v>
          </cell>
          <cell r="Q180">
            <v>0</v>
          </cell>
          <cell r="R180">
            <v>0</v>
          </cell>
          <cell r="S180">
            <v>-76.333333333333329</v>
          </cell>
          <cell r="T180">
            <v>13.666666666666666</v>
          </cell>
          <cell r="U180">
            <v>0</v>
          </cell>
          <cell r="V180">
            <v>0</v>
          </cell>
          <cell r="W180">
            <v>0</v>
          </cell>
          <cell r="X180">
            <v>623</v>
          </cell>
          <cell r="Y180">
            <v>156.34</v>
          </cell>
          <cell r="AA180">
            <v>0</v>
          </cell>
          <cell r="AB180">
            <v>0</v>
          </cell>
          <cell r="AC180">
            <v>13.333333333333334</v>
          </cell>
          <cell r="AF180">
            <v>1</v>
          </cell>
          <cell r="AG180">
            <v>1</v>
          </cell>
          <cell r="AH180">
            <v>0</v>
          </cell>
          <cell r="AJ180">
            <v>0</v>
          </cell>
          <cell r="AK180">
            <v>7665.7360636363592</v>
          </cell>
          <cell r="AO180">
            <v>267</v>
          </cell>
          <cell r="AP180">
            <v>349</v>
          </cell>
          <cell r="AQ180">
            <v>-107</v>
          </cell>
          <cell r="AR180">
            <v>-55</v>
          </cell>
        </row>
        <row r="181">
          <cell r="F181">
            <v>9095</v>
          </cell>
          <cell r="P181">
            <v>676.66666666666652</v>
          </cell>
          <cell r="Q181">
            <v>20668</v>
          </cell>
          <cell r="S181">
            <v>3680.4666666666681</v>
          </cell>
          <cell r="U181">
            <v>0</v>
          </cell>
          <cell r="X181">
            <v>1136.003333333334</v>
          </cell>
          <cell r="Y181">
            <v>10741</v>
          </cell>
          <cell r="AC181">
            <v>450.60000000000059</v>
          </cell>
          <cell r="AF181">
            <v>1854.0333333333331</v>
          </cell>
          <cell r="AG181">
            <v>1301</v>
          </cell>
          <cell r="AH181">
            <v>545.90000000000009</v>
          </cell>
          <cell r="AP181">
            <v>31409</v>
          </cell>
        </row>
        <row r="182">
          <cell r="F182">
            <v>6013</v>
          </cell>
          <cell r="P182">
            <v>478.66666666666606</v>
          </cell>
          <cell r="S182">
            <v>4076.6666666666688</v>
          </cell>
          <cell r="X182">
            <v>534.33333333333678</v>
          </cell>
          <cell r="AC182">
            <v>554.33333333333053</v>
          </cell>
          <cell r="AF182">
            <v>1865.0333333333331</v>
          </cell>
          <cell r="AG182">
            <v>1889.3999999999996</v>
          </cell>
          <cell r="AH182">
            <v>376.63333333333327</v>
          </cell>
          <cell r="AO182" t="str">
            <v>ОЧИК.18.02.</v>
          </cell>
          <cell r="AP182">
            <v>31409</v>
          </cell>
        </row>
        <row r="183">
          <cell r="F183">
            <v>8205</v>
          </cell>
          <cell r="P183">
            <v>848.19999999999959</v>
          </cell>
          <cell r="Q183">
            <v>0</v>
          </cell>
          <cell r="S183">
            <v>5161.6000000000004</v>
          </cell>
          <cell r="U183">
            <v>0</v>
          </cell>
          <cell r="X183">
            <v>904.30000000000064</v>
          </cell>
          <cell r="Y183">
            <v>52.1</v>
          </cell>
          <cell r="AC183">
            <v>505.53333333333126</v>
          </cell>
          <cell r="AF183">
            <v>1767.9999999999995</v>
          </cell>
          <cell r="AG183">
            <v>1862</v>
          </cell>
          <cell r="AH183">
            <v>-289</v>
          </cell>
          <cell r="AO183" t="str">
            <v>ОЧИК.18.02.</v>
          </cell>
          <cell r="AP183">
            <v>1507.2</v>
          </cell>
        </row>
        <row r="184">
          <cell r="Q184">
            <v>0</v>
          </cell>
          <cell r="U184">
            <v>0</v>
          </cell>
          <cell r="Y184">
            <v>71.3</v>
          </cell>
          <cell r="AO184" t="str">
            <v>ОЧИК.18.02.</v>
          </cell>
          <cell r="AP184">
            <v>71.3</v>
          </cell>
        </row>
        <row r="185">
          <cell r="F185" t="str">
            <v>АПАРАТ ВСЬОГО</v>
          </cell>
          <cell r="G185" t="str">
            <v>АПАРАТ ЕЛЕКТРО</v>
          </cell>
          <cell r="H185" t="str">
            <v>АПАРАТ ТЕПЛО</v>
          </cell>
          <cell r="P185" t="str">
            <v>ККМ</v>
          </cell>
          <cell r="S185" t="str">
            <v>КТМ</v>
          </cell>
          <cell r="X185" t="str">
            <v>ТЕЦ-5 ВСЬОГО</v>
          </cell>
          <cell r="Y185" t="str">
            <v>Е/Е</v>
          </cell>
          <cell r="Z185" t="str">
            <v xml:space="preserve"> Т/Е</v>
          </cell>
          <cell r="AC185" t="str">
            <v>ТЕЦ-6 ВСЬОГО</v>
          </cell>
          <cell r="AD185" t="str">
            <v>Е/Е</v>
          </cell>
          <cell r="AE185" t="str">
            <v xml:space="preserve"> Т/Е</v>
          </cell>
          <cell r="AF185" t="str">
            <v>Е/Е</v>
          </cell>
          <cell r="AG185" t="str">
            <v xml:space="preserve"> Т/Е</v>
          </cell>
          <cell r="AJ185" t="str">
            <v>ДОП.ВИР. СТ.ОРГ.</v>
          </cell>
          <cell r="AK185" t="str">
            <v>АК КЕ ВСЬОГО</v>
          </cell>
          <cell r="AL185" t="str">
            <v>Е/Е</v>
          </cell>
          <cell r="AM185" t="str">
            <v xml:space="preserve"> Т/Е</v>
          </cell>
          <cell r="AN185">
            <v>0</v>
          </cell>
          <cell r="AO185" t="str">
            <v>СТАНЦІї ЕЛЕКТРО</v>
          </cell>
          <cell r="AP185">
            <v>98.96042216358839</v>
          </cell>
          <cell r="AQ185" t="str">
            <v>МЕРЕЖІ ЕЛЕКТРО</v>
          </cell>
          <cell r="AR185" t="str">
            <v>МЕРЕЖІ ТЕПЛОВІ</v>
          </cell>
        </row>
        <row r="186">
          <cell r="F186" t="str">
            <v>АПАРАТ ВСЬОГО</v>
          </cell>
          <cell r="G186" t="str">
            <v>АПАРАТ ЕЛЕКТРО</v>
          </cell>
          <cell r="H186" t="str">
            <v>АПАРАТ ТЕПЛО</v>
          </cell>
          <cell r="P186" t="str">
            <v>ККМ</v>
          </cell>
          <cell r="Q186">
            <v>187.53</v>
          </cell>
          <cell r="S186" t="str">
            <v>КТМ</v>
          </cell>
          <cell r="U186">
            <v>0</v>
          </cell>
          <cell r="X186" t="str">
            <v>ТЕЦ-5 ВСЬОГО</v>
          </cell>
          <cell r="Y186">
            <v>187.53</v>
          </cell>
          <cell r="Z186" t="str">
            <v xml:space="preserve"> Т/Е</v>
          </cell>
          <cell r="AC186" t="str">
            <v>ТЕЦ-6 ВСЬОГО</v>
          </cell>
          <cell r="AD186" t="str">
            <v>Е/Е</v>
          </cell>
          <cell r="AE186" t="str">
            <v xml:space="preserve"> Т/Е</v>
          </cell>
          <cell r="AF186" t="str">
            <v>Е/Е</v>
          </cell>
          <cell r="AG186" t="str">
            <v xml:space="preserve"> Т/Е</v>
          </cell>
          <cell r="AJ186" t="str">
            <v>ДОП.ВИР. СТ.ОРГ.</v>
          </cell>
          <cell r="AK186" t="str">
            <v>АК КЕ ВСЬОГО</v>
          </cell>
          <cell r="AL186" t="str">
            <v>Е/Е</v>
          </cell>
          <cell r="AM186" t="str">
            <v xml:space="preserve"> Т/Е</v>
          </cell>
          <cell r="AO186" t="str">
            <v>СТАНЦІї ЕЛЕКТРО</v>
          </cell>
          <cell r="AP186">
            <v>187.53</v>
          </cell>
          <cell r="AQ186" t="str">
            <v>МЕРЕЖІ ЕЛЕКТРО</v>
          </cell>
          <cell r="AR186" t="str">
            <v>МЕРЕЖІ ТЕПЛОВІ</v>
          </cell>
        </row>
        <row r="187">
          <cell r="F187" t="str">
            <v>АПАРАТ ВСЬОГО</v>
          </cell>
          <cell r="G187" t="str">
            <v>АПАРАТ ЕЛЕКТРО</v>
          </cell>
          <cell r="H187" t="str">
            <v>АПАРАТ ТЕПЛО</v>
          </cell>
          <cell r="P187" t="str">
            <v>ККМ</v>
          </cell>
          <cell r="Q187">
            <v>0</v>
          </cell>
          <cell r="S187" t="str">
            <v>КТМ</v>
          </cell>
          <cell r="T187">
            <v>0</v>
          </cell>
          <cell r="X187" t="str">
            <v>ТЕЦ-5 ВСЬОГО</v>
          </cell>
          <cell r="Y187" t="str">
            <v>Е/Е</v>
          </cell>
          <cell r="Z187" t="str">
            <v xml:space="preserve"> Т/Е</v>
          </cell>
          <cell r="AC187" t="str">
            <v>ТЕЦ-6 ВСЬОГО</v>
          </cell>
          <cell r="AD187" t="str">
            <v>Е/Е</v>
          </cell>
          <cell r="AE187" t="str">
            <v xml:space="preserve"> Т/Е</v>
          </cell>
          <cell r="AF187" t="str">
            <v>Е/Е</v>
          </cell>
          <cell r="AG187" t="str">
            <v xml:space="preserve"> Т/Е</v>
          </cell>
          <cell r="AJ187" t="str">
            <v>ДОП.ВИР. СТ.ОРГ.</v>
          </cell>
          <cell r="AK187" t="str">
            <v>АК КЕ ВСЬОГО</v>
          </cell>
          <cell r="AL187" t="str">
            <v>Е/Е</v>
          </cell>
          <cell r="AM187" t="str">
            <v xml:space="preserve"> Т/Е</v>
          </cell>
          <cell r="AO187" t="str">
            <v>СТАНЦІї ЕЛЕКТРО</v>
          </cell>
          <cell r="AP187" t="str">
            <v>СТАНЦІІ ТЕПЛОВІ</v>
          </cell>
          <cell r="AQ187" t="str">
            <v>МЕРЕЖІ ЕЛЕКТРО</v>
          </cell>
          <cell r="AR187" t="str">
            <v>МЕРЕЖІ ТЕПЛОВІ</v>
          </cell>
        </row>
        <row r="188">
          <cell r="S188">
            <v>101.3</v>
          </cell>
          <cell r="X188">
            <v>116.9</v>
          </cell>
          <cell r="AC188">
            <v>111.7</v>
          </cell>
          <cell r="AK188">
            <v>329.90000000000003</v>
          </cell>
          <cell r="AO188">
            <v>221.49122807017542</v>
          </cell>
          <cell r="AP188">
            <v>9770</v>
          </cell>
        </row>
        <row r="189">
          <cell r="Q189">
            <v>150.5</v>
          </cell>
          <cell r="S189">
            <v>116</v>
          </cell>
          <cell r="T189">
            <v>0</v>
          </cell>
          <cell r="U189">
            <v>51.4</v>
          </cell>
          <cell r="V189">
            <v>-51.4</v>
          </cell>
          <cell r="X189">
            <v>133.9</v>
          </cell>
          <cell r="Y189">
            <v>149.6</v>
          </cell>
          <cell r="Z189">
            <v>52.7</v>
          </cell>
          <cell r="AA189">
            <v>96.899999999999991</v>
          </cell>
          <cell r="AC189">
            <v>127.8</v>
          </cell>
          <cell r="AK189">
            <v>377.7</v>
          </cell>
          <cell r="AO189">
            <v>252.49999999999997</v>
          </cell>
          <cell r="AP189">
            <v>300.10000000000002</v>
          </cell>
          <cell r="AQ189">
            <v>104.1</v>
          </cell>
          <cell r="AR189">
            <v>196</v>
          </cell>
        </row>
        <row r="190">
          <cell r="P190">
            <v>0</v>
          </cell>
          <cell r="Q190">
            <v>20668</v>
          </cell>
          <cell r="S190">
            <v>111.8</v>
          </cell>
          <cell r="T190">
            <v>0</v>
          </cell>
          <cell r="U190" t="e">
            <v>#DIV/0!</v>
          </cell>
          <cell r="V190" t="e">
            <v>#DIV/0!</v>
          </cell>
          <cell r="X190">
            <v>133.4</v>
          </cell>
          <cell r="Y190">
            <v>20511</v>
          </cell>
          <cell r="Z190">
            <v>7225</v>
          </cell>
          <cell r="AA190">
            <v>13286</v>
          </cell>
          <cell r="AC190">
            <v>117.3</v>
          </cell>
          <cell r="AK190">
            <v>362.5</v>
          </cell>
          <cell r="AO190">
            <v>221.49122807017542</v>
          </cell>
          <cell r="AP190" t="e">
            <v>#DIV/0!</v>
          </cell>
          <cell r="AQ190" t="e">
            <v>#DIV/0!</v>
          </cell>
          <cell r="AR190" t="e">
            <v>#DIV/0!</v>
          </cell>
        </row>
        <row r="191">
          <cell r="P191">
            <v>0</v>
          </cell>
          <cell r="Q191">
            <v>137.33000000000001</v>
          </cell>
          <cell r="S191">
            <v>128</v>
          </cell>
          <cell r="T191" t="e">
            <v>#DIV/0!</v>
          </cell>
          <cell r="U191" t="e">
            <v>#DIV/0!</v>
          </cell>
          <cell r="V191" t="e">
            <v>#DIV/0!</v>
          </cell>
          <cell r="X191">
            <v>152.69999999999999</v>
          </cell>
          <cell r="Y191">
            <v>137.11000000000001</v>
          </cell>
          <cell r="Z191">
            <v>137.1</v>
          </cell>
          <cell r="AA191">
            <v>137.11000000000001</v>
          </cell>
          <cell r="AC191">
            <v>134.30000000000001</v>
          </cell>
          <cell r="AK191">
            <v>415</v>
          </cell>
          <cell r="AN191">
            <v>0</v>
          </cell>
          <cell r="AO191">
            <v>252.49999999999997</v>
          </cell>
          <cell r="AP191" t="e">
            <v>#DIV/0!</v>
          </cell>
          <cell r="AQ191" t="e">
            <v>#DIV/0!</v>
          </cell>
          <cell r="AR191" t="e">
            <v>#DIV/0!</v>
          </cell>
        </row>
        <row r="192">
          <cell r="P192">
            <v>0</v>
          </cell>
          <cell r="S192">
            <v>0</v>
          </cell>
          <cell r="X192">
            <v>0</v>
          </cell>
          <cell r="AC192">
            <v>0</v>
          </cell>
          <cell r="AK192">
            <v>63506</v>
          </cell>
          <cell r="AO192">
            <v>66</v>
          </cell>
          <cell r="AP192">
            <v>0</v>
          </cell>
          <cell r="AQ192">
            <v>0</v>
          </cell>
          <cell r="AR192">
            <v>0</v>
          </cell>
        </row>
        <row r="193">
          <cell r="P193">
            <v>0</v>
          </cell>
          <cell r="S193">
            <v>192.5</v>
          </cell>
          <cell r="T193" t="e">
            <v>#DIV/0!</v>
          </cell>
          <cell r="X193">
            <v>192.5</v>
          </cell>
          <cell r="Y193">
            <v>20511</v>
          </cell>
          <cell r="AC193">
            <v>192.5</v>
          </cell>
          <cell r="AK193">
            <v>192.5</v>
          </cell>
          <cell r="AO193">
            <v>0</v>
          </cell>
          <cell r="AP193" t="e">
            <v>#DIV/0!</v>
          </cell>
          <cell r="AQ193" t="e">
            <v>#DIV/0!</v>
          </cell>
          <cell r="AR193" t="e">
            <v>#DIV/0!</v>
          </cell>
        </row>
        <row r="194">
          <cell r="S194">
            <v>21522</v>
          </cell>
          <cell r="X194">
            <v>25680</v>
          </cell>
          <cell r="AC194">
            <v>22580</v>
          </cell>
          <cell r="AK194">
            <v>69781</v>
          </cell>
          <cell r="AO194">
            <v>0</v>
          </cell>
        </row>
        <row r="195">
          <cell r="X195">
            <v>0</v>
          </cell>
          <cell r="AC195">
            <v>0</v>
          </cell>
          <cell r="AK195">
            <v>69782</v>
          </cell>
        </row>
        <row r="196">
          <cell r="T196" t="str">
            <v>ТЕЦ-5 ВСЬОГО</v>
          </cell>
          <cell r="U196" t="str">
            <v>Е/Е</v>
          </cell>
          <cell r="V196" t="str">
            <v xml:space="preserve"> Т/Е</v>
          </cell>
          <cell r="X196">
            <v>0</v>
          </cell>
          <cell r="Y196" t="str">
            <v>ТЕЦ-6 ВСЬОГО</v>
          </cell>
          <cell r="Z196" t="str">
            <v>Е/Е</v>
          </cell>
          <cell r="AA196" t="str">
            <v xml:space="preserve"> Т/Е</v>
          </cell>
          <cell r="AC196">
            <v>0</v>
          </cell>
          <cell r="AK196">
            <v>0</v>
          </cell>
          <cell r="AP196" t="str">
            <v>АК КЕ ВСЬОГО</v>
          </cell>
          <cell r="AQ196" t="str">
            <v>Е/Е</v>
          </cell>
          <cell r="AR196" t="str">
            <v xml:space="preserve"> Т/Е</v>
          </cell>
        </row>
        <row r="197">
          <cell r="U197">
            <v>291.85000000000002</v>
          </cell>
          <cell r="V197">
            <v>750</v>
          </cell>
          <cell r="X197">
            <v>0</v>
          </cell>
          <cell r="Z197">
            <v>268.14999999999998</v>
          </cell>
          <cell r="AA197">
            <v>590</v>
          </cell>
          <cell r="AC197">
            <v>0</v>
          </cell>
          <cell r="AK197">
            <v>0</v>
          </cell>
        </row>
        <row r="198">
          <cell r="S198">
            <v>0</v>
          </cell>
          <cell r="U198">
            <v>176.1</v>
          </cell>
          <cell r="V198">
            <v>163.6</v>
          </cell>
          <cell r="X198">
            <v>82.5</v>
          </cell>
          <cell r="Z198">
            <v>196.5</v>
          </cell>
          <cell r="AA198">
            <v>164.2</v>
          </cell>
          <cell r="AC198">
            <v>82.5</v>
          </cell>
          <cell r="AK198">
            <v>0</v>
          </cell>
        </row>
        <row r="199">
          <cell r="S199">
            <v>0</v>
          </cell>
          <cell r="U199">
            <v>306.60000000000002</v>
          </cell>
          <cell r="V199">
            <v>112.8</v>
          </cell>
          <cell r="X199">
            <v>0</v>
          </cell>
          <cell r="Z199">
            <v>301.89999999999998</v>
          </cell>
          <cell r="AA199">
            <v>116.3</v>
          </cell>
          <cell r="AC199">
            <v>0</v>
          </cell>
          <cell r="AK199">
            <v>0</v>
          </cell>
        </row>
        <row r="200">
          <cell r="S200">
            <v>0</v>
          </cell>
          <cell r="U200">
            <v>130.50000000000003</v>
          </cell>
          <cell r="V200">
            <v>-50.8</v>
          </cell>
          <cell r="X200">
            <v>0</v>
          </cell>
          <cell r="Z200">
            <v>105.39999999999998</v>
          </cell>
          <cell r="AA200">
            <v>-47.899999999999991</v>
          </cell>
          <cell r="AC200">
            <v>0</v>
          </cell>
          <cell r="AK200">
            <v>0</v>
          </cell>
          <cell r="AO200">
            <v>75.839416058394164</v>
          </cell>
        </row>
        <row r="201">
          <cell r="U201" t="e">
            <v>#DIV/0!</v>
          </cell>
          <cell r="V201" t="e">
            <v>#DIV/0!</v>
          </cell>
          <cell r="X201">
            <v>5.7</v>
          </cell>
          <cell r="Z201">
            <v>137.1</v>
          </cell>
          <cell r="AA201">
            <v>137.11000000000001</v>
          </cell>
          <cell r="AC201">
            <v>5.9</v>
          </cell>
          <cell r="AD201">
            <v>5</v>
          </cell>
          <cell r="AE201">
            <v>7</v>
          </cell>
          <cell r="AK201">
            <v>11.600000000000001</v>
          </cell>
          <cell r="AO201">
            <v>103.9</v>
          </cell>
        </row>
        <row r="202">
          <cell r="F202">
            <v>75</v>
          </cell>
          <cell r="U202" t="e">
            <v>#DIV/0!</v>
          </cell>
          <cell r="V202" t="e">
            <v>#DIV/0!</v>
          </cell>
          <cell r="X202">
            <v>7</v>
          </cell>
          <cell r="Z202">
            <v>14.450339999999997</v>
          </cell>
          <cell r="AA202">
            <v>-6.5675689999999998</v>
          </cell>
          <cell r="AC202">
            <v>7</v>
          </cell>
          <cell r="AJ202">
            <v>0</v>
          </cell>
          <cell r="AK202">
            <v>0</v>
          </cell>
          <cell r="AO202">
            <v>75.839416058394164</v>
          </cell>
          <cell r="AR202">
            <v>75</v>
          </cell>
        </row>
        <row r="203">
          <cell r="F203">
            <v>75</v>
          </cell>
          <cell r="S203">
            <v>601.41999999999996</v>
          </cell>
          <cell r="U203" t="e">
            <v>#DIV/0!</v>
          </cell>
          <cell r="V203" t="e">
            <v>#DIV/0!</v>
          </cell>
          <cell r="X203">
            <v>601.41999999999996</v>
          </cell>
          <cell r="Z203">
            <v>3874.858670999999</v>
          </cell>
          <cell r="AA203">
            <v>-3874.86571</v>
          </cell>
          <cell r="AC203">
            <v>601.41999999999996</v>
          </cell>
          <cell r="AJ203">
            <v>0</v>
          </cell>
          <cell r="AK203">
            <v>0</v>
          </cell>
          <cell r="AO203">
            <v>103.9</v>
          </cell>
          <cell r="AQ203" t="e">
            <v>#DIV/0!</v>
          </cell>
          <cell r="AR203" t="e">
            <v>#DIV/0!</v>
          </cell>
        </row>
        <row r="204">
          <cell r="F204">
            <v>75</v>
          </cell>
          <cell r="S204">
            <v>0</v>
          </cell>
          <cell r="X204">
            <v>2466</v>
          </cell>
          <cell r="AC204">
            <v>2526</v>
          </cell>
          <cell r="AJ204">
            <v>0</v>
          </cell>
          <cell r="AK204">
            <v>4992</v>
          </cell>
          <cell r="AO204" t="e">
            <v>#DIV/0!</v>
          </cell>
          <cell r="AR204">
            <v>75</v>
          </cell>
        </row>
        <row r="205">
          <cell r="S205">
            <v>675</v>
          </cell>
          <cell r="X205">
            <v>675</v>
          </cell>
          <cell r="AC205">
            <v>601.41999999999996</v>
          </cell>
          <cell r="AK205">
            <v>601.41999999999996</v>
          </cell>
          <cell r="AO205">
            <v>195.28</v>
          </cell>
        </row>
        <row r="206">
          <cell r="S206">
            <v>0</v>
          </cell>
          <cell r="X206">
            <v>0</v>
          </cell>
          <cell r="Y206">
            <v>58</v>
          </cell>
          <cell r="Z206">
            <v>81.600000000000009</v>
          </cell>
          <cell r="AC206">
            <v>0</v>
          </cell>
          <cell r="AD206">
            <v>61.1</v>
          </cell>
          <cell r="AE206">
            <v>72.599999999999994</v>
          </cell>
          <cell r="AK206">
            <v>0</v>
          </cell>
          <cell r="AL206">
            <v>119.1</v>
          </cell>
          <cell r="AM206">
            <v>270.2</v>
          </cell>
          <cell r="AO206">
            <v>14810</v>
          </cell>
          <cell r="AP206">
            <v>74.900000000000006</v>
          </cell>
          <cell r="AQ206">
            <v>281.5</v>
          </cell>
        </row>
        <row r="207">
          <cell r="S207">
            <v>19500</v>
          </cell>
          <cell r="X207">
            <v>24969</v>
          </cell>
          <cell r="Y207">
            <v>11255</v>
          </cell>
          <cell r="Z207">
            <v>13714</v>
          </cell>
          <cell r="AA207">
            <v>13714</v>
          </cell>
          <cell r="AC207">
            <v>24028</v>
          </cell>
          <cell r="AD207">
            <v>11813</v>
          </cell>
          <cell r="AE207">
            <v>12215</v>
          </cell>
          <cell r="AK207">
            <v>0</v>
          </cell>
          <cell r="AL207">
            <v>23068</v>
          </cell>
          <cell r="AM207">
            <v>45429</v>
          </cell>
          <cell r="AO207">
            <v>14810</v>
          </cell>
          <cell r="AP207">
            <v>3112.427048260382</v>
          </cell>
          <cell r="AQ207">
            <v>11697.572951739618</v>
          </cell>
        </row>
        <row r="208">
          <cell r="S208">
            <v>128</v>
          </cell>
          <cell r="X208">
            <v>152.69999999999999</v>
          </cell>
          <cell r="Y208">
            <v>64.2</v>
          </cell>
          <cell r="Z208">
            <v>88.5</v>
          </cell>
          <cell r="AA208">
            <v>6597</v>
          </cell>
          <cell r="AC208">
            <v>134.30000000000001</v>
          </cell>
          <cell r="AD208">
            <v>54.6</v>
          </cell>
          <cell r="AE208">
            <v>79.7</v>
          </cell>
          <cell r="AJ208">
            <v>0</v>
          </cell>
          <cell r="AK208">
            <v>415</v>
          </cell>
          <cell r="AL208">
            <v>118.80000000000001</v>
          </cell>
          <cell r="AM208">
            <v>296.2</v>
          </cell>
          <cell r="AO208">
            <v>356.4</v>
          </cell>
          <cell r="AP208">
            <v>74.900000000000006</v>
          </cell>
          <cell r="AQ208">
            <v>281.5</v>
          </cell>
          <cell r="AR208">
            <v>0</v>
          </cell>
        </row>
        <row r="209">
          <cell r="S209">
            <v>21522</v>
          </cell>
          <cell r="X209">
            <v>25680</v>
          </cell>
          <cell r="Y209">
            <v>10797</v>
          </cell>
          <cell r="Z209">
            <v>14883</v>
          </cell>
          <cell r="AA209">
            <v>14883</v>
          </cell>
          <cell r="AC209">
            <v>22580</v>
          </cell>
          <cell r="AD209">
            <v>9180</v>
          </cell>
          <cell r="AE209">
            <v>13400</v>
          </cell>
          <cell r="AJ209">
            <v>0</v>
          </cell>
          <cell r="AK209">
            <v>69781</v>
          </cell>
          <cell r="AL209">
            <v>19977</v>
          </cell>
          <cell r="AM209">
            <v>49805</v>
          </cell>
          <cell r="AO209">
            <v>14810</v>
          </cell>
          <cell r="AP209">
            <v>3112.427048260382</v>
          </cell>
          <cell r="AQ209">
            <v>11697.572951739618</v>
          </cell>
          <cell r="AR209">
            <v>0</v>
          </cell>
        </row>
        <row r="210">
          <cell r="S210">
            <v>168.14</v>
          </cell>
          <cell r="X210">
            <v>168.17</v>
          </cell>
          <cell r="Y210">
            <v>168.18</v>
          </cell>
          <cell r="Z210">
            <v>168.17</v>
          </cell>
          <cell r="AC210">
            <v>168.13</v>
          </cell>
          <cell r="AD210">
            <v>168.13</v>
          </cell>
          <cell r="AE210">
            <v>168.13</v>
          </cell>
          <cell r="AJ210">
            <v>0</v>
          </cell>
          <cell r="AK210">
            <v>168.15</v>
          </cell>
          <cell r="AL210">
            <v>168.16</v>
          </cell>
          <cell r="AM210">
            <v>168.15</v>
          </cell>
          <cell r="AO210">
            <v>41.55</v>
          </cell>
          <cell r="AP210">
            <v>41.55</v>
          </cell>
          <cell r="AQ210">
            <v>41.55</v>
          </cell>
          <cell r="AR210">
            <v>0</v>
          </cell>
        </row>
        <row r="211">
          <cell r="X211">
            <v>15982</v>
          </cell>
          <cell r="AC211">
            <v>15481</v>
          </cell>
          <cell r="AK211">
            <v>41877</v>
          </cell>
          <cell r="AL211">
            <v>16729</v>
          </cell>
          <cell r="AM211">
            <v>0</v>
          </cell>
          <cell r="AO211">
            <v>52</v>
          </cell>
          <cell r="AP211">
            <v>52</v>
          </cell>
          <cell r="AQ211">
            <v>11697.572951739618</v>
          </cell>
        </row>
        <row r="212">
          <cell r="X212">
            <v>25680</v>
          </cell>
          <cell r="AC212">
            <v>22580</v>
          </cell>
          <cell r="AK212">
            <v>69781</v>
          </cell>
          <cell r="AL212">
            <v>19977</v>
          </cell>
          <cell r="AM212">
            <v>49804</v>
          </cell>
          <cell r="AO212">
            <v>14862</v>
          </cell>
          <cell r="AP212">
            <v>3164.427048260382</v>
          </cell>
          <cell r="AQ212">
            <v>11697.572951739618</v>
          </cell>
        </row>
        <row r="219">
          <cell r="Y219" t="str">
            <v>ЗАТВЕРДЖУЮ</v>
          </cell>
        </row>
        <row r="220">
          <cell r="G220" t="str">
            <v>Б.В.ЯЩЕНКО</v>
          </cell>
          <cell r="Y220" t="str">
            <v>ГОЛОВА ПРАЛІННЯ АК КЕ</v>
          </cell>
        </row>
        <row r="221">
          <cell r="G221" t="str">
            <v>Б.В.ЯЩЕНКО</v>
          </cell>
          <cell r="Z221" t="str">
            <v>І.В.ПЛАЧКОВ</v>
          </cell>
        </row>
        <row r="222">
          <cell r="G222" t="str">
            <v>М.В.ТЕРПИЛО</v>
          </cell>
        </row>
        <row r="223">
          <cell r="G223" t="str">
            <v xml:space="preserve">В.І.МИРГОРОДСЬКИЙ                                  </v>
          </cell>
        </row>
        <row r="224">
          <cell r="G224" t="str">
            <v xml:space="preserve">М.І.ШЕВЧЕНКО                                 </v>
          </cell>
        </row>
        <row r="225">
          <cell r="G225" t="str">
            <v>В.Ю.МОНТЬЕВ</v>
          </cell>
          <cell r="Q225" t="str">
            <v>КТМ</v>
          </cell>
          <cell r="T225" t="str">
            <v>ТЕЦ-5 ВСЬОГО</v>
          </cell>
          <cell r="U225" t="str">
            <v>Е/Е</v>
          </cell>
          <cell r="V225" t="str">
            <v xml:space="preserve"> Т/Е</v>
          </cell>
          <cell r="Y225" t="str">
            <v>ТЕЦ-6 ВСЬОГО</v>
          </cell>
          <cell r="Z225" t="str">
            <v>Е/Е</v>
          </cell>
          <cell r="AA225" t="str">
            <v xml:space="preserve"> Т/Е</v>
          </cell>
          <cell r="AN225" t="str">
            <v>ДОП.ВИР. СТ.ОРГ.</v>
          </cell>
          <cell r="AP225" t="str">
            <v>АК КЕ ВСЬОГО</v>
          </cell>
          <cell r="AQ225" t="str">
            <v>Е/Е</v>
          </cell>
          <cell r="AR225" t="str">
            <v xml:space="preserve"> Т/Е</v>
          </cell>
        </row>
        <row r="226">
          <cell r="G226" t="str">
            <v xml:space="preserve">О.М.НИКОЛЕНКО      </v>
          </cell>
        </row>
        <row r="228">
          <cell r="Q228">
            <v>24070.113454545455</v>
          </cell>
          <cell r="T228">
            <v>8491.1123636363882</v>
          </cell>
          <cell r="Y228" t="e">
            <v>#REF!</v>
          </cell>
          <cell r="AN228" t="e">
            <v>#REF!</v>
          </cell>
          <cell r="AP228" t="e">
            <v>#REF!</v>
          </cell>
          <cell r="AQ228" t="e">
            <v>#REF!</v>
          </cell>
        </row>
        <row r="229">
          <cell r="Q229">
            <v>7411.0435151515139</v>
          </cell>
          <cell r="T229">
            <v>3172.257090909115</v>
          </cell>
          <cell r="Y229" t="e">
            <v>#REF!</v>
          </cell>
          <cell r="AP229" t="e">
            <v>#REF!</v>
          </cell>
          <cell r="AQ229" t="e">
            <v>#REF!</v>
          </cell>
        </row>
        <row r="230">
          <cell r="AP230">
            <v>1507.2</v>
          </cell>
        </row>
        <row r="231">
          <cell r="Q231">
            <v>5435.727272727273</v>
          </cell>
          <cell r="T231">
            <v>2142.727272727273</v>
          </cell>
          <cell r="Y231">
            <v>1732.7272727272727</v>
          </cell>
          <cell r="AN231" t="e">
            <v>#REF!</v>
          </cell>
          <cell r="AP231" t="e">
            <v>#REF!</v>
          </cell>
          <cell r="AQ231" t="e">
            <v>#REF!</v>
          </cell>
        </row>
        <row r="232">
          <cell r="Q232">
            <v>1482</v>
          </cell>
          <cell r="T232">
            <v>584</v>
          </cell>
          <cell r="Y232">
            <v>472</v>
          </cell>
          <cell r="AP232" t="e">
            <v>#REF!</v>
          </cell>
          <cell r="AQ232" t="e">
            <v>#REF!</v>
          </cell>
        </row>
        <row r="233">
          <cell r="AQ233" t="e">
            <v>#REF!</v>
          </cell>
        </row>
        <row r="234">
          <cell r="Q234">
            <v>60.8</v>
          </cell>
          <cell r="T234">
            <v>2406.6</v>
          </cell>
          <cell r="Y234">
            <v>38.200000000000003</v>
          </cell>
          <cell r="AP234">
            <v>2505.6</v>
          </cell>
          <cell r="AQ234" t="e">
            <v>#REF!</v>
          </cell>
        </row>
        <row r="235">
          <cell r="Q235">
            <v>0</v>
          </cell>
          <cell r="T235">
            <v>0</v>
          </cell>
          <cell r="Y235">
            <v>0</v>
          </cell>
          <cell r="AP235">
            <v>21</v>
          </cell>
          <cell r="AQ235" t="e">
            <v>#REF!</v>
          </cell>
        </row>
        <row r="236">
          <cell r="Q236">
            <v>526.04999999999995</v>
          </cell>
          <cell r="T236">
            <v>0</v>
          </cell>
          <cell r="Y236">
            <v>0</v>
          </cell>
          <cell r="AP236" t="e">
            <v>#REF!</v>
          </cell>
          <cell r="AQ236" t="e">
            <v>#REF!</v>
          </cell>
        </row>
        <row r="237">
          <cell r="AQ237" t="e">
            <v>#REF!</v>
          </cell>
        </row>
        <row r="238">
          <cell r="Q238">
            <v>1739.5839999999998</v>
          </cell>
          <cell r="T238">
            <v>176.47000000000003</v>
          </cell>
          <cell r="Y238">
            <v>225.76000000000002</v>
          </cell>
          <cell r="AP238" t="e">
            <v>#REF!</v>
          </cell>
          <cell r="AQ238" t="e">
            <v>#REF!</v>
          </cell>
        </row>
        <row r="239">
          <cell r="Q239">
            <v>0</v>
          </cell>
          <cell r="T239">
            <v>0</v>
          </cell>
          <cell r="Y239">
            <v>0</v>
          </cell>
          <cell r="AP239">
            <v>0</v>
          </cell>
          <cell r="AQ239" t="e">
            <v>#REF!</v>
          </cell>
        </row>
        <row r="240">
          <cell r="AQ240" t="e">
            <v>#REF!</v>
          </cell>
        </row>
        <row r="241">
          <cell r="Q241">
            <v>776</v>
          </cell>
          <cell r="T241">
            <v>0</v>
          </cell>
          <cell r="Y241" t="e">
            <v>#REF!</v>
          </cell>
          <cell r="AP241" t="e">
            <v>#REF!</v>
          </cell>
          <cell r="AQ241" t="e">
            <v>#REF!</v>
          </cell>
        </row>
        <row r="242">
          <cell r="AQ242" t="e">
            <v>#REF!</v>
          </cell>
        </row>
        <row r="243">
          <cell r="AQ243" t="e">
            <v>#REF!</v>
          </cell>
        </row>
        <row r="244">
          <cell r="Q244">
            <v>1473.1853333333333</v>
          </cell>
          <cell r="T244">
            <v>145.25866666666667</v>
          </cell>
          <cell r="Y244">
            <v>100.22533333333334</v>
          </cell>
          <cell r="AG244" t="str">
            <v xml:space="preserve">         Затверджую</v>
          </cell>
          <cell r="AP244">
            <v>2344.551833476</v>
          </cell>
          <cell r="AQ244" t="e">
            <v>#REF!</v>
          </cell>
        </row>
        <row r="245">
          <cell r="Q245">
            <v>113.33333333333334</v>
          </cell>
          <cell r="T245">
            <v>48.626666666666665</v>
          </cell>
          <cell r="Y245">
            <v>65.784000000000006</v>
          </cell>
          <cell r="AG245" t="str">
            <v xml:space="preserve">         Затверджую</v>
          </cell>
          <cell r="AP245">
            <v>276.34120823549074</v>
          </cell>
          <cell r="AQ245" t="e">
            <v>#REF!</v>
          </cell>
        </row>
        <row r="246">
          <cell r="AG246" t="str">
            <v xml:space="preserve"> Голова правління </v>
          </cell>
          <cell r="AQ246" t="e">
            <v>#REF!</v>
          </cell>
        </row>
        <row r="247">
          <cell r="Q247">
            <v>0</v>
          </cell>
          <cell r="T247">
            <v>95.642666666666656</v>
          </cell>
          <cell r="Y247">
            <v>206.52799999999999</v>
          </cell>
          <cell r="AG247" t="str">
            <v xml:space="preserve">                        І.В.Плачков</v>
          </cell>
          <cell r="AP247">
            <v>302.17066666666665</v>
          </cell>
          <cell r="AQ247" t="e">
            <v>#REF!</v>
          </cell>
        </row>
        <row r="248">
          <cell r="Q248">
            <v>9035.0240000000013</v>
          </cell>
          <cell r="T248">
            <v>0</v>
          </cell>
          <cell r="Y248">
            <v>0</v>
          </cell>
          <cell r="AG248" t="str">
            <v xml:space="preserve">   "_____" ________2000 р.</v>
          </cell>
          <cell r="AP248">
            <v>10205.432000000003</v>
          </cell>
          <cell r="AQ248" t="e">
            <v>#REF!</v>
          </cell>
        </row>
        <row r="249">
          <cell r="Q249">
            <v>0</v>
          </cell>
          <cell r="T249">
            <v>0</v>
          </cell>
          <cell r="Y249">
            <v>0</v>
          </cell>
          <cell r="AP249">
            <v>658.33066666666662</v>
          </cell>
          <cell r="AQ249" t="e">
            <v>#REF!</v>
          </cell>
        </row>
        <row r="250">
          <cell r="Q250">
            <v>0</v>
          </cell>
          <cell r="T250">
            <v>0</v>
          </cell>
          <cell r="Y250">
            <v>0</v>
          </cell>
          <cell r="AP250">
            <v>228.66666666666669</v>
          </cell>
          <cell r="AQ250" t="e">
            <v>#REF!</v>
          </cell>
        </row>
        <row r="251">
          <cell r="F251" t="str">
            <v>РОЗРАХУНОК ФІНАНСОВИХ ПОТОКІВ НА   березень  2000 року</v>
          </cell>
          <cell r="Q251">
            <v>0.76399999999998158</v>
          </cell>
          <cell r="T251">
            <v>-0.42800000000000082</v>
          </cell>
          <cell r="Y251">
            <v>6.799999999999784E-2</v>
          </cell>
          <cell r="AP251" t="e">
            <v>#REF!</v>
          </cell>
          <cell r="AQ251" t="e">
            <v>#REF!</v>
          </cell>
        </row>
        <row r="252">
          <cell r="F252" t="str">
            <v>РОЗРАХУНОК ФІНАНСОВИХ ПОТОКІВ НА   березень  2000 року</v>
          </cell>
          <cell r="Q252">
            <v>-0.32000000000000028</v>
          </cell>
          <cell r="T252">
            <v>-0.3360000000000003</v>
          </cell>
          <cell r="Y252">
            <v>0.28000000000000114</v>
          </cell>
          <cell r="AP252" t="e">
            <v>#REF!</v>
          </cell>
          <cell r="AQ252" t="e">
            <v>#REF!</v>
          </cell>
        </row>
        <row r="253">
          <cell r="F253" t="str">
            <v>ПО ФІЛІАЛАХ АК КИЇВЕНЕРГО</v>
          </cell>
          <cell r="Q253">
            <v>4368.9655151515171</v>
          </cell>
          <cell r="T253">
            <v>2996.5510909091154</v>
          </cell>
          <cell r="Y253" t="e">
            <v>#REF!</v>
          </cell>
          <cell r="AP253" t="e">
            <v>#REF!</v>
          </cell>
          <cell r="AQ253" t="e">
            <v>#REF!</v>
          </cell>
        </row>
        <row r="254">
          <cell r="Q254">
            <v>541</v>
          </cell>
          <cell r="T254">
            <v>480</v>
          </cell>
          <cell r="Y254">
            <v>44</v>
          </cell>
          <cell r="AP254">
            <v>524</v>
          </cell>
          <cell r="AQ254" t="e">
            <v>#REF!</v>
          </cell>
        </row>
        <row r="257">
          <cell r="AK257" t="str">
            <v>тис.грн.</v>
          </cell>
        </row>
        <row r="258">
          <cell r="F258" t="str">
            <v>ВИКОН.ДИР.</v>
          </cell>
          <cell r="G258" t="str">
            <v>АПАРАТ ЕЛЕКТРО</v>
          </cell>
          <cell r="H258" t="str">
            <v>АПАРАТ ТЕПЛО</v>
          </cell>
          <cell r="P258" t="str">
            <v>КМ</v>
          </cell>
          <cell r="Q258" t="str">
            <v>ТМ</v>
          </cell>
          <cell r="S258" t="str">
            <v>КТМ</v>
          </cell>
          <cell r="T258" t="str">
            <v>ВИРОБН</v>
          </cell>
          <cell r="U258" t="str">
            <v>ПЕРЕД</v>
          </cell>
          <cell r="X258" t="str">
            <v>ТЕЦ-5 ВСЬОГО</v>
          </cell>
          <cell r="Y258" t="str">
            <v>Е/Е</v>
          </cell>
          <cell r="Z258" t="str">
            <v xml:space="preserve"> Т/Е</v>
          </cell>
          <cell r="AC258" t="str">
            <v>ТЕЦ-6 ВСЬОГО</v>
          </cell>
          <cell r="AD258" t="str">
            <v>Е/Е</v>
          </cell>
          <cell r="AE258" t="str">
            <v xml:space="preserve"> Т/Е</v>
          </cell>
          <cell r="AF258" t="str">
            <v>ТРМ ВСЬОГО</v>
          </cell>
          <cell r="AG258" t="str">
            <v>ТРМ  АК КЕ</v>
          </cell>
          <cell r="AH258" t="str">
            <v>ТРМ СТОР</v>
          </cell>
          <cell r="AJ258" t="str">
            <v>ДОП.ВИР. СТ.ОРГ.</v>
          </cell>
          <cell r="AK258" t="str">
            <v>тис.грн.</v>
          </cell>
          <cell r="AL258" t="str">
            <v>АК КЕ ВСЬОГО</v>
          </cell>
          <cell r="AM258" t="str">
            <v xml:space="preserve"> Т/Е</v>
          </cell>
          <cell r="AO258" t="str">
            <v>СТАНЦІї ЕЛЕКТРО</v>
          </cell>
          <cell r="AP258" t="str">
            <v>СТАНЦІІ ТЕПЛОВІ</v>
          </cell>
          <cell r="AQ258" t="str">
            <v>МЕРЕЖІ ЕЛЕКТРО</v>
          </cell>
          <cell r="AR258" t="str">
            <v>МЕРЕЖІ ТЕПЛОВІ</v>
          </cell>
        </row>
        <row r="259">
          <cell r="F259" t="str">
            <v>ВИКОН.ДИР.</v>
          </cell>
          <cell r="G259" t="str">
            <v>АПАРАТ ЕЛЕКТРО</v>
          </cell>
          <cell r="H259" t="str">
            <v>АПАРАТ ТЕПЛО</v>
          </cell>
          <cell r="P259" t="str">
            <v>КМ</v>
          </cell>
          <cell r="Q259" t="str">
            <v>ТМ</v>
          </cell>
          <cell r="S259" t="str">
            <v>КТМ</v>
          </cell>
          <cell r="T259" t="str">
            <v>ВИРОБН</v>
          </cell>
          <cell r="U259" t="str">
            <v>ПЕРЕД</v>
          </cell>
          <cell r="X259" t="str">
            <v>ТЕЦ-5 ВСЬОГО</v>
          </cell>
          <cell r="Y259" t="str">
            <v>Е/Е</v>
          </cell>
          <cell r="Z259" t="str">
            <v xml:space="preserve"> Т/Е</v>
          </cell>
          <cell r="AC259" t="str">
            <v>ТЕЦ-6 ВСЬОГО</v>
          </cell>
          <cell r="AD259" t="str">
            <v>Е/Е</v>
          </cell>
          <cell r="AE259" t="str">
            <v xml:space="preserve"> Т/Е</v>
          </cell>
          <cell r="AF259" t="str">
            <v>ТРМ ВСЬОГО</v>
          </cell>
          <cell r="AG259" t="str">
            <v>ТРМ  АК КЕ</v>
          </cell>
          <cell r="AH259" t="str">
            <v>ТРМ СТОР</v>
          </cell>
          <cell r="AJ259" t="str">
            <v>ДОП.ВИР. СТ.ОРГ.</v>
          </cell>
          <cell r="AK259" t="str">
            <v>АК КЕ осн.вир.</v>
          </cell>
          <cell r="AL259" t="str">
            <v>АК КЕ ВСЬОГО</v>
          </cell>
          <cell r="AM259" t="str">
            <v xml:space="preserve"> Т/Е</v>
          </cell>
          <cell r="AO259" t="str">
            <v>СТАНЦІї ЕЛЕКТРО</v>
          </cell>
          <cell r="AP259" t="str">
            <v>СТАНЦІІ ТЕПЛОВІ</v>
          </cell>
          <cell r="AQ259" t="str">
            <v>МЕРЕЖІ ЕЛЕКТРО</v>
          </cell>
          <cell r="AR259" t="str">
            <v>МЕРЕЖІ ТЕПЛОВІ</v>
          </cell>
        </row>
        <row r="260">
          <cell r="F260">
            <v>4604.2999999999993</v>
          </cell>
          <cell r="P260">
            <v>4488.6499999999996</v>
          </cell>
          <cell r="S260">
            <v>7346.4866666666676</v>
          </cell>
          <cell r="X260">
            <v>4384.8755454545462</v>
          </cell>
          <cell r="AC260">
            <v>1635.8175757575736</v>
          </cell>
          <cell r="AF260">
            <v>4864.9509090909087</v>
          </cell>
          <cell r="AG260">
            <v>4394</v>
          </cell>
          <cell r="AH260">
            <v>470.95090909090914</v>
          </cell>
          <cell r="AJ260">
            <v>7599</v>
          </cell>
          <cell r="AK260">
            <v>28777.080696969697</v>
          </cell>
        </row>
        <row r="261">
          <cell r="F261">
            <v>13558.857142857143</v>
          </cell>
          <cell r="G261">
            <v>1680.0409150901905</v>
          </cell>
          <cell r="H261">
            <v>3353.9590849098108</v>
          </cell>
          <cell r="P261">
            <v>5528.9166666666661</v>
          </cell>
          <cell r="Q261">
            <v>0</v>
          </cell>
          <cell r="R261">
            <v>0</v>
          </cell>
          <cell r="S261">
            <v>11148.516969696972</v>
          </cell>
          <cell r="T261">
            <v>4612.7199818181807</v>
          </cell>
          <cell r="U261">
            <v>3068.7969878787876</v>
          </cell>
          <cell r="V261">
            <v>0</v>
          </cell>
          <cell r="W261">
            <v>0</v>
          </cell>
          <cell r="X261">
            <v>3572.9196969697005</v>
          </cell>
          <cell r="Y261">
            <v>1788</v>
          </cell>
          <cell r="Z261">
            <v>1559.9196969696968</v>
          </cell>
          <cell r="AA261">
            <v>0</v>
          </cell>
          <cell r="AB261">
            <v>0</v>
          </cell>
          <cell r="AC261">
            <v>1815.6175757575729</v>
          </cell>
          <cell r="AD261">
            <v>666</v>
          </cell>
          <cell r="AE261">
            <v>979.61757575757656</v>
          </cell>
          <cell r="AF261">
            <v>5288.3842424242421</v>
          </cell>
          <cell r="AG261">
            <v>4487.3999999999996</v>
          </cell>
          <cell r="AH261">
            <v>801.98424242424232</v>
          </cell>
          <cell r="AJ261">
            <v>0</v>
          </cell>
          <cell r="AK261">
            <v>95584.228051948041</v>
          </cell>
          <cell r="AM261">
            <v>78593.25</v>
          </cell>
        </row>
        <row r="262">
          <cell r="F262">
            <v>14653.157142857142</v>
          </cell>
          <cell r="G262">
            <v>1702.4660240963858</v>
          </cell>
          <cell r="H262">
            <v>4418.8339759036144</v>
          </cell>
          <cell r="P262">
            <v>4488.6499999999996</v>
          </cell>
          <cell r="Q262">
            <v>0</v>
          </cell>
          <cell r="R262">
            <v>0</v>
          </cell>
          <cell r="S262">
            <v>7346.4866666666676</v>
          </cell>
          <cell r="T262">
            <v>5021.7877999999982</v>
          </cell>
          <cell r="U262">
            <v>2888.6988666666671</v>
          </cell>
          <cell r="V262">
            <v>0</v>
          </cell>
          <cell r="W262">
            <v>0</v>
          </cell>
          <cell r="X262">
            <v>4384.8755454545462</v>
          </cell>
          <cell r="Y262">
            <v>1410</v>
          </cell>
          <cell r="Z262">
            <v>1945.8755454545426</v>
          </cell>
          <cell r="AA262">
            <v>0</v>
          </cell>
          <cell r="AB262">
            <v>0</v>
          </cell>
          <cell r="AC262">
            <v>1635.8175757575736</v>
          </cell>
          <cell r="AD262">
            <v>711</v>
          </cell>
          <cell r="AE262">
            <v>1041.8175757575755</v>
          </cell>
          <cell r="AF262">
            <v>4864.9509090909087</v>
          </cell>
          <cell r="AG262">
            <v>4394</v>
          </cell>
          <cell r="AH262">
            <v>470.95090909090914</v>
          </cell>
          <cell r="AJ262">
            <v>0</v>
          </cell>
          <cell r="AK262">
            <v>123067.98693073593</v>
          </cell>
          <cell r="AM262">
            <v>140814.25</v>
          </cell>
        </row>
        <row r="263">
          <cell r="F263">
            <v>8653.8571428571431</v>
          </cell>
          <cell r="G263">
            <v>1528.4660240963858</v>
          </cell>
          <cell r="H263">
            <v>3850.5339759036142</v>
          </cell>
          <cell r="P263">
            <v>1810.5333333333328</v>
          </cell>
          <cell r="Q263">
            <v>0</v>
          </cell>
          <cell r="R263">
            <v>0</v>
          </cell>
          <cell r="S263">
            <v>950.26666666666756</v>
          </cell>
          <cell r="T263">
            <v>4053.4899999999989</v>
          </cell>
          <cell r="U263">
            <v>582.7766666666671</v>
          </cell>
          <cell r="V263">
            <v>0</v>
          </cell>
          <cell r="W263">
            <v>0</v>
          </cell>
          <cell r="X263">
            <v>2340.3000000000006</v>
          </cell>
          <cell r="Y263">
            <v>1035</v>
          </cell>
          <cell r="Z263">
            <v>1427.2999999999972</v>
          </cell>
          <cell r="AA263">
            <v>0</v>
          </cell>
          <cell r="AB263">
            <v>0</v>
          </cell>
          <cell r="AC263">
            <v>228.86666666666451</v>
          </cell>
          <cell r="AD263">
            <v>290</v>
          </cell>
          <cell r="AE263">
            <v>425.86666666666639</v>
          </cell>
          <cell r="AF263">
            <v>1275.9999999999995</v>
          </cell>
          <cell r="AG263">
            <v>1800</v>
          </cell>
          <cell r="AH263">
            <v>-524</v>
          </cell>
          <cell r="AJ263">
            <v>-2455</v>
          </cell>
          <cell r="AK263">
            <v>102043.87290043289</v>
          </cell>
          <cell r="AM263">
            <v>14398.82380952381</v>
          </cell>
        </row>
        <row r="264">
          <cell r="F264">
            <v>95976.857142857145</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K264">
            <v>95976.857142857145</v>
          </cell>
        </row>
        <row r="265">
          <cell r="F265">
            <v>69782</v>
          </cell>
          <cell r="AK265">
            <v>69782</v>
          </cell>
        </row>
        <row r="266">
          <cell r="F266">
            <v>15510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K266">
            <v>15510</v>
          </cell>
        </row>
        <row r="267">
          <cell r="F267">
            <v>6983.8571428571431</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K267">
            <v>6983.8571428571431</v>
          </cell>
        </row>
        <row r="268">
          <cell r="F268">
            <v>636</v>
          </cell>
          <cell r="AK268">
            <v>636</v>
          </cell>
        </row>
        <row r="269">
          <cell r="F269">
            <v>0</v>
          </cell>
          <cell r="AK269">
            <v>0</v>
          </cell>
        </row>
        <row r="270">
          <cell r="F270">
            <v>1380.8571428571431</v>
          </cell>
          <cell r="AK270">
            <v>1380.8571428571431</v>
          </cell>
        </row>
        <row r="271">
          <cell r="F271">
            <v>3500</v>
          </cell>
          <cell r="AK271">
            <v>3500</v>
          </cell>
        </row>
        <row r="272">
          <cell r="F272">
            <v>0</v>
          </cell>
          <cell r="P272">
            <v>0</v>
          </cell>
          <cell r="S272">
            <v>0</v>
          </cell>
          <cell r="X272">
            <v>0</v>
          </cell>
          <cell r="AC272">
            <v>0</v>
          </cell>
          <cell r="AF272">
            <v>0</v>
          </cell>
          <cell r="AG272">
            <v>0</v>
          </cell>
          <cell r="AH272">
            <v>0</v>
          </cell>
          <cell r="AK272">
            <v>0</v>
          </cell>
        </row>
        <row r="273">
          <cell r="F273">
            <v>1467</v>
          </cell>
          <cell r="P273">
            <v>0</v>
          </cell>
          <cell r="S273">
            <v>0</v>
          </cell>
          <cell r="X273">
            <v>0</v>
          </cell>
          <cell r="AC273">
            <v>0</v>
          </cell>
          <cell r="AF273">
            <v>0</v>
          </cell>
          <cell r="AG273">
            <v>0</v>
          </cell>
          <cell r="AH273">
            <v>0</v>
          </cell>
          <cell r="AK273">
            <v>1467</v>
          </cell>
        </row>
        <row r="274">
          <cell r="F274">
            <v>3580</v>
          </cell>
          <cell r="P274">
            <v>0</v>
          </cell>
          <cell r="S274">
            <v>0</v>
          </cell>
          <cell r="X274">
            <v>0</v>
          </cell>
          <cell r="AC274">
            <v>0</v>
          </cell>
          <cell r="AF274">
            <v>0</v>
          </cell>
          <cell r="AG274">
            <v>0</v>
          </cell>
          <cell r="AH274">
            <v>0</v>
          </cell>
          <cell r="AK274">
            <v>3580</v>
          </cell>
        </row>
        <row r="275">
          <cell r="F275">
            <v>121</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K275">
            <v>121</v>
          </cell>
        </row>
        <row r="276">
          <cell r="F276">
            <v>100581.15714285715</v>
          </cell>
          <cell r="P276">
            <v>4488.6499999999996</v>
          </cell>
          <cell r="Q276">
            <v>0</v>
          </cell>
          <cell r="R276">
            <v>0</v>
          </cell>
          <cell r="S276">
            <v>7346.4866666666676</v>
          </cell>
          <cell r="T276">
            <v>0</v>
          </cell>
          <cell r="U276">
            <v>0</v>
          </cell>
          <cell r="V276">
            <v>0</v>
          </cell>
          <cell r="W276">
            <v>0</v>
          </cell>
          <cell r="X276">
            <v>4384.8755454545462</v>
          </cell>
          <cell r="Y276">
            <v>0</v>
          </cell>
          <cell r="Z276">
            <v>0</v>
          </cell>
          <cell r="AA276">
            <v>0</v>
          </cell>
          <cell r="AB276">
            <v>0</v>
          </cell>
          <cell r="AC276">
            <v>1635.8175757575736</v>
          </cell>
          <cell r="AD276">
            <v>0</v>
          </cell>
          <cell r="AE276">
            <v>0</v>
          </cell>
          <cell r="AF276">
            <v>4864.9509090909087</v>
          </cell>
          <cell r="AG276">
            <v>4394</v>
          </cell>
          <cell r="AH276">
            <v>470.95090909090914</v>
          </cell>
          <cell r="AK276">
            <v>124753.93783982685</v>
          </cell>
        </row>
        <row r="277">
          <cell r="F277">
            <v>1783.3</v>
          </cell>
          <cell r="G277">
            <v>162</v>
          </cell>
          <cell r="H277">
            <v>425</v>
          </cell>
          <cell r="P277">
            <v>2149.1166666666663</v>
          </cell>
          <cell r="Q277">
            <v>0</v>
          </cell>
          <cell r="R277">
            <v>0</v>
          </cell>
          <cell r="S277">
            <v>6147.3866666666672</v>
          </cell>
          <cell r="T277">
            <v>673.48446666666666</v>
          </cell>
          <cell r="U277">
            <v>686.40219999999999</v>
          </cell>
          <cell r="V277">
            <v>0</v>
          </cell>
          <cell r="W277">
            <v>0</v>
          </cell>
          <cell r="X277">
            <v>1931.1210000000001</v>
          </cell>
          <cell r="Y277">
            <v>435</v>
          </cell>
          <cell r="Z277">
            <v>601.57554545454536</v>
          </cell>
          <cell r="AA277">
            <v>0</v>
          </cell>
          <cell r="AB277">
            <v>9</v>
          </cell>
          <cell r="AC277">
            <v>1028.1933333333334</v>
          </cell>
          <cell r="AD277">
            <v>212</v>
          </cell>
          <cell r="AE277">
            <v>311.28424242424239</v>
          </cell>
          <cell r="AF277">
            <v>2703.86</v>
          </cell>
          <cell r="AG277">
            <v>2381.909090909091</v>
          </cell>
          <cell r="AH277">
            <v>321.95090909090914</v>
          </cell>
          <cell r="AK277">
            <v>16779.977666666666</v>
          </cell>
        </row>
        <row r="278">
          <cell r="F278">
            <v>742.3</v>
          </cell>
          <cell r="G278">
            <v>174</v>
          </cell>
          <cell r="H278">
            <v>568.29999999999995</v>
          </cell>
          <cell r="P278">
            <v>1322.45</v>
          </cell>
          <cell r="Q278">
            <v>0</v>
          </cell>
          <cell r="R278">
            <v>0</v>
          </cell>
          <cell r="S278">
            <v>2034.72</v>
          </cell>
          <cell r="T278">
            <v>659.81780000000003</v>
          </cell>
          <cell r="U278">
            <v>686.40219999999999</v>
          </cell>
          <cell r="V278">
            <v>0</v>
          </cell>
          <cell r="W278">
            <v>0</v>
          </cell>
          <cell r="X278">
            <v>830.12099999999998</v>
          </cell>
          <cell r="Y278">
            <v>173</v>
          </cell>
          <cell r="Z278">
            <v>240.57554545454542</v>
          </cell>
          <cell r="AA278">
            <v>0</v>
          </cell>
          <cell r="AB278">
            <v>0</v>
          </cell>
          <cell r="AC278">
            <v>689.86</v>
          </cell>
          <cell r="AD278">
            <v>207</v>
          </cell>
          <cell r="AE278">
            <v>302.95090909090908</v>
          </cell>
          <cell r="AF278">
            <v>1784.8600000000001</v>
          </cell>
          <cell r="AG278">
            <v>1697.909090909091</v>
          </cell>
          <cell r="AH278">
            <v>86.950909090909136</v>
          </cell>
          <cell r="AK278">
            <v>7909.3109999999997</v>
          </cell>
        </row>
        <row r="279">
          <cell r="F279">
            <v>0</v>
          </cell>
          <cell r="P279">
            <v>0</v>
          </cell>
          <cell r="Q279">
            <v>0</v>
          </cell>
          <cell r="R279">
            <v>0</v>
          </cell>
          <cell r="S279">
            <v>13.666666666666666</v>
          </cell>
          <cell r="T279">
            <v>13.666666666666666</v>
          </cell>
          <cell r="U279">
            <v>0</v>
          </cell>
          <cell r="V279">
            <v>0</v>
          </cell>
          <cell r="W279">
            <v>0</v>
          </cell>
          <cell r="X279">
            <v>623</v>
          </cell>
          <cell r="Y279">
            <v>262</v>
          </cell>
          <cell r="Z279">
            <v>361</v>
          </cell>
          <cell r="AA279">
            <v>0</v>
          </cell>
          <cell r="AB279">
            <v>0</v>
          </cell>
          <cell r="AC279">
            <v>-0.66666666666666607</v>
          </cell>
          <cell r="AD279">
            <v>5</v>
          </cell>
          <cell r="AE279">
            <v>8.3333333333333339</v>
          </cell>
          <cell r="AF279">
            <v>0</v>
          </cell>
          <cell r="AG279">
            <v>0</v>
          </cell>
          <cell r="AH279">
            <v>0</v>
          </cell>
          <cell r="AK279">
            <v>636</v>
          </cell>
        </row>
        <row r="280">
          <cell r="F280">
            <v>1041</v>
          </cell>
          <cell r="P280">
            <v>764</v>
          </cell>
          <cell r="Q280">
            <v>0</v>
          </cell>
          <cell r="R280">
            <v>0</v>
          </cell>
          <cell r="S280">
            <v>1325</v>
          </cell>
          <cell r="T280">
            <v>0</v>
          </cell>
          <cell r="U280">
            <v>0</v>
          </cell>
          <cell r="V280">
            <v>0</v>
          </cell>
          <cell r="W280">
            <v>0</v>
          </cell>
          <cell r="X280">
            <v>336</v>
          </cell>
          <cell r="Y280">
            <v>0</v>
          </cell>
          <cell r="Z280">
            <v>0</v>
          </cell>
          <cell r="AA280">
            <v>0</v>
          </cell>
          <cell r="AB280">
            <v>9</v>
          </cell>
          <cell r="AC280">
            <v>339</v>
          </cell>
          <cell r="AD280">
            <v>0</v>
          </cell>
          <cell r="AE280">
            <v>0</v>
          </cell>
          <cell r="AF280">
            <v>613</v>
          </cell>
          <cell r="AG280">
            <v>578</v>
          </cell>
          <cell r="AH280">
            <v>35</v>
          </cell>
          <cell r="AK280">
            <v>4592</v>
          </cell>
        </row>
        <row r="281">
          <cell r="F281">
            <v>216</v>
          </cell>
          <cell r="P281">
            <v>210</v>
          </cell>
          <cell r="S281">
            <v>730</v>
          </cell>
          <cell r="X281">
            <v>55</v>
          </cell>
          <cell r="AC281">
            <v>90</v>
          </cell>
          <cell r="AF281">
            <v>495</v>
          </cell>
          <cell r="AG281">
            <v>460</v>
          </cell>
          <cell r="AH281">
            <v>35</v>
          </cell>
          <cell r="AK281">
            <v>1847</v>
          </cell>
        </row>
        <row r="282">
          <cell r="F282">
            <v>765</v>
          </cell>
          <cell r="P282">
            <v>64</v>
          </cell>
          <cell r="S282">
            <v>21</v>
          </cell>
          <cell r="X282">
            <v>50</v>
          </cell>
          <cell r="AC282">
            <v>66</v>
          </cell>
          <cell r="AF282">
            <v>38</v>
          </cell>
          <cell r="AG282">
            <v>38</v>
          </cell>
          <cell r="AH282">
            <v>0</v>
          </cell>
          <cell r="AK282">
            <v>1127</v>
          </cell>
        </row>
        <row r="283">
          <cell r="F283">
            <v>60</v>
          </cell>
          <cell r="P283">
            <v>370</v>
          </cell>
          <cell r="Q283">
            <v>0</v>
          </cell>
          <cell r="R283">
            <v>0</v>
          </cell>
          <cell r="S283">
            <v>480</v>
          </cell>
          <cell r="T283">
            <v>0</v>
          </cell>
          <cell r="U283">
            <v>0</v>
          </cell>
          <cell r="V283">
            <v>0</v>
          </cell>
          <cell r="W283">
            <v>0</v>
          </cell>
          <cell r="X283">
            <v>100</v>
          </cell>
          <cell r="Y283">
            <v>0</v>
          </cell>
          <cell r="Z283">
            <v>0</v>
          </cell>
          <cell r="AA283">
            <v>0</v>
          </cell>
          <cell r="AB283">
            <v>9</v>
          </cell>
          <cell r="AC283">
            <v>100</v>
          </cell>
          <cell r="AD283">
            <v>0</v>
          </cell>
          <cell r="AE283">
            <v>0</v>
          </cell>
          <cell r="AF283">
            <v>0</v>
          </cell>
          <cell r="AG283">
            <v>0</v>
          </cell>
          <cell r="AH283">
            <v>0</v>
          </cell>
          <cell r="AJ283">
            <v>0</v>
          </cell>
          <cell r="AK283">
            <v>1110</v>
          </cell>
        </row>
        <row r="284">
          <cell r="F284">
            <v>0</v>
          </cell>
          <cell r="P284">
            <v>120</v>
          </cell>
          <cell r="Q284">
            <v>0</v>
          </cell>
          <cell r="R284">
            <v>0</v>
          </cell>
          <cell r="S284">
            <v>94</v>
          </cell>
          <cell r="T284">
            <v>0</v>
          </cell>
          <cell r="U284">
            <v>0</v>
          </cell>
          <cell r="V284">
            <v>0</v>
          </cell>
          <cell r="W284">
            <v>0</v>
          </cell>
          <cell r="X284">
            <v>131</v>
          </cell>
          <cell r="Y284">
            <v>0</v>
          </cell>
          <cell r="Z284">
            <v>0</v>
          </cell>
          <cell r="AA284">
            <v>0</v>
          </cell>
          <cell r="AB284">
            <v>9</v>
          </cell>
          <cell r="AC284">
            <v>83</v>
          </cell>
          <cell r="AD284">
            <v>0</v>
          </cell>
          <cell r="AE284">
            <v>0</v>
          </cell>
          <cell r="AF284">
            <v>80</v>
          </cell>
          <cell r="AG284">
            <v>80</v>
          </cell>
          <cell r="AH284">
            <v>0</v>
          </cell>
          <cell r="AJ284">
            <v>0</v>
          </cell>
          <cell r="AK284">
            <v>508</v>
          </cell>
        </row>
        <row r="285">
          <cell r="F285">
            <v>0</v>
          </cell>
          <cell r="P285">
            <v>62.666666666666664</v>
          </cell>
          <cell r="Q285">
            <v>0</v>
          </cell>
          <cell r="R285">
            <v>0</v>
          </cell>
          <cell r="S285">
            <v>2524</v>
          </cell>
          <cell r="T285">
            <v>0</v>
          </cell>
          <cell r="U285">
            <v>0</v>
          </cell>
          <cell r="V285">
            <v>0</v>
          </cell>
          <cell r="W285">
            <v>0</v>
          </cell>
          <cell r="X285">
            <v>142</v>
          </cell>
          <cell r="Y285">
            <v>0</v>
          </cell>
          <cell r="Z285">
            <v>0</v>
          </cell>
          <cell r="AA285">
            <v>0</v>
          </cell>
          <cell r="AB285">
            <v>0</v>
          </cell>
          <cell r="AC285">
            <v>0</v>
          </cell>
          <cell r="AD285">
            <v>0</v>
          </cell>
          <cell r="AE285">
            <v>0</v>
          </cell>
          <cell r="AF285">
            <v>306</v>
          </cell>
          <cell r="AG285">
            <v>106</v>
          </cell>
          <cell r="AH285">
            <v>200</v>
          </cell>
          <cell r="AK285">
            <v>3392.6666666666665</v>
          </cell>
        </row>
        <row r="286">
          <cell r="F286">
            <v>0</v>
          </cell>
          <cell r="P286">
            <v>0</v>
          </cell>
          <cell r="S286">
            <v>0</v>
          </cell>
          <cell r="X286">
            <v>142</v>
          </cell>
          <cell r="AC286">
            <v>0</v>
          </cell>
          <cell r="AF286">
            <v>0</v>
          </cell>
          <cell r="AG286">
            <v>0</v>
          </cell>
          <cell r="AH286">
            <v>0</v>
          </cell>
          <cell r="AK286">
            <v>142</v>
          </cell>
        </row>
        <row r="287">
          <cell r="F287">
            <v>0</v>
          </cell>
          <cell r="P287">
            <v>62.666666666666664</v>
          </cell>
          <cell r="S287">
            <v>2524</v>
          </cell>
          <cell r="X287">
            <v>0</v>
          </cell>
          <cell r="AC287">
            <v>0</v>
          </cell>
          <cell r="AF287">
            <v>306</v>
          </cell>
          <cell r="AG287">
            <v>106</v>
          </cell>
          <cell r="AH287">
            <v>200</v>
          </cell>
          <cell r="AK287">
            <v>2892.6666666666665</v>
          </cell>
        </row>
        <row r="288">
          <cell r="S288">
            <v>250</v>
          </cell>
          <cell r="AH288">
            <v>0</v>
          </cell>
          <cell r="AK288">
            <v>358</v>
          </cell>
        </row>
        <row r="289">
          <cell r="F289">
            <v>69710.157142857148</v>
          </cell>
          <cell r="P289">
            <v>3673.9999999999991</v>
          </cell>
          <cell r="Q289">
            <v>0</v>
          </cell>
          <cell r="R289">
            <v>0</v>
          </cell>
          <cell r="S289">
            <v>250</v>
          </cell>
          <cell r="T289">
            <v>-710.90664848484835</v>
          </cell>
          <cell r="U289">
            <v>-725.94365454545448</v>
          </cell>
          <cell r="V289">
            <v>0</v>
          </cell>
          <cell r="W289">
            <v>0</v>
          </cell>
          <cell r="X289">
            <v>1818.9696969697004</v>
          </cell>
          <cell r="Y289">
            <v>-549</v>
          </cell>
          <cell r="Z289">
            <v>-479.58636363636367</v>
          </cell>
          <cell r="AA289">
            <v>0</v>
          </cell>
          <cell r="AB289">
            <v>-9</v>
          </cell>
          <cell r="AC289">
            <v>962.42424242423954</v>
          </cell>
          <cell r="AD289">
            <v>-149</v>
          </cell>
          <cell r="AE289">
            <v>-219.28424242424248</v>
          </cell>
          <cell r="AF289">
            <v>2025.4575757575753</v>
          </cell>
          <cell r="AG289">
            <v>1898.4909090909086</v>
          </cell>
          <cell r="AH289">
            <v>0</v>
          </cell>
          <cell r="AK289">
            <v>250</v>
          </cell>
        </row>
        <row r="290">
          <cell r="F290">
            <v>98797.857142857145</v>
          </cell>
          <cell r="P290">
            <v>2339.5333333333333</v>
          </cell>
          <cell r="Q290">
            <v>0</v>
          </cell>
          <cell r="R290">
            <v>0</v>
          </cell>
          <cell r="S290">
            <v>1199.1000000000004</v>
          </cell>
          <cell r="T290">
            <v>-673.48446666666666</v>
          </cell>
          <cell r="U290">
            <v>-686.40219999999999</v>
          </cell>
          <cell r="V290">
            <v>0</v>
          </cell>
          <cell r="W290">
            <v>0</v>
          </cell>
          <cell r="X290">
            <v>2453.7545454545461</v>
          </cell>
          <cell r="Y290">
            <v>-435</v>
          </cell>
          <cell r="Z290">
            <v>-601.57554545454536</v>
          </cell>
          <cell r="AA290">
            <v>0</v>
          </cell>
          <cell r="AB290">
            <v>-9</v>
          </cell>
          <cell r="AC290">
            <v>607.62424242424026</v>
          </cell>
          <cell r="AD290">
            <v>-212</v>
          </cell>
          <cell r="AE290">
            <v>-311.28424242424239</v>
          </cell>
          <cell r="AF290">
            <v>2161.0909090909086</v>
          </cell>
          <cell r="AG290">
            <v>2012.090909090909</v>
          </cell>
          <cell r="AH290">
            <v>149</v>
          </cell>
          <cell r="AK290">
            <v>107973.96017316019</v>
          </cell>
        </row>
        <row r="291">
          <cell r="F291">
            <v>4628</v>
          </cell>
          <cell r="P291">
            <v>3764</v>
          </cell>
          <cell r="Q291">
            <v>0</v>
          </cell>
          <cell r="R291">
            <v>0</v>
          </cell>
          <cell r="S291">
            <v>5277.030303030303</v>
          </cell>
          <cell r="T291">
            <v>0</v>
          </cell>
          <cell r="U291">
            <v>0</v>
          </cell>
          <cell r="V291">
            <v>0</v>
          </cell>
          <cell r="W291">
            <v>0</v>
          </cell>
          <cell r="X291">
            <v>1818.9696969696968</v>
          </cell>
          <cell r="Y291">
            <v>0</v>
          </cell>
          <cell r="Z291">
            <v>0</v>
          </cell>
          <cell r="AA291">
            <v>0</v>
          </cell>
          <cell r="AB291">
            <v>0</v>
          </cell>
          <cell r="AC291">
            <v>961.75757575757575</v>
          </cell>
          <cell r="AD291">
            <v>0</v>
          </cell>
          <cell r="AE291">
            <v>0</v>
          </cell>
          <cell r="AF291">
            <v>2026.4575757575758</v>
          </cell>
          <cell r="AG291">
            <v>1065.4909090909091</v>
          </cell>
          <cell r="AH291">
            <v>560.9666666666667</v>
          </cell>
          <cell r="AK291">
            <v>0</v>
          </cell>
        </row>
        <row r="292">
          <cell r="F292">
            <v>3558</v>
          </cell>
          <cell r="P292">
            <v>2699.5333333333333</v>
          </cell>
          <cell r="Q292">
            <v>0</v>
          </cell>
          <cell r="R292">
            <v>0</v>
          </cell>
          <cell r="S292">
            <v>1199.1000000000001</v>
          </cell>
          <cell r="T292">
            <v>0</v>
          </cell>
          <cell r="U292">
            <v>0</v>
          </cell>
          <cell r="V292">
            <v>0</v>
          </cell>
          <cell r="W292">
            <v>0</v>
          </cell>
          <cell r="X292">
            <v>2453.7545454545452</v>
          </cell>
          <cell r="Y292">
            <v>0</v>
          </cell>
          <cell r="Z292">
            <v>0</v>
          </cell>
          <cell r="AA292">
            <v>0</v>
          </cell>
          <cell r="AB292">
            <v>0</v>
          </cell>
          <cell r="AC292">
            <v>606.9575757575758</v>
          </cell>
          <cell r="AD292">
            <v>0</v>
          </cell>
          <cell r="AE292">
            <v>0</v>
          </cell>
          <cell r="AF292">
            <v>2161.090909090909</v>
          </cell>
          <cell r="AG292">
            <v>1534.090909090909</v>
          </cell>
          <cell r="AH292">
            <v>822</v>
          </cell>
          <cell r="AK292">
            <v>13093.436363636363</v>
          </cell>
        </row>
        <row r="293">
          <cell r="F293">
            <v>825</v>
          </cell>
          <cell r="P293">
            <v>1646</v>
          </cell>
          <cell r="Q293">
            <v>0</v>
          </cell>
          <cell r="R293">
            <v>0</v>
          </cell>
          <cell r="S293">
            <v>-1204</v>
          </cell>
          <cell r="T293">
            <v>0</v>
          </cell>
          <cell r="U293">
            <v>0</v>
          </cell>
          <cell r="V293">
            <v>0</v>
          </cell>
          <cell r="W293">
            <v>0</v>
          </cell>
          <cell r="X293">
            <v>929</v>
          </cell>
          <cell r="Y293">
            <v>0</v>
          </cell>
          <cell r="Z293">
            <v>0</v>
          </cell>
          <cell r="AA293">
            <v>0</v>
          </cell>
          <cell r="AB293">
            <v>0</v>
          </cell>
          <cell r="AC293">
            <v>-217</v>
          </cell>
          <cell r="AD293">
            <v>0</v>
          </cell>
          <cell r="AE293">
            <v>0</v>
          </cell>
          <cell r="AF293">
            <v>266</v>
          </cell>
          <cell r="AG293">
            <v>461</v>
          </cell>
          <cell r="AH293">
            <v>0</v>
          </cell>
          <cell r="AK293">
            <v>2395</v>
          </cell>
        </row>
        <row r="294">
          <cell r="F294">
            <v>0</v>
          </cell>
          <cell r="P294">
            <v>649</v>
          </cell>
          <cell r="Q294">
            <v>0</v>
          </cell>
          <cell r="R294">
            <v>0</v>
          </cell>
          <cell r="S294">
            <v>606.5</v>
          </cell>
          <cell r="T294">
            <v>0</v>
          </cell>
          <cell r="U294">
            <v>0</v>
          </cell>
          <cell r="V294">
            <v>0</v>
          </cell>
          <cell r="W294">
            <v>0</v>
          </cell>
          <cell r="X294">
            <v>867.4545454545455</v>
          </cell>
          <cell r="Y294">
            <v>0</v>
          </cell>
          <cell r="Z294">
            <v>0</v>
          </cell>
          <cell r="AA294">
            <v>0</v>
          </cell>
          <cell r="AB294">
            <v>0</v>
          </cell>
          <cell r="AC294">
            <v>461.09090909090912</v>
          </cell>
          <cell r="AD294">
            <v>0</v>
          </cell>
          <cell r="AE294">
            <v>0</v>
          </cell>
          <cell r="AF294">
            <v>965.09090909090901</v>
          </cell>
          <cell r="AG294">
            <v>292.09090909090912</v>
          </cell>
          <cell r="AH294">
            <v>673</v>
          </cell>
          <cell r="AK294">
            <v>3549.1363636363635</v>
          </cell>
        </row>
        <row r="295">
          <cell r="F295">
            <v>0</v>
          </cell>
          <cell r="P295">
            <v>0</v>
          </cell>
          <cell r="S295">
            <v>0</v>
          </cell>
          <cell r="V295">
            <v>-25</v>
          </cell>
          <cell r="X295">
            <v>0</v>
          </cell>
          <cell r="AC295">
            <v>0</v>
          </cell>
          <cell r="AF295">
            <v>0</v>
          </cell>
          <cell r="AG295">
            <v>0</v>
          </cell>
          <cell r="AH295">
            <v>0</v>
          </cell>
          <cell r="AK295">
            <v>0</v>
          </cell>
        </row>
        <row r="296">
          <cell r="F296">
            <v>0</v>
          </cell>
          <cell r="P296">
            <v>0</v>
          </cell>
          <cell r="Q296">
            <v>0</v>
          </cell>
          <cell r="R296">
            <v>0</v>
          </cell>
          <cell r="S296">
            <v>0</v>
          </cell>
          <cell r="T296">
            <v>0</v>
          </cell>
          <cell r="U296">
            <v>0</v>
          </cell>
          <cell r="V296">
            <v>-1.375</v>
          </cell>
          <cell r="W296">
            <v>0</v>
          </cell>
          <cell r="X296">
            <v>0</v>
          </cell>
          <cell r="Y296">
            <v>0</v>
          </cell>
          <cell r="Z296">
            <v>0</v>
          </cell>
          <cell r="AA296">
            <v>0</v>
          </cell>
          <cell r="AB296">
            <v>0</v>
          </cell>
          <cell r="AC296">
            <v>0</v>
          </cell>
          <cell r="AD296">
            <v>0</v>
          </cell>
          <cell r="AE296">
            <v>0</v>
          </cell>
          <cell r="AF296">
            <v>0</v>
          </cell>
          <cell r="AG296">
            <v>0</v>
          </cell>
          <cell r="AH296">
            <v>0</v>
          </cell>
          <cell r="AK296">
            <v>0</v>
          </cell>
        </row>
        <row r="297">
          <cell r="F297">
            <v>2733</v>
          </cell>
          <cell r="P297">
            <v>511.5333333333333</v>
          </cell>
          <cell r="Q297">
            <v>0</v>
          </cell>
          <cell r="R297">
            <v>0</v>
          </cell>
          <cell r="S297">
            <v>1886.6000000000001</v>
          </cell>
          <cell r="T297">
            <v>0</v>
          </cell>
          <cell r="U297">
            <v>0</v>
          </cell>
          <cell r="V297">
            <v>0</v>
          </cell>
          <cell r="W297">
            <v>0</v>
          </cell>
          <cell r="X297">
            <v>657.3</v>
          </cell>
          <cell r="Y297">
            <v>0</v>
          </cell>
          <cell r="Z297">
            <v>0</v>
          </cell>
          <cell r="AA297">
            <v>0</v>
          </cell>
          <cell r="AB297">
            <v>0</v>
          </cell>
          <cell r="AC297">
            <v>362.86666666666667</v>
          </cell>
          <cell r="AD297">
            <v>0</v>
          </cell>
          <cell r="AE297">
            <v>0</v>
          </cell>
          <cell r="AF297">
            <v>929</v>
          </cell>
          <cell r="AG297">
            <v>780</v>
          </cell>
          <cell r="AH297">
            <v>149</v>
          </cell>
          <cell r="AK297">
            <v>7345.3</v>
          </cell>
        </row>
        <row r="298">
          <cell r="F298">
            <v>2</v>
          </cell>
          <cell r="P298">
            <v>30</v>
          </cell>
          <cell r="S298">
            <v>581</v>
          </cell>
          <cell r="V298">
            <v>-2.1590909090909096</v>
          </cell>
          <cell r="X298">
            <v>296</v>
          </cell>
          <cell r="AC298">
            <v>44</v>
          </cell>
          <cell r="AF298">
            <v>3</v>
          </cell>
          <cell r="AG298">
            <v>2</v>
          </cell>
          <cell r="AH298">
            <v>1</v>
          </cell>
          <cell r="AK298">
            <v>973</v>
          </cell>
        </row>
        <row r="299">
          <cell r="F299">
            <v>1</v>
          </cell>
          <cell r="P299">
            <v>56.333333333333336</v>
          </cell>
          <cell r="S299">
            <v>915.33333333333337</v>
          </cell>
          <cell r="X299">
            <v>160</v>
          </cell>
          <cell r="AC299">
            <v>187.33333333333331</v>
          </cell>
          <cell r="AF299">
            <v>449</v>
          </cell>
          <cell r="AG299">
            <v>400</v>
          </cell>
          <cell r="AH299">
            <v>49</v>
          </cell>
          <cell r="AK299">
            <v>1769</v>
          </cell>
        </row>
        <row r="300">
          <cell r="F300">
            <v>2730</v>
          </cell>
          <cell r="P300">
            <v>425.2</v>
          </cell>
          <cell r="S300">
            <v>390.26666666666665</v>
          </cell>
          <cell r="X300">
            <v>201.3</v>
          </cell>
          <cell r="AC300">
            <v>131.53333333333333</v>
          </cell>
          <cell r="AF300">
            <v>477</v>
          </cell>
          <cell r="AG300">
            <v>378</v>
          </cell>
          <cell r="AH300">
            <v>99</v>
          </cell>
          <cell r="AK300">
            <v>4603.3</v>
          </cell>
        </row>
        <row r="301">
          <cell r="F301">
            <v>0</v>
          </cell>
          <cell r="P301">
            <v>0</v>
          </cell>
          <cell r="S301">
            <v>0</v>
          </cell>
          <cell r="X301">
            <v>0</v>
          </cell>
          <cell r="AC301">
            <v>0</v>
          </cell>
          <cell r="AF301">
            <v>0</v>
          </cell>
          <cell r="AG301">
            <v>0</v>
          </cell>
          <cell r="AH301">
            <v>0</v>
          </cell>
          <cell r="AK301">
            <v>0</v>
          </cell>
        </row>
        <row r="302">
          <cell r="F302">
            <v>0</v>
          </cell>
          <cell r="P302">
            <v>-107</v>
          </cell>
          <cell r="Q302">
            <v>0</v>
          </cell>
          <cell r="R302">
            <v>0</v>
          </cell>
          <cell r="S302">
            <v>-90</v>
          </cell>
          <cell r="T302">
            <v>-710.90664848484835</v>
          </cell>
          <cell r="U302">
            <v>-725.94365454545448</v>
          </cell>
          <cell r="V302">
            <v>0</v>
          </cell>
          <cell r="W302">
            <v>0</v>
          </cell>
          <cell r="X302">
            <v>0</v>
          </cell>
          <cell r="Y302">
            <v>-549</v>
          </cell>
          <cell r="Z302">
            <v>-479.58636363636367</v>
          </cell>
          <cell r="AA302">
            <v>0</v>
          </cell>
          <cell r="AB302">
            <v>-9</v>
          </cell>
          <cell r="AC302">
            <v>0</v>
          </cell>
          <cell r="AD302">
            <v>-149</v>
          </cell>
          <cell r="AE302">
            <v>-219.28424242424248</v>
          </cell>
          <cell r="AF302">
            <v>1</v>
          </cell>
          <cell r="AG302">
            <v>1</v>
          </cell>
          <cell r="AH302">
            <v>0</v>
          </cell>
          <cell r="AK302">
            <v>-196</v>
          </cell>
        </row>
        <row r="303">
          <cell r="F303">
            <v>98797.857142857145</v>
          </cell>
          <cell r="P303">
            <v>2339.5333333333333</v>
          </cell>
          <cell r="Q303">
            <v>0</v>
          </cell>
          <cell r="R303">
            <v>0</v>
          </cell>
          <cell r="S303">
            <v>1199.1000000000004</v>
          </cell>
          <cell r="T303">
            <v>-673.48446666666666</v>
          </cell>
          <cell r="U303">
            <v>-686.40219999999999</v>
          </cell>
          <cell r="V303">
            <v>0</v>
          </cell>
          <cell r="W303">
            <v>0</v>
          </cell>
          <cell r="X303">
            <v>2453.7545454545461</v>
          </cell>
          <cell r="Y303">
            <v>-435</v>
          </cell>
          <cell r="Z303">
            <v>-601.57554545454536</v>
          </cell>
          <cell r="AA303">
            <v>0</v>
          </cell>
          <cell r="AB303">
            <v>-9</v>
          </cell>
          <cell r="AC303">
            <v>607.62424242424026</v>
          </cell>
          <cell r="AD303">
            <v>-212</v>
          </cell>
          <cell r="AE303">
            <v>-311.28424242424239</v>
          </cell>
          <cell r="AF303">
            <v>2161.0909090909086</v>
          </cell>
          <cell r="AG303">
            <v>2012.090909090909</v>
          </cell>
          <cell r="AH303">
            <v>149</v>
          </cell>
          <cell r="AK303">
            <v>107973.96017316019</v>
          </cell>
        </row>
        <row r="304">
          <cell r="T304" t="str">
            <v>ФМЗ ( з відрахуван)</v>
          </cell>
          <cell r="V304">
            <v>25</v>
          </cell>
          <cell r="AH304">
            <v>191</v>
          </cell>
          <cell r="AK304">
            <v>0</v>
          </cell>
        </row>
        <row r="305">
          <cell r="F305">
            <v>69710.157142857148</v>
          </cell>
          <cell r="G305">
            <v>0</v>
          </cell>
          <cell r="H305">
            <v>0</v>
          </cell>
          <cell r="P305">
            <v>3673.9999999999991</v>
          </cell>
          <cell r="Q305">
            <v>0</v>
          </cell>
          <cell r="R305">
            <v>0</v>
          </cell>
          <cell r="S305">
            <v>5277.0303030303048</v>
          </cell>
          <cell r="T305">
            <v>-710.90664848484835</v>
          </cell>
          <cell r="U305">
            <v>-725.94365454545448</v>
          </cell>
          <cell r="V305">
            <v>0</v>
          </cell>
          <cell r="W305">
            <v>0</v>
          </cell>
          <cell r="X305">
            <v>1818.9696969697004</v>
          </cell>
          <cell r="Y305">
            <v>-549</v>
          </cell>
          <cell r="Z305">
            <v>-479.58636363636367</v>
          </cell>
          <cell r="AA305">
            <v>0</v>
          </cell>
          <cell r="AB305">
            <v>-9</v>
          </cell>
          <cell r="AC305">
            <v>962.42424242423954</v>
          </cell>
          <cell r="AF305">
            <v>2025.4575757575753</v>
          </cell>
          <cell r="AG305">
            <v>1706.4909090909086</v>
          </cell>
          <cell r="AH305">
            <v>318.9666666666667</v>
          </cell>
          <cell r="AK305">
            <v>83800.038961038968</v>
          </cell>
        </row>
        <row r="306">
          <cell r="F306">
            <v>98797.857142857145</v>
          </cell>
          <cell r="G306">
            <v>0</v>
          </cell>
          <cell r="H306">
            <v>0</v>
          </cell>
          <cell r="P306">
            <v>2339.5333333333333</v>
          </cell>
          <cell r="Q306">
            <v>0</v>
          </cell>
          <cell r="R306">
            <v>0</v>
          </cell>
          <cell r="S306">
            <v>1199.1000000000004</v>
          </cell>
          <cell r="T306">
            <v>-673.48446666666666</v>
          </cell>
          <cell r="U306">
            <v>-686.40219999999999</v>
          </cell>
          <cell r="V306">
            <v>0</v>
          </cell>
          <cell r="W306">
            <v>0</v>
          </cell>
          <cell r="X306">
            <v>2453.7545454545461</v>
          </cell>
          <cell r="Y306">
            <v>-435</v>
          </cell>
          <cell r="Z306">
            <v>-601.57554545454536</v>
          </cell>
          <cell r="AA306">
            <v>0</v>
          </cell>
          <cell r="AB306">
            <v>-9</v>
          </cell>
          <cell r="AC306">
            <v>607.62424242424026</v>
          </cell>
          <cell r="AF306">
            <v>2161.0909090909086</v>
          </cell>
          <cell r="AG306">
            <v>1821.0909090909086</v>
          </cell>
          <cell r="AH306">
            <v>340</v>
          </cell>
          <cell r="AK306">
            <v>107973.96017316019</v>
          </cell>
        </row>
        <row r="307">
          <cell r="F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K307">
            <v>0</v>
          </cell>
        </row>
        <row r="308">
          <cell r="F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K308">
            <v>0</v>
          </cell>
        </row>
        <row r="309">
          <cell r="F309">
            <v>0</v>
          </cell>
          <cell r="P309">
            <v>0</v>
          </cell>
          <cell r="S309">
            <v>0</v>
          </cell>
          <cell r="X309">
            <v>0</v>
          </cell>
          <cell r="AC309">
            <v>0</v>
          </cell>
          <cell r="AF309">
            <v>0</v>
          </cell>
          <cell r="AG309">
            <v>0</v>
          </cell>
          <cell r="AH309">
            <v>0</v>
          </cell>
          <cell r="AK309">
            <v>0</v>
          </cell>
        </row>
        <row r="310">
          <cell r="F310">
            <v>69710.157142857148</v>
          </cell>
          <cell r="P310">
            <v>3673.9999999999991</v>
          </cell>
          <cell r="Q310">
            <v>0</v>
          </cell>
          <cell r="R310">
            <v>0</v>
          </cell>
          <cell r="S310">
            <v>5277.0303030303048</v>
          </cell>
          <cell r="T310">
            <v>-710.90664848484835</v>
          </cell>
          <cell r="U310">
            <v>-725.94365454545448</v>
          </cell>
          <cell r="V310">
            <v>0</v>
          </cell>
          <cell r="W310">
            <v>0</v>
          </cell>
          <cell r="X310">
            <v>1818.9696969697004</v>
          </cell>
          <cell r="Y310">
            <v>-549</v>
          </cell>
          <cell r="Z310">
            <v>-479.58636363636367</v>
          </cell>
          <cell r="AA310">
            <v>0</v>
          </cell>
          <cell r="AB310">
            <v>-9</v>
          </cell>
          <cell r="AC310">
            <v>962.42424242423954</v>
          </cell>
          <cell r="AD310">
            <v>-149</v>
          </cell>
          <cell r="AE310">
            <v>-219.28424242424248</v>
          </cell>
          <cell r="AF310">
            <v>2025.4575757575753</v>
          </cell>
          <cell r="AG310">
            <v>1706.4909090909086</v>
          </cell>
          <cell r="AH310">
            <v>318.9666666666667</v>
          </cell>
          <cell r="AK310">
            <v>0</v>
          </cell>
        </row>
        <row r="311">
          <cell r="F311">
            <v>98797.857142857145</v>
          </cell>
          <cell r="P311">
            <v>2339.5333333333333</v>
          </cell>
          <cell r="Q311">
            <v>0</v>
          </cell>
          <cell r="R311">
            <v>0</v>
          </cell>
          <cell r="S311">
            <v>1199.1000000000004</v>
          </cell>
          <cell r="T311">
            <v>-673.48446666666666</v>
          </cell>
          <cell r="U311">
            <v>-686.40219999999999</v>
          </cell>
          <cell r="V311">
            <v>0</v>
          </cell>
          <cell r="W311">
            <v>0</v>
          </cell>
          <cell r="X311">
            <v>2453.7545454545461</v>
          </cell>
          <cell r="Y311">
            <v>-435</v>
          </cell>
          <cell r="Z311">
            <v>-601.57554545454536</v>
          </cell>
          <cell r="AA311">
            <v>0</v>
          </cell>
          <cell r="AB311">
            <v>-9</v>
          </cell>
          <cell r="AC311">
            <v>607.62424242424026</v>
          </cell>
          <cell r="AD311">
            <v>-212</v>
          </cell>
          <cell r="AE311">
            <v>-311.28424242424239</v>
          </cell>
          <cell r="AF311">
            <v>2161.0909090909086</v>
          </cell>
          <cell r="AG311">
            <v>1821.0909090909086</v>
          </cell>
          <cell r="AH311">
            <v>340</v>
          </cell>
          <cell r="AK311">
            <v>107973.96017316019</v>
          </cell>
        </row>
        <row r="312">
          <cell r="P312">
            <v>0</v>
          </cell>
          <cell r="AK312">
            <v>0</v>
          </cell>
        </row>
        <row r="313">
          <cell r="P313">
            <v>0</v>
          </cell>
          <cell r="S313">
            <v>0</v>
          </cell>
          <cell r="AK313">
            <v>0</v>
          </cell>
        </row>
        <row r="314">
          <cell r="F314">
            <v>3480</v>
          </cell>
          <cell r="S314">
            <v>0</v>
          </cell>
          <cell r="AK314">
            <v>0</v>
          </cell>
        </row>
        <row r="315">
          <cell r="F315">
            <v>3480</v>
          </cell>
          <cell r="S315">
            <v>0</v>
          </cell>
          <cell r="AK315">
            <v>3480</v>
          </cell>
        </row>
        <row r="316">
          <cell r="F316">
            <v>0</v>
          </cell>
          <cell r="S316">
            <v>0</v>
          </cell>
          <cell r="AK316">
            <v>0</v>
          </cell>
        </row>
        <row r="317">
          <cell r="F317">
            <v>0</v>
          </cell>
          <cell r="AK317">
            <v>0</v>
          </cell>
        </row>
        <row r="318">
          <cell r="AK318">
            <v>0</v>
          </cell>
        </row>
        <row r="319">
          <cell r="AK319">
            <v>0</v>
          </cell>
        </row>
        <row r="320">
          <cell r="S320">
            <v>0</v>
          </cell>
          <cell r="AK320">
            <v>0</v>
          </cell>
        </row>
        <row r="321">
          <cell r="F321">
            <v>69710.157142857148</v>
          </cell>
          <cell r="P321">
            <v>3673.9999999999991</v>
          </cell>
          <cell r="Q321">
            <v>0</v>
          </cell>
          <cell r="R321">
            <v>0</v>
          </cell>
          <cell r="S321">
            <v>0</v>
          </cell>
          <cell r="T321">
            <v>-710.90664848484835</v>
          </cell>
          <cell r="U321">
            <v>-725.94365454545448</v>
          </cell>
          <cell r="V321">
            <v>0</v>
          </cell>
          <cell r="W321">
            <v>0</v>
          </cell>
          <cell r="X321">
            <v>1818.9696969697004</v>
          </cell>
          <cell r="Y321">
            <v>-549</v>
          </cell>
          <cell r="Z321">
            <v>-479.58636363636367</v>
          </cell>
          <cell r="AA321">
            <v>0</v>
          </cell>
          <cell r="AB321">
            <v>-9</v>
          </cell>
          <cell r="AC321">
            <v>962.42424242423954</v>
          </cell>
          <cell r="AD321">
            <v>-149</v>
          </cell>
          <cell r="AE321">
            <v>-219.28424242424248</v>
          </cell>
          <cell r="AF321">
            <v>2025.4575757575753</v>
          </cell>
          <cell r="AG321">
            <v>1706.4909090909086</v>
          </cell>
          <cell r="AH321">
            <v>318.9666666666667</v>
          </cell>
          <cell r="AK321">
            <v>83800.038961038968</v>
          </cell>
        </row>
        <row r="322">
          <cell r="F322">
            <v>98797.857142857145</v>
          </cell>
          <cell r="P322">
            <v>2339.5333333333333</v>
          </cell>
          <cell r="Q322">
            <v>0</v>
          </cell>
          <cell r="R322">
            <v>0</v>
          </cell>
          <cell r="S322">
            <v>1199.1000000000004</v>
          </cell>
          <cell r="T322">
            <v>-673.48446666666666</v>
          </cell>
          <cell r="U322">
            <v>-686.40219999999999</v>
          </cell>
          <cell r="V322">
            <v>0</v>
          </cell>
          <cell r="W322">
            <v>0</v>
          </cell>
          <cell r="X322">
            <v>2453.7545454545461</v>
          </cell>
          <cell r="Y322">
            <v>-435</v>
          </cell>
          <cell r="Z322">
            <v>-601.57554545454536</v>
          </cell>
          <cell r="AA322">
            <v>0</v>
          </cell>
          <cell r="AB322">
            <v>-9</v>
          </cell>
          <cell r="AC322">
            <v>607.62424242424026</v>
          </cell>
          <cell r="AD322">
            <v>-212</v>
          </cell>
          <cell r="AE322">
            <v>-311.28424242424239</v>
          </cell>
          <cell r="AF322">
            <v>2161.0909090909086</v>
          </cell>
          <cell r="AG322">
            <v>1821.0909090909086</v>
          </cell>
          <cell r="AH322">
            <v>340</v>
          </cell>
          <cell r="AK322">
            <v>107973.96017316019</v>
          </cell>
        </row>
        <row r="330">
          <cell r="AJ330">
            <v>2455</v>
          </cell>
          <cell r="AK330">
            <v>6760.8399999999992</v>
          </cell>
          <cell r="AM330">
            <v>5000.8799999999992</v>
          </cell>
        </row>
        <row r="331">
          <cell r="F331">
            <v>160</v>
          </cell>
          <cell r="P331">
            <v>326</v>
          </cell>
          <cell r="S331">
            <v>523</v>
          </cell>
          <cell r="X331">
            <v>174</v>
          </cell>
          <cell r="AC331">
            <v>147</v>
          </cell>
          <cell r="AF331">
            <v>480</v>
          </cell>
          <cell r="AG331">
            <v>480</v>
          </cell>
          <cell r="AH331">
            <v>0</v>
          </cell>
          <cell r="AJ331">
            <v>2455</v>
          </cell>
          <cell r="AK331">
            <v>7909.3109999999997</v>
          </cell>
          <cell r="AM331">
            <v>6124.451</v>
          </cell>
        </row>
        <row r="332">
          <cell r="F332">
            <v>203</v>
          </cell>
          <cell r="P332">
            <v>623</v>
          </cell>
          <cell r="S332">
            <v>555</v>
          </cell>
          <cell r="X332">
            <v>227</v>
          </cell>
          <cell r="AC332">
            <v>188</v>
          </cell>
          <cell r="AF332">
            <v>487</v>
          </cell>
          <cell r="AG332">
            <v>463</v>
          </cell>
          <cell r="AH332">
            <v>24</v>
          </cell>
          <cell r="AJ332">
            <v>36</v>
          </cell>
          <cell r="AK332">
            <v>2421</v>
          </cell>
          <cell r="AM332">
            <v>1934</v>
          </cell>
        </row>
        <row r="333">
          <cell r="AJ333">
            <v>36</v>
          </cell>
          <cell r="AK333">
            <v>6983.8571428571431</v>
          </cell>
          <cell r="AM333">
            <v>6983.8571428571431</v>
          </cell>
        </row>
        <row r="334">
          <cell r="AJ334">
            <v>36</v>
          </cell>
          <cell r="AK334">
            <v>636</v>
          </cell>
          <cell r="AM334">
            <v>636</v>
          </cell>
        </row>
        <row r="335">
          <cell r="AJ335">
            <v>36</v>
          </cell>
          <cell r="AK335">
            <v>-196</v>
          </cell>
          <cell r="AM335">
            <v>-197</v>
          </cell>
        </row>
        <row r="336">
          <cell r="AK336">
            <v>1380.8571428571431</v>
          </cell>
          <cell r="AM336">
            <v>1380.8571428571431</v>
          </cell>
        </row>
        <row r="337">
          <cell r="AK337">
            <v>3500</v>
          </cell>
          <cell r="AM337">
            <v>3500</v>
          </cell>
        </row>
        <row r="338">
          <cell r="AK338">
            <v>0</v>
          </cell>
          <cell r="AM338">
            <v>821</v>
          </cell>
        </row>
        <row r="339">
          <cell r="AK339">
            <v>1467</v>
          </cell>
          <cell r="AM339">
            <v>1467</v>
          </cell>
        </row>
        <row r="340">
          <cell r="AK340">
            <v>3580</v>
          </cell>
          <cell r="AM340">
            <v>0</v>
          </cell>
        </row>
        <row r="341">
          <cell r="AK341">
            <v>0</v>
          </cell>
          <cell r="AM341">
            <v>0</v>
          </cell>
        </row>
        <row r="342">
          <cell r="AK342">
            <v>2395</v>
          </cell>
          <cell r="AM342">
            <v>2129</v>
          </cell>
        </row>
        <row r="343">
          <cell r="AK343">
            <v>3549.1363636363635</v>
          </cell>
          <cell r="AM343">
            <v>2584.0454545454545</v>
          </cell>
        </row>
        <row r="344">
          <cell r="AK344">
            <v>0</v>
          </cell>
          <cell r="AM344">
            <v>0</v>
          </cell>
        </row>
        <row r="345">
          <cell r="AK345">
            <v>0</v>
          </cell>
          <cell r="AM345">
            <v>0</v>
          </cell>
        </row>
        <row r="346">
          <cell r="AK346">
            <v>0</v>
          </cell>
          <cell r="AM346">
            <v>0</v>
          </cell>
        </row>
        <row r="347">
          <cell r="AK347">
            <v>4592</v>
          </cell>
          <cell r="AM347">
            <v>3979</v>
          </cell>
        </row>
        <row r="348">
          <cell r="AK348">
            <v>1847</v>
          </cell>
          <cell r="AM348">
            <v>1352</v>
          </cell>
        </row>
        <row r="349">
          <cell r="AK349">
            <v>1127</v>
          </cell>
          <cell r="AM349">
            <v>1089</v>
          </cell>
        </row>
        <row r="350">
          <cell r="AK350">
            <v>1110</v>
          </cell>
        </row>
        <row r="351">
          <cell r="AK351">
            <v>508</v>
          </cell>
          <cell r="AM351">
            <v>0</v>
          </cell>
        </row>
        <row r="352">
          <cell r="AK352">
            <v>0</v>
          </cell>
          <cell r="AM352">
            <v>0</v>
          </cell>
        </row>
        <row r="353">
          <cell r="AK353">
            <v>142</v>
          </cell>
          <cell r="AM353">
            <v>142</v>
          </cell>
        </row>
        <row r="354">
          <cell r="P354">
            <v>225</v>
          </cell>
          <cell r="S354">
            <v>296</v>
          </cell>
          <cell r="X354">
            <v>56</v>
          </cell>
          <cell r="AC354">
            <v>-538.90909090909088</v>
          </cell>
          <cell r="AF354">
            <v>245.09090909090912</v>
          </cell>
          <cell r="AG354">
            <v>-127.90909090909091</v>
          </cell>
          <cell r="AH354">
            <v>373</v>
          </cell>
          <cell r="AK354">
            <v>2892.6666666666665</v>
          </cell>
          <cell r="AM354">
            <v>2586.6666666666665</v>
          </cell>
        </row>
        <row r="355">
          <cell r="P355">
            <v>225</v>
          </cell>
          <cell r="S355">
            <v>296</v>
          </cell>
          <cell r="X355">
            <v>56</v>
          </cell>
          <cell r="AC355">
            <v>-536.90909090909088</v>
          </cell>
          <cell r="AF355">
            <v>485.09090909090912</v>
          </cell>
          <cell r="AG355">
            <v>-127.90909090909091</v>
          </cell>
          <cell r="AH355">
            <v>613</v>
          </cell>
          <cell r="AK355">
            <v>525.18181818181824</v>
          </cell>
        </row>
        <row r="356">
          <cell r="F356">
            <v>0</v>
          </cell>
          <cell r="P356">
            <v>0</v>
          </cell>
          <cell r="S356">
            <v>0</v>
          </cell>
          <cell r="X356">
            <v>0</v>
          </cell>
          <cell r="AC356">
            <v>0</v>
          </cell>
          <cell r="AF356">
            <v>0</v>
          </cell>
          <cell r="AG356">
            <v>0</v>
          </cell>
          <cell r="AH356">
            <v>0</v>
          </cell>
          <cell r="AK356">
            <v>0</v>
          </cell>
          <cell r="AM356">
            <v>358</v>
          </cell>
        </row>
        <row r="357">
          <cell r="F357">
            <v>0</v>
          </cell>
          <cell r="P357">
            <v>0</v>
          </cell>
          <cell r="S357">
            <v>0</v>
          </cell>
          <cell r="X357">
            <v>0</v>
          </cell>
          <cell r="AC357">
            <v>0</v>
          </cell>
          <cell r="AF357">
            <v>0</v>
          </cell>
          <cell r="AG357">
            <v>0</v>
          </cell>
          <cell r="AH357">
            <v>0</v>
          </cell>
          <cell r="AK357">
            <v>358</v>
          </cell>
          <cell r="AM357">
            <v>358</v>
          </cell>
        </row>
        <row r="358">
          <cell r="AK358">
            <v>121</v>
          </cell>
          <cell r="AM358">
            <v>121</v>
          </cell>
        </row>
        <row r="359">
          <cell r="AK359">
            <v>0</v>
          </cell>
          <cell r="AM359">
            <v>0</v>
          </cell>
        </row>
        <row r="360">
          <cell r="AJ360">
            <v>-2491</v>
          </cell>
          <cell r="AK360">
            <v>0</v>
          </cell>
          <cell r="AM360">
            <v>0</v>
          </cell>
        </row>
        <row r="361">
          <cell r="AJ361">
            <v>-2491</v>
          </cell>
          <cell r="AK361">
            <v>7345.3</v>
          </cell>
          <cell r="AM361" t="e">
            <v>#REF!</v>
          </cell>
        </row>
        <row r="362">
          <cell r="AK362">
            <v>973</v>
          </cell>
        </row>
        <row r="363">
          <cell r="AK363">
            <v>1769</v>
          </cell>
        </row>
        <row r="364">
          <cell r="F364">
            <v>0</v>
          </cell>
          <cell r="P364">
            <v>0</v>
          </cell>
          <cell r="S364">
            <v>0</v>
          </cell>
          <cell r="T364">
            <v>162.88</v>
          </cell>
          <cell r="U364">
            <v>855.12</v>
          </cell>
          <cell r="X364">
            <v>344</v>
          </cell>
          <cell r="Y364">
            <v>304</v>
          </cell>
          <cell r="Z364">
            <v>265</v>
          </cell>
          <cell r="AC364">
            <v>357</v>
          </cell>
          <cell r="AD364">
            <v>213</v>
          </cell>
          <cell r="AE364">
            <v>314</v>
          </cell>
          <cell r="AF364">
            <v>-335</v>
          </cell>
          <cell r="AG364">
            <v>-335</v>
          </cell>
          <cell r="AH364">
            <v>0</v>
          </cell>
          <cell r="AK364">
            <v>4603.3</v>
          </cell>
          <cell r="AM364">
            <v>710</v>
          </cell>
        </row>
        <row r="365">
          <cell r="F365">
            <v>0</v>
          </cell>
          <cell r="P365">
            <v>37</v>
          </cell>
          <cell r="S365">
            <v>2402</v>
          </cell>
          <cell r="T365">
            <v>308.48</v>
          </cell>
          <cell r="U365">
            <v>1619.52</v>
          </cell>
          <cell r="X365">
            <v>-549</v>
          </cell>
          <cell r="Y365">
            <v>202</v>
          </cell>
          <cell r="Z365">
            <v>278</v>
          </cell>
          <cell r="AC365">
            <v>644</v>
          </cell>
          <cell r="AD365">
            <v>214</v>
          </cell>
          <cell r="AE365">
            <v>313</v>
          </cell>
          <cell r="AF365">
            <v>387</v>
          </cell>
          <cell r="AG365">
            <v>387</v>
          </cell>
          <cell r="AH365">
            <v>0</v>
          </cell>
          <cell r="AK365">
            <v>2921</v>
          </cell>
          <cell r="AM365">
            <v>2534</v>
          </cell>
        </row>
        <row r="373">
          <cell r="F373">
            <v>0</v>
          </cell>
        </row>
        <row r="374">
          <cell r="F374">
            <v>0</v>
          </cell>
        </row>
        <row r="385">
          <cell r="F385" t="str">
            <v>лютий</v>
          </cell>
          <cell r="P385" t="str">
            <v>лютий</v>
          </cell>
          <cell r="X385" t="str">
            <v>лютий</v>
          </cell>
          <cell r="AC385" t="str">
            <v>лютий</v>
          </cell>
        </row>
        <row r="386">
          <cell r="F386" t="str">
            <v>лютий</v>
          </cell>
          <cell r="P386" t="str">
            <v>лютий</v>
          </cell>
          <cell r="X386" t="str">
            <v>лютий</v>
          </cell>
          <cell r="AC386" t="str">
            <v>лютий</v>
          </cell>
          <cell r="AK386" t="str">
            <v>АК "КЕ"</v>
          </cell>
          <cell r="AL386" t="str">
            <v>Е/Е</v>
          </cell>
        </row>
        <row r="387">
          <cell r="F387" t="str">
            <v>АППАРАТ</v>
          </cell>
          <cell r="P387" t="str">
            <v>ККМ</v>
          </cell>
          <cell r="X387" t="str">
            <v>ТЕЦ5</v>
          </cell>
          <cell r="AC387" t="str">
            <v>ТЕЦ6</v>
          </cell>
          <cell r="AK387" t="str">
            <v>АК "КЕ"</v>
          </cell>
          <cell r="AL387" t="str">
            <v>Е/Е</v>
          </cell>
        </row>
        <row r="388">
          <cell r="F388" t="str">
            <v>ПЛАН</v>
          </cell>
          <cell r="G388">
            <v>56</v>
          </cell>
          <cell r="H388">
            <v>56</v>
          </cell>
          <cell r="P388" t="str">
            <v>ПЛАН</v>
          </cell>
          <cell r="S388">
            <v>14.333333333333332</v>
          </cell>
          <cell r="X388" t="str">
            <v>ПЛАН</v>
          </cell>
          <cell r="Y388">
            <v>97</v>
          </cell>
          <cell r="Z388">
            <v>97</v>
          </cell>
          <cell r="AC388" t="str">
            <v>ПЛАН</v>
          </cell>
          <cell r="AD388">
            <v>131</v>
          </cell>
          <cell r="AE388">
            <v>130</v>
          </cell>
          <cell r="AK388" t="str">
            <v>ПЛАН</v>
          </cell>
          <cell r="AL388" t="str">
            <v>ПЛАН</v>
          </cell>
          <cell r="AM388">
            <v>312.33333333333331</v>
          </cell>
        </row>
        <row r="389">
          <cell r="F389">
            <v>164.3</v>
          </cell>
          <cell r="G389">
            <v>47</v>
          </cell>
          <cell r="H389">
            <v>47</v>
          </cell>
          <cell r="P389">
            <v>14.333333333333332</v>
          </cell>
          <cell r="S389">
            <v>14.333333333333332</v>
          </cell>
          <cell r="X389">
            <v>182</v>
          </cell>
          <cell r="Y389">
            <v>77</v>
          </cell>
          <cell r="Z389">
            <v>77</v>
          </cell>
          <cell r="AC389">
            <v>323.66666666666674</v>
          </cell>
          <cell r="AD389">
            <v>132</v>
          </cell>
          <cell r="AE389">
            <v>131</v>
          </cell>
          <cell r="AK389">
            <v>735.30000000000018</v>
          </cell>
          <cell r="AL389">
            <v>441.33333333333337</v>
          </cell>
          <cell r="AM389">
            <v>285.33333333333331</v>
          </cell>
        </row>
        <row r="390">
          <cell r="F390">
            <v>29</v>
          </cell>
          <cell r="G390">
            <v>8</v>
          </cell>
          <cell r="P390">
            <v>0</v>
          </cell>
          <cell r="X390">
            <v>0</v>
          </cell>
          <cell r="Y390">
            <v>0</v>
          </cell>
          <cell r="AC390">
            <v>3.6666666666666665</v>
          </cell>
          <cell r="AD390">
            <v>1</v>
          </cell>
          <cell r="AK390">
            <v>46</v>
          </cell>
          <cell r="AL390">
            <v>12</v>
          </cell>
        </row>
        <row r="391">
          <cell r="F391">
            <v>0</v>
          </cell>
          <cell r="G391">
            <v>0</v>
          </cell>
          <cell r="P391">
            <v>0.66666666666666663</v>
          </cell>
          <cell r="X391">
            <v>146.66666666666666</v>
          </cell>
          <cell r="Y391">
            <v>62</v>
          </cell>
          <cell r="AC391">
            <v>280.66666666666669</v>
          </cell>
          <cell r="AD391">
            <v>114</v>
          </cell>
          <cell r="AK391">
            <v>428</v>
          </cell>
          <cell r="AL391">
            <v>176.66666666666666</v>
          </cell>
        </row>
        <row r="392">
          <cell r="F392">
            <v>0</v>
          </cell>
          <cell r="G392">
            <v>0</v>
          </cell>
          <cell r="P392">
            <v>2</v>
          </cell>
          <cell r="X392">
            <v>0</v>
          </cell>
          <cell r="Y392">
            <v>0</v>
          </cell>
          <cell r="AC392">
            <v>25</v>
          </cell>
          <cell r="AD392">
            <v>10</v>
          </cell>
          <cell r="AK392">
            <v>33.666666666666671</v>
          </cell>
          <cell r="AL392">
            <v>15</v>
          </cell>
        </row>
        <row r="393">
          <cell r="F393">
            <v>0</v>
          </cell>
          <cell r="G393">
            <v>0</v>
          </cell>
          <cell r="P393">
            <v>0</v>
          </cell>
          <cell r="X393">
            <v>25.333333333333332</v>
          </cell>
          <cell r="Y393">
            <v>11</v>
          </cell>
          <cell r="AC393">
            <v>0.66666666666666663</v>
          </cell>
          <cell r="AD393">
            <v>0</v>
          </cell>
          <cell r="AK393">
            <v>26</v>
          </cell>
          <cell r="AL393">
            <v>11</v>
          </cell>
        </row>
        <row r="394">
          <cell r="F394">
            <v>120.63333333333333</v>
          </cell>
          <cell r="G394">
            <v>35</v>
          </cell>
          <cell r="P394">
            <v>0</v>
          </cell>
          <cell r="X394">
            <v>0</v>
          </cell>
          <cell r="Y394">
            <v>0</v>
          </cell>
          <cell r="AC394">
            <v>0</v>
          </cell>
          <cell r="AD394">
            <v>0</v>
          </cell>
          <cell r="AK394">
            <v>120.63333333333333</v>
          </cell>
          <cell r="AL394">
            <v>37</v>
          </cell>
        </row>
        <row r="395">
          <cell r="F395">
            <v>8.6666666666666661</v>
          </cell>
          <cell r="G395">
            <v>2</v>
          </cell>
          <cell r="P395">
            <v>0</v>
          </cell>
          <cell r="X395">
            <v>0</v>
          </cell>
          <cell r="Y395">
            <v>0</v>
          </cell>
          <cell r="AC395">
            <v>0</v>
          </cell>
          <cell r="AD395">
            <v>0</v>
          </cell>
          <cell r="AK395">
            <v>8.6666666666666661</v>
          </cell>
          <cell r="AL395">
            <v>0</v>
          </cell>
        </row>
        <row r="396">
          <cell r="F396">
            <v>0</v>
          </cell>
          <cell r="G396">
            <v>0</v>
          </cell>
          <cell r="P396">
            <v>5.333333333333333</v>
          </cell>
          <cell r="X396">
            <v>0</v>
          </cell>
          <cell r="Y396">
            <v>0</v>
          </cell>
          <cell r="AC396">
            <v>0</v>
          </cell>
          <cell r="AD396">
            <v>0</v>
          </cell>
          <cell r="AK396">
            <v>22</v>
          </cell>
          <cell r="AL396">
            <v>15.333333333333332</v>
          </cell>
        </row>
        <row r="397">
          <cell r="F397">
            <v>5.333333333333333</v>
          </cell>
          <cell r="G397">
            <v>2</v>
          </cell>
          <cell r="P397">
            <v>0</v>
          </cell>
          <cell r="X397">
            <v>0</v>
          </cell>
          <cell r="Y397">
            <v>0</v>
          </cell>
          <cell r="AC397">
            <v>0</v>
          </cell>
          <cell r="AD397">
            <v>0</v>
          </cell>
          <cell r="AK397">
            <v>5.333333333333333</v>
          </cell>
          <cell r="AL397">
            <v>2</v>
          </cell>
        </row>
        <row r="398">
          <cell r="F398">
            <v>0.33333333333333331</v>
          </cell>
          <cell r="G398">
            <v>0</v>
          </cell>
          <cell r="P398">
            <v>4.333333333333333</v>
          </cell>
          <cell r="X398">
            <v>0</v>
          </cell>
          <cell r="Y398">
            <v>0</v>
          </cell>
          <cell r="AC398">
            <v>0</v>
          </cell>
          <cell r="AD398">
            <v>0</v>
          </cell>
          <cell r="AK398">
            <v>4.6666666666666661</v>
          </cell>
          <cell r="AL398">
            <v>4.333333333333333</v>
          </cell>
        </row>
        <row r="399">
          <cell r="F399">
            <v>0.33333333333333331</v>
          </cell>
          <cell r="G399">
            <v>0</v>
          </cell>
          <cell r="P399">
            <v>2</v>
          </cell>
          <cell r="X399">
            <v>10</v>
          </cell>
          <cell r="Y399">
            <v>4</v>
          </cell>
          <cell r="AC399">
            <v>13.666666666666666</v>
          </cell>
          <cell r="AD399">
            <v>6</v>
          </cell>
          <cell r="AK399">
            <v>26</v>
          </cell>
          <cell r="AL399">
            <v>12</v>
          </cell>
        </row>
        <row r="400">
          <cell r="F400">
            <v>0</v>
          </cell>
          <cell r="G400">
            <v>0</v>
          </cell>
          <cell r="P400">
            <v>0</v>
          </cell>
          <cell r="X400">
            <v>0</v>
          </cell>
          <cell r="Y400">
            <v>0</v>
          </cell>
          <cell r="AC400">
            <v>0</v>
          </cell>
          <cell r="AD400">
            <v>0</v>
          </cell>
          <cell r="AK400">
            <v>0</v>
          </cell>
          <cell r="AL400">
            <v>316.5</v>
          </cell>
          <cell r="AM400">
            <v>316.83333333333331</v>
          </cell>
        </row>
        <row r="401">
          <cell r="F401">
            <v>1.1666666666666667</v>
          </cell>
          <cell r="G401">
            <v>0</v>
          </cell>
          <cell r="P401">
            <v>20.5</v>
          </cell>
          <cell r="X401">
            <v>522.33333333333337</v>
          </cell>
          <cell r="Y401">
            <v>220</v>
          </cell>
          <cell r="AC401">
            <v>43</v>
          </cell>
          <cell r="AD401">
            <v>17</v>
          </cell>
          <cell r="AK401">
            <v>587.33333333333337</v>
          </cell>
          <cell r="AL401">
            <v>257.5</v>
          </cell>
          <cell r="AM401">
            <v>257.83333333333331</v>
          </cell>
        </row>
        <row r="402">
          <cell r="F402">
            <v>0</v>
          </cell>
          <cell r="G402">
            <v>0</v>
          </cell>
          <cell r="P402">
            <v>0</v>
          </cell>
          <cell r="X402">
            <v>0</v>
          </cell>
          <cell r="Y402">
            <v>0</v>
          </cell>
          <cell r="AC402">
            <v>0</v>
          </cell>
          <cell r="AD402">
            <v>0</v>
          </cell>
          <cell r="AK402">
            <v>0</v>
          </cell>
          <cell r="AL402">
            <v>0</v>
          </cell>
        </row>
        <row r="403">
          <cell r="F403">
            <v>0</v>
          </cell>
          <cell r="G403">
            <v>0</v>
          </cell>
          <cell r="P403">
            <v>0</v>
          </cell>
          <cell r="X403">
            <v>480.66666666666669</v>
          </cell>
          <cell r="Y403">
            <v>202</v>
          </cell>
          <cell r="AC403">
            <v>11</v>
          </cell>
          <cell r="AD403">
            <v>4</v>
          </cell>
          <cell r="AK403">
            <v>491.66666666666669</v>
          </cell>
          <cell r="AL403">
            <v>206</v>
          </cell>
        </row>
        <row r="404">
          <cell r="F404">
            <v>0</v>
          </cell>
          <cell r="G404">
            <v>0</v>
          </cell>
          <cell r="P404">
            <v>0</v>
          </cell>
          <cell r="X404">
            <v>0</v>
          </cell>
          <cell r="Y404">
            <v>0</v>
          </cell>
          <cell r="AC404">
            <v>0</v>
          </cell>
          <cell r="AD404">
            <v>0</v>
          </cell>
          <cell r="AK404">
            <v>0</v>
          </cell>
          <cell r="AL404">
            <v>0</v>
          </cell>
        </row>
        <row r="405">
          <cell r="F405">
            <v>1.1666666666666667</v>
          </cell>
          <cell r="G405">
            <v>0</v>
          </cell>
          <cell r="P405">
            <v>15.833333333333334</v>
          </cell>
          <cell r="X405">
            <v>41.666666666666664</v>
          </cell>
          <cell r="Y405">
            <v>18</v>
          </cell>
          <cell r="AC405">
            <v>32</v>
          </cell>
          <cell r="AD405">
            <v>13</v>
          </cell>
          <cell r="AK405">
            <v>91</v>
          </cell>
          <cell r="AL405">
            <v>51.833333333333336</v>
          </cell>
        </row>
        <row r="406">
          <cell r="F406">
            <v>0</v>
          </cell>
          <cell r="G406">
            <v>0</v>
          </cell>
          <cell r="P406">
            <v>4.666666666666667</v>
          </cell>
          <cell r="X406">
            <v>0</v>
          </cell>
          <cell r="Y406">
            <v>0</v>
          </cell>
          <cell r="AC406">
            <v>0</v>
          </cell>
          <cell r="AD406">
            <v>0</v>
          </cell>
          <cell r="AK406">
            <v>4.666666666666667</v>
          </cell>
          <cell r="AL406">
            <v>0</v>
          </cell>
        </row>
        <row r="407">
          <cell r="F407">
            <v>0</v>
          </cell>
          <cell r="G407">
            <v>0</v>
          </cell>
          <cell r="P407">
            <v>0</v>
          </cell>
          <cell r="X407">
            <v>0</v>
          </cell>
          <cell r="Y407">
            <v>0</v>
          </cell>
          <cell r="AC407">
            <v>0</v>
          </cell>
          <cell r="AD407">
            <v>0</v>
          </cell>
          <cell r="AK407">
            <v>0</v>
          </cell>
          <cell r="AL407">
            <v>42</v>
          </cell>
          <cell r="AM407">
            <v>43</v>
          </cell>
        </row>
        <row r="408">
          <cell r="F408">
            <v>10</v>
          </cell>
          <cell r="G408">
            <v>3</v>
          </cell>
          <cell r="P408">
            <v>39</v>
          </cell>
          <cell r="X408">
            <v>0</v>
          </cell>
          <cell r="Y408">
            <v>0</v>
          </cell>
          <cell r="AC408">
            <v>0</v>
          </cell>
          <cell r="AD408">
            <v>0</v>
          </cell>
          <cell r="AK408">
            <v>49</v>
          </cell>
          <cell r="AL408">
            <v>42</v>
          </cell>
          <cell r="AM408">
            <v>42</v>
          </cell>
        </row>
        <row r="409">
          <cell r="F409">
            <v>2.6666666666666665</v>
          </cell>
          <cell r="G409">
            <v>1</v>
          </cell>
          <cell r="P409">
            <v>3.3333333333333335</v>
          </cell>
          <cell r="X409">
            <v>0</v>
          </cell>
          <cell r="Y409">
            <v>0</v>
          </cell>
          <cell r="AC409">
            <v>0</v>
          </cell>
          <cell r="AD409">
            <v>0</v>
          </cell>
          <cell r="AK409">
            <v>6</v>
          </cell>
          <cell r="AL409">
            <v>4.3333333333333339</v>
          </cell>
        </row>
        <row r="410">
          <cell r="F410">
            <v>7.333333333333333</v>
          </cell>
          <cell r="G410">
            <v>2</v>
          </cell>
          <cell r="P410">
            <v>35.666666666666664</v>
          </cell>
          <cell r="X410">
            <v>0</v>
          </cell>
          <cell r="Y410">
            <v>0</v>
          </cell>
          <cell r="AC410">
            <v>0</v>
          </cell>
          <cell r="AD410">
            <v>0</v>
          </cell>
          <cell r="AK410">
            <v>43</v>
          </cell>
          <cell r="AL410">
            <v>37.666666666666664</v>
          </cell>
        </row>
        <row r="411">
          <cell r="F411">
            <v>0</v>
          </cell>
          <cell r="G411">
            <v>0</v>
          </cell>
          <cell r="H411">
            <v>71</v>
          </cell>
          <cell r="P411">
            <v>0</v>
          </cell>
          <cell r="S411">
            <v>50.166666666666671</v>
          </cell>
          <cell r="X411">
            <v>0</v>
          </cell>
          <cell r="Y411">
            <v>0</v>
          </cell>
          <cell r="AC411">
            <v>0</v>
          </cell>
          <cell r="AD411">
            <v>0</v>
          </cell>
          <cell r="AK411">
            <v>0</v>
          </cell>
          <cell r="AL411">
            <v>412.16666666666663</v>
          </cell>
          <cell r="AM411">
            <v>412.16666666666663</v>
          </cell>
        </row>
        <row r="412">
          <cell r="F412">
            <v>206.33333333333329</v>
          </cell>
          <cell r="G412">
            <v>59</v>
          </cell>
          <cell r="H412">
            <v>59</v>
          </cell>
          <cell r="P412">
            <v>50.166666666666671</v>
          </cell>
          <cell r="S412">
            <v>50.166666666666671</v>
          </cell>
          <cell r="X412">
            <v>37.833333333333343</v>
          </cell>
          <cell r="Y412">
            <v>16</v>
          </cell>
          <cell r="AC412">
            <v>26.000000000000004</v>
          </cell>
          <cell r="AD412">
            <v>11</v>
          </cell>
          <cell r="AK412">
            <v>1965.0000000000002</v>
          </cell>
          <cell r="AL412">
            <v>395.16666666666663</v>
          </cell>
          <cell r="AM412">
            <v>395.16666666666663</v>
          </cell>
        </row>
        <row r="413">
          <cell r="F413">
            <v>0</v>
          </cell>
          <cell r="G413">
            <v>0</v>
          </cell>
          <cell r="P413">
            <v>0</v>
          </cell>
          <cell r="X413">
            <v>0</v>
          </cell>
          <cell r="Y413">
            <v>0</v>
          </cell>
          <cell r="AC413">
            <v>0</v>
          </cell>
          <cell r="AD413">
            <v>0</v>
          </cell>
          <cell r="AK413">
            <v>1350</v>
          </cell>
          <cell r="AL413">
            <v>0</v>
          </cell>
        </row>
        <row r="414">
          <cell r="F414">
            <v>0</v>
          </cell>
          <cell r="G414">
            <v>0</v>
          </cell>
          <cell r="P414">
            <v>0</v>
          </cell>
          <cell r="X414">
            <v>0</v>
          </cell>
          <cell r="Y414">
            <v>0</v>
          </cell>
          <cell r="AC414">
            <v>0</v>
          </cell>
          <cell r="AD414">
            <v>0</v>
          </cell>
          <cell r="AK414">
            <v>95</v>
          </cell>
          <cell r="AL414">
            <v>95</v>
          </cell>
        </row>
        <row r="415">
          <cell r="F415">
            <v>0</v>
          </cell>
          <cell r="G415">
            <v>0</v>
          </cell>
          <cell r="P415">
            <v>0</v>
          </cell>
          <cell r="X415">
            <v>0</v>
          </cell>
          <cell r="Y415">
            <v>0</v>
          </cell>
          <cell r="AC415">
            <v>0</v>
          </cell>
          <cell r="AD415">
            <v>0</v>
          </cell>
          <cell r="AK415">
            <v>0</v>
          </cell>
          <cell r="AL415">
            <v>0</v>
          </cell>
        </row>
        <row r="416">
          <cell r="F416">
            <v>0</v>
          </cell>
          <cell r="G416">
            <v>0</v>
          </cell>
          <cell r="P416">
            <v>12.333333333333334</v>
          </cell>
          <cell r="X416">
            <v>0</v>
          </cell>
          <cell r="Y416">
            <v>0</v>
          </cell>
          <cell r="AC416">
            <v>0</v>
          </cell>
          <cell r="AD416">
            <v>0</v>
          </cell>
          <cell r="AK416">
            <v>12.333333333333334</v>
          </cell>
          <cell r="AL416">
            <v>12.333333333333334</v>
          </cell>
        </row>
        <row r="417">
          <cell r="F417">
            <v>0</v>
          </cell>
          <cell r="G417">
            <v>0</v>
          </cell>
          <cell r="P417">
            <v>0</v>
          </cell>
          <cell r="X417">
            <v>0</v>
          </cell>
          <cell r="Y417">
            <v>0</v>
          </cell>
          <cell r="AC417">
            <v>0</v>
          </cell>
          <cell r="AD417">
            <v>0</v>
          </cell>
          <cell r="AK417">
            <v>0</v>
          </cell>
          <cell r="AL417">
            <v>0</v>
          </cell>
        </row>
        <row r="418">
          <cell r="F418">
            <v>1.6666666666666667</v>
          </cell>
          <cell r="G418">
            <v>0</v>
          </cell>
          <cell r="P418">
            <v>5</v>
          </cell>
          <cell r="X418">
            <v>3</v>
          </cell>
          <cell r="Y418">
            <v>1</v>
          </cell>
          <cell r="AC418">
            <v>3</v>
          </cell>
          <cell r="AD418">
            <v>1</v>
          </cell>
          <cell r="AK418">
            <v>57.666666666666664</v>
          </cell>
          <cell r="AL418">
            <v>47</v>
          </cell>
        </row>
        <row r="419">
          <cell r="F419">
            <v>0</v>
          </cell>
          <cell r="G419">
            <v>0</v>
          </cell>
          <cell r="P419">
            <v>0</v>
          </cell>
          <cell r="X419">
            <v>0</v>
          </cell>
          <cell r="Y419">
            <v>0</v>
          </cell>
          <cell r="AC419">
            <v>0</v>
          </cell>
          <cell r="AD419">
            <v>0</v>
          </cell>
          <cell r="AK419">
            <v>4</v>
          </cell>
          <cell r="AL419">
            <v>0</v>
          </cell>
        </row>
        <row r="420">
          <cell r="F420">
            <v>0</v>
          </cell>
          <cell r="G420">
            <v>0</v>
          </cell>
          <cell r="P420">
            <v>0</v>
          </cell>
          <cell r="X420">
            <v>0</v>
          </cell>
          <cell r="Y420">
            <v>0</v>
          </cell>
          <cell r="AC420">
            <v>0</v>
          </cell>
          <cell r="AD420">
            <v>0</v>
          </cell>
          <cell r="AK420">
            <v>0</v>
          </cell>
          <cell r="AL420">
            <v>0</v>
          </cell>
        </row>
        <row r="421">
          <cell r="F421">
            <v>0</v>
          </cell>
          <cell r="G421">
            <v>0</v>
          </cell>
          <cell r="P421">
            <v>18.5</v>
          </cell>
          <cell r="X421">
            <v>4.5</v>
          </cell>
          <cell r="Y421">
            <v>2</v>
          </cell>
          <cell r="AC421">
            <v>1.3333333333333333</v>
          </cell>
          <cell r="AD421">
            <v>1</v>
          </cell>
          <cell r="AK421">
            <v>28.5</v>
          </cell>
          <cell r="AL421">
            <v>25.5</v>
          </cell>
        </row>
        <row r="422">
          <cell r="F422">
            <v>0</v>
          </cell>
          <cell r="G422">
            <v>0</v>
          </cell>
          <cell r="P422">
            <v>1.3333333333333333</v>
          </cell>
          <cell r="X422">
            <v>0</v>
          </cell>
          <cell r="Y422">
            <v>0</v>
          </cell>
          <cell r="AC422">
            <v>1.6666666666666667</v>
          </cell>
          <cell r="AD422">
            <v>1</v>
          </cell>
          <cell r="AK422">
            <v>69</v>
          </cell>
          <cell r="AL422">
            <v>52.333333333333336</v>
          </cell>
        </row>
        <row r="423">
          <cell r="F423">
            <v>177</v>
          </cell>
          <cell r="G423">
            <v>51</v>
          </cell>
          <cell r="P423">
            <v>0</v>
          </cell>
          <cell r="X423">
            <v>0</v>
          </cell>
          <cell r="Y423">
            <v>0</v>
          </cell>
          <cell r="AC423">
            <v>0</v>
          </cell>
          <cell r="AD423">
            <v>0</v>
          </cell>
          <cell r="AK423">
            <v>177</v>
          </cell>
          <cell r="AL423">
            <v>51</v>
          </cell>
        </row>
        <row r="424">
          <cell r="F424">
            <v>0</v>
          </cell>
          <cell r="G424">
            <v>0</v>
          </cell>
          <cell r="P424">
            <v>0</v>
          </cell>
          <cell r="X424">
            <v>10</v>
          </cell>
          <cell r="Y424">
            <v>4</v>
          </cell>
          <cell r="AC424">
            <v>7.666666666666667</v>
          </cell>
          <cell r="AD424">
            <v>3</v>
          </cell>
          <cell r="AK424">
            <v>17.666666666666668</v>
          </cell>
          <cell r="AL424">
            <v>7</v>
          </cell>
        </row>
        <row r="425">
          <cell r="F425">
            <v>0.66666666666666663</v>
          </cell>
          <cell r="G425">
            <v>0</v>
          </cell>
          <cell r="P425">
            <v>2</v>
          </cell>
          <cell r="X425">
            <v>1.3333333333333333</v>
          </cell>
          <cell r="Y425">
            <v>1</v>
          </cell>
          <cell r="AC425">
            <v>1</v>
          </cell>
          <cell r="AD425">
            <v>0</v>
          </cell>
          <cell r="AK425">
            <v>6</v>
          </cell>
          <cell r="AL425">
            <v>3</v>
          </cell>
        </row>
        <row r="426">
          <cell r="F426">
            <v>2.6666666666666665</v>
          </cell>
          <cell r="G426">
            <v>1</v>
          </cell>
          <cell r="P426">
            <v>0.33333333333333331</v>
          </cell>
          <cell r="X426">
            <v>1</v>
          </cell>
          <cell r="Y426">
            <v>0</v>
          </cell>
          <cell r="AC426">
            <v>0.66666666666666663</v>
          </cell>
          <cell r="AD426">
            <v>0</v>
          </cell>
          <cell r="AK426">
            <v>9.3333333333333339</v>
          </cell>
          <cell r="AL426">
            <v>3.3333333333333335</v>
          </cell>
        </row>
        <row r="427">
          <cell r="F427">
            <v>0</v>
          </cell>
          <cell r="G427">
            <v>0</v>
          </cell>
          <cell r="P427">
            <v>2.3333333333333335</v>
          </cell>
          <cell r="X427">
            <v>6</v>
          </cell>
          <cell r="Y427">
            <v>3</v>
          </cell>
          <cell r="AC427">
            <v>5</v>
          </cell>
          <cell r="AD427">
            <v>2</v>
          </cell>
          <cell r="AK427">
            <v>13.333333333333334</v>
          </cell>
          <cell r="AL427">
            <v>7.3333333333333339</v>
          </cell>
        </row>
        <row r="428">
          <cell r="F428">
            <v>0</v>
          </cell>
          <cell r="G428">
            <v>0</v>
          </cell>
          <cell r="P428">
            <v>0</v>
          </cell>
          <cell r="X428">
            <v>0</v>
          </cell>
          <cell r="Y428">
            <v>0</v>
          </cell>
          <cell r="AC428">
            <v>0</v>
          </cell>
          <cell r="AD428">
            <v>0</v>
          </cell>
          <cell r="AK428">
            <v>0</v>
          </cell>
          <cell r="AL428">
            <v>0</v>
          </cell>
        </row>
        <row r="429">
          <cell r="F429">
            <v>0</v>
          </cell>
          <cell r="G429">
            <v>0</v>
          </cell>
          <cell r="P429">
            <v>0</v>
          </cell>
          <cell r="X429">
            <v>0</v>
          </cell>
          <cell r="Y429">
            <v>0</v>
          </cell>
          <cell r="AC429">
            <v>0</v>
          </cell>
          <cell r="AD429">
            <v>0</v>
          </cell>
          <cell r="AK429">
            <v>0</v>
          </cell>
          <cell r="AL429">
            <v>0</v>
          </cell>
        </row>
        <row r="430">
          <cell r="F430">
            <v>9.6666666666666661</v>
          </cell>
          <cell r="G430">
            <v>3</v>
          </cell>
          <cell r="P430">
            <v>1</v>
          </cell>
          <cell r="X430">
            <v>0</v>
          </cell>
          <cell r="Y430">
            <v>0</v>
          </cell>
          <cell r="AC430">
            <v>0</v>
          </cell>
          <cell r="AD430">
            <v>0</v>
          </cell>
          <cell r="AK430">
            <v>12</v>
          </cell>
          <cell r="AL430">
            <v>5</v>
          </cell>
        </row>
        <row r="431">
          <cell r="F431">
            <v>0</v>
          </cell>
          <cell r="G431">
            <v>0</v>
          </cell>
          <cell r="P431">
            <v>0</v>
          </cell>
          <cell r="X431">
            <v>0</v>
          </cell>
          <cell r="Y431">
            <v>0</v>
          </cell>
          <cell r="AC431">
            <v>0</v>
          </cell>
          <cell r="AD431">
            <v>0</v>
          </cell>
          <cell r="AK431">
            <v>0</v>
          </cell>
          <cell r="AL431">
            <v>0</v>
          </cell>
        </row>
        <row r="432">
          <cell r="F432">
            <v>2.3333333333333335</v>
          </cell>
          <cell r="G432">
            <v>1</v>
          </cell>
          <cell r="P432">
            <v>0.66666666666666663</v>
          </cell>
          <cell r="X432">
            <v>0.66666666666666663</v>
          </cell>
          <cell r="Y432">
            <v>0</v>
          </cell>
          <cell r="AC432">
            <v>0.66666666666666663</v>
          </cell>
          <cell r="AD432">
            <v>0</v>
          </cell>
          <cell r="AK432">
            <v>4.333333333333333</v>
          </cell>
          <cell r="AL432">
            <v>1.6666666666666665</v>
          </cell>
        </row>
        <row r="433">
          <cell r="F433">
            <v>1.6666666666666667</v>
          </cell>
          <cell r="G433">
            <v>0</v>
          </cell>
          <cell r="P433">
            <v>0.66666666666666663</v>
          </cell>
          <cell r="X433">
            <v>0.66666666666666663</v>
          </cell>
          <cell r="Y433">
            <v>0</v>
          </cell>
          <cell r="AC433">
            <v>0.66666666666666663</v>
          </cell>
          <cell r="AD433">
            <v>0</v>
          </cell>
          <cell r="AK433">
            <v>3.6666666666666665</v>
          </cell>
          <cell r="AL433">
            <v>0.66666666666666663</v>
          </cell>
        </row>
        <row r="434">
          <cell r="F434">
            <v>6.666666666666667</v>
          </cell>
          <cell r="G434">
            <v>2</v>
          </cell>
          <cell r="P434">
            <v>4.666666666666667</v>
          </cell>
          <cell r="X434">
            <v>3</v>
          </cell>
          <cell r="Y434">
            <v>1</v>
          </cell>
          <cell r="AC434">
            <v>2</v>
          </cell>
          <cell r="AD434">
            <v>1</v>
          </cell>
          <cell r="AK434">
            <v>33</v>
          </cell>
          <cell r="AL434">
            <v>18.666666666666668</v>
          </cell>
        </row>
        <row r="435">
          <cell r="F435">
            <v>0</v>
          </cell>
          <cell r="G435">
            <v>0</v>
          </cell>
          <cell r="P435">
            <v>0</v>
          </cell>
          <cell r="X435">
            <v>0</v>
          </cell>
          <cell r="Y435">
            <v>0</v>
          </cell>
          <cell r="AC435">
            <v>0</v>
          </cell>
          <cell r="AD435">
            <v>0</v>
          </cell>
          <cell r="AK435">
            <v>0</v>
          </cell>
          <cell r="AL435">
            <v>0</v>
          </cell>
        </row>
        <row r="436">
          <cell r="F436">
            <v>0</v>
          </cell>
          <cell r="G436">
            <v>0</v>
          </cell>
          <cell r="P436">
            <v>0</v>
          </cell>
          <cell r="X436">
            <v>0</v>
          </cell>
          <cell r="Y436">
            <v>0</v>
          </cell>
          <cell r="AC436">
            <v>0</v>
          </cell>
          <cell r="AD436">
            <v>0</v>
          </cell>
          <cell r="AK436">
            <v>0</v>
          </cell>
          <cell r="AL436">
            <v>53</v>
          </cell>
        </row>
        <row r="437">
          <cell r="F437">
            <v>1</v>
          </cell>
          <cell r="G437">
            <v>0</v>
          </cell>
          <cell r="P437">
            <v>0</v>
          </cell>
          <cell r="X437">
            <v>0</v>
          </cell>
          <cell r="Y437">
            <v>0</v>
          </cell>
          <cell r="AC437">
            <v>0</v>
          </cell>
          <cell r="AD437">
            <v>0</v>
          </cell>
          <cell r="AK437">
            <v>1</v>
          </cell>
          <cell r="AL437">
            <v>1</v>
          </cell>
        </row>
        <row r="438">
          <cell r="F438">
            <v>0</v>
          </cell>
          <cell r="G438">
            <v>0</v>
          </cell>
          <cell r="P438">
            <v>0</v>
          </cell>
          <cell r="X438">
            <v>0</v>
          </cell>
          <cell r="Y438">
            <v>0</v>
          </cell>
          <cell r="AC438">
            <v>0</v>
          </cell>
          <cell r="AD438">
            <v>0</v>
          </cell>
          <cell r="AK438">
            <v>0</v>
          </cell>
          <cell r="AL438">
            <v>0</v>
          </cell>
        </row>
        <row r="439">
          <cell r="F439">
            <v>0</v>
          </cell>
          <cell r="G439">
            <v>0</v>
          </cell>
          <cell r="P439">
            <v>0</v>
          </cell>
          <cell r="X439">
            <v>0</v>
          </cell>
          <cell r="Y439">
            <v>0</v>
          </cell>
          <cell r="AC439">
            <v>0</v>
          </cell>
          <cell r="AD439">
            <v>0</v>
          </cell>
          <cell r="AK439">
            <v>0</v>
          </cell>
          <cell r="AL439">
            <v>0</v>
          </cell>
        </row>
        <row r="440">
          <cell r="F440">
            <v>2.6666666666666665</v>
          </cell>
          <cell r="G440">
            <v>1</v>
          </cell>
          <cell r="P440">
            <v>1</v>
          </cell>
          <cell r="X440">
            <v>4</v>
          </cell>
          <cell r="Y440">
            <v>2</v>
          </cell>
          <cell r="AC440">
            <v>2</v>
          </cell>
          <cell r="AD440">
            <v>1</v>
          </cell>
          <cell r="AK440">
            <v>15.666666666666666</v>
          </cell>
          <cell r="AL440">
            <v>8</v>
          </cell>
        </row>
        <row r="441">
          <cell r="F441">
            <v>0</v>
          </cell>
          <cell r="G441">
            <v>0</v>
          </cell>
          <cell r="P441">
            <v>0</v>
          </cell>
          <cell r="X441">
            <v>0</v>
          </cell>
          <cell r="Y441">
            <v>0</v>
          </cell>
          <cell r="AC441">
            <v>0</v>
          </cell>
          <cell r="AD441">
            <v>0</v>
          </cell>
          <cell r="AK441">
            <v>0</v>
          </cell>
          <cell r="AL441">
            <v>0</v>
          </cell>
        </row>
        <row r="442">
          <cell r="F442">
            <v>0</v>
          </cell>
          <cell r="G442">
            <v>0</v>
          </cell>
          <cell r="P442">
            <v>0</v>
          </cell>
          <cell r="X442">
            <v>3.3333333333333335</v>
          </cell>
          <cell r="Y442">
            <v>1</v>
          </cell>
          <cell r="AC442">
            <v>0</v>
          </cell>
          <cell r="AD442">
            <v>0</v>
          </cell>
          <cell r="AK442">
            <v>3.3333333333333335</v>
          </cell>
          <cell r="AL442">
            <v>1</v>
          </cell>
        </row>
        <row r="443">
          <cell r="F443">
            <v>0.33333333333333331</v>
          </cell>
          <cell r="G443">
            <v>0</v>
          </cell>
          <cell r="P443">
            <v>0.33333333333333331</v>
          </cell>
          <cell r="X443">
            <v>0.33333333333333331</v>
          </cell>
          <cell r="Y443">
            <v>0</v>
          </cell>
          <cell r="AC443">
            <v>0.33333333333333331</v>
          </cell>
          <cell r="AD443">
            <v>0</v>
          </cell>
          <cell r="AK443">
            <v>1.9999999999999998</v>
          </cell>
          <cell r="AL443">
            <v>0.33333333333333331</v>
          </cell>
        </row>
        <row r="444">
          <cell r="F444">
            <v>0</v>
          </cell>
          <cell r="G444">
            <v>0</v>
          </cell>
          <cell r="P444">
            <v>0</v>
          </cell>
          <cell r="X444">
            <v>0</v>
          </cell>
          <cell r="Y444">
            <v>0</v>
          </cell>
          <cell r="AC444">
            <v>0</v>
          </cell>
          <cell r="AD444">
            <v>0</v>
          </cell>
          <cell r="AK444">
            <v>0</v>
          </cell>
          <cell r="AL444">
            <v>0</v>
          </cell>
        </row>
        <row r="445">
          <cell r="F445">
            <v>0</v>
          </cell>
          <cell r="G445">
            <v>0</v>
          </cell>
          <cell r="P445">
            <v>0</v>
          </cell>
          <cell r="X445">
            <v>0</v>
          </cell>
          <cell r="Y445">
            <v>0</v>
          </cell>
          <cell r="AC445">
            <v>0</v>
          </cell>
          <cell r="AD445">
            <v>0</v>
          </cell>
          <cell r="AK445">
            <v>0</v>
          </cell>
          <cell r="AL445">
            <v>0</v>
          </cell>
        </row>
        <row r="446">
          <cell r="F446">
            <v>0</v>
          </cell>
          <cell r="G446">
            <v>0</v>
          </cell>
          <cell r="P446">
            <v>0</v>
          </cell>
          <cell r="X446">
            <v>0</v>
          </cell>
          <cell r="Y446">
            <v>0</v>
          </cell>
          <cell r="AC446">
            <v>0</v>
          </cell>
          <cell r="AD446">
            <v>0</v>
          </cell>
          <cell r="AK446">
            <v>0</v>
          </cell>
          <cell r="AL446">
            <v>0</v>
          </cell>
        </row>
        <row r="447">
          <cell r="F447">
            <v>0</v>
          </cell>
          <cell r="G447">
            <v>0</v>
          </cell>
          <cell r="P447">
            <v>0</v>
          </cell>
          <cell r="X447">
            <v>0</v>
          </cell>
          <cell r="Y447">
            <v>0</v>
          </cell>
          <cell r="AC447">
            <v>0</v>
          </cell>
          <cell r="AD447">
            <v>0</v>
          </cell>
          <cell r="AK447">
            <v>0</v>
          </cell>
          <cell r="AL447">
            <v>0</v>
          </cell>
        </row>
        <row r="448">
          <cell r="F448">
            <v>0</v>
          </cell>
          <cell r="G448">
            <v>0</v>
          </cell>
          <cell r="P448">
            <v>0</v>
          </cell>
          <cell r="X448">
            <v>0</v>
          </cell>
          <cell r="Y448">
            <v>0</v>
          </cell>
          <cell r="AC448">
            <v>0</v>
          </cell>
          <cell r="AD448">
            <v>0</v>
          </cell>
          <cell r="AK448">
            <v>0</v>
          </cell>
          <cell r="AL448">
            <v>0</v>
          </cell>
        </row>
        <row r="449">
          <cell r="F449">
            <v>0</v>
          </cell>
          <cell r="G449">
            <v>0</v>
          </cell>
          <cell r="P449">
            <v>0</v>
          </cell>
          <cell r="X449">
            <v>0</v>
          </cell>
          <cell r="Y449">
            <v>0</v>
          </cell>
          <cell r="AC449">
            <v>0</v>
          </cell>
          <cell r="AD449">
            <v>0</v>
          </cell>
          <cell r="AK449">
            <v>0</v>
          </cell>
          <cell r="AL449">
            <v>0</v>
          </cell>
        </row>
        <row r="450">
          <cell r="G450">
            <v>0</v>
          </cell>
          <cell r="P450">
            <v>0</v>
          </cell>
          <cell r="X450">
            <v>0</v>
          </cell>
          <cell r="Y450">
            <v>0</v>
          </cell>
          <cell r="AC450">
            <v>0</v>
          </cell>
          <cell r="AD450">
            <v>0</v>
          </cell>
          <cell r="AK450">
            <v>0</v>
          </cell>
          <cell r="AL450">
            <v>2</v>
          </cell>
        </row>
        <row r="451">
          <cell r="P451">
            <v>0</v>
          </cell>
          <cell r="X451">
            <v>0</v>
          </cell>
          <cell r="Y451">
            <v>0</v>
          </cell>
          <cell r="AC451">
            <v>0</v>
          </cell>
          <cell r="AD451">
            <v>0</v>
          </cell>
          <cell r="AK451">
            <v>0</v>
          </cell>
          <cell r="AL451">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16">
          <cell r="AP16" t="str">
            <v>ЗАТВЕРДЖУЮ</v>
          </cell>
        </row>
        <row r="17">
          <cell r="C17" t="str">
            <v>І.В.ПЛАЧКОВ</v>
          </cell>
          <cell r="AP17" t="str">
            <v>ГОЛОВА ПРАЛІННЯ АК КЕ</v>
          </cell>
        </row>
        <row r="21">
          <cell r="AI21" t="str">
            <v xml:space="preserve">         Затверджую</v>
          </cell>
        </row>
        <row r="22">
          <cell r="AI22" t="str">
            <v xml:space="preserve"> Голова правління -</v>
          </cell>
          <cell r="AV22" t="str">
            <v>І.В.ПЛАЧКОВ</v>
          </cell>
        </row>
        <row r="23">
          <cell r="AI23" t="str">
            <v xml:space="preserve"> генеральний директор</v>
          </cell>
        </row>
        <row r="25">
          <cell r="P25">
            <v>848.2</v>
          </cell>
          <cell r="Q25">
            <v>0</v>
          </cell>
          <cell r="R25">
            <v>0</v>
          </cell>
          <cell r="S25">
            <v>5175.2666666666664</v>
          </cell>
          <cell r="T25">
            <v>4014.72</v>
          </cell>
          <cell r="U25">
            <v>1160.5466666666666</v>
          </cell>
          <cell r="V25">
            <v>0</v>
          </cell>
          <cell r="W25">
            <v>0</v>
          </cell>
          <cell r="X25">
            <v>1527.3</v>
          </cell>
          <cell r="Y25">
            <v>642</v>
          </cell>
          <cell r="Z25">
            <v>885.3</v>
          </cell>
          <cell r="AA25">
            <v>0</v>
          </cell>
          <cell r="AB25">
            <v>0</v>
          </cell>
          <cell r="AC25">
            <v>518.86666666666667</v>
          </cell>
          <cell r="AD25">
            <v>210</v>
          </cell>
          <cell r="AE25">
            <v>308.86666666666667</v>
          </cell>
          <cell r="AF25">
            <v>1768</v>
          </cell>
          <cell r="AG25">
            <v>1384</v>
          </cell>
          <cell r="AH25">
            <v>384</v>
          </cell>
          <cell r="AI25" t="str">
            <v xml:space="preserve">                        І.В.Плачков</v>
          </cell>
          <cell r="AJ25">
            <v>0</v>
          </cell>
          <cell r="AK25">
            <v>13885.633333333335</v>
          </cell>
          <cell r="AL25">
            <v>3102.2</v>
          </cell>
          <cell r="AM25">
            <v>10783.433333333334</v>
          </cell>
          <cell r="AN25">
            <v>10783.433333333332</v>
          </cell>
          <cell r="AO25">
            <v>852</v>
          </cell>
          <cell r="AP25">
            <v>2954</v>
          </cell>
          <cell r="AQ25">
            <v>2250.1999999999998</v>
          </cell>
          <cell r="AR25">
            <v>7829.4333333333343</v>
          </cell>
        </row>
        <row r="26">
          <cell r="AI26" t="str">
            <v xml:space="preserve">   "_____" ________2000 р.</v>
          </cell>
        </row>
        <row r="30">
          <cell r="C30" t="str">
            <v>ВИКОН.ДИР.ПЛАН</v>
          </cell>
          <cell r="D30" t="str">
            <v>Е/Е</v>
          </cell>
          <cell r="E30" t="str">
            <v xml:space="preserve"> Т/Е</v>
          </cell>
          <cell r="N30" t="str">
            <v xml:space="preserve">ККМ ПЛАН </v>
          </cell>
          <cell r="O30" t="str">
            <v>ЗВІТ</v>
          </cell>
          <cell r="P30" t="str">
            <v>ВІДХ.</v>
          </cell>
          <cell r="Q30" t="str">
            <v>КТМ ПЛАН</v>
          </cell>
          <cell r="R30" t="str">
            <v>ЗВІТ</v>
          </cell>
          <cell r="S30" t="str">
            <v>ВІДХ.</v>
          </cell>
          <cell r="T30" t="str">
            <v>ТЕЦ-5   ПЛАН</v>
          </cell>
          <cell r="U30" t="str">
            <v>Е/Е</v>
          </cell>
          <cell r="V30" t="str">
            <v xml:space="preserve"> Т/Е</v>
          </cell>
          <cell r="W30" t="str">
            <v>ЗВІТ</v>
          </cell>
          <cell r="X30" t="str">
            <v>ВІДХ.</v>
          </cell>
          <cell r="Y30" t="str">
            <v>ТЕЦ-6  ПЛАН</v>
          </cell>
          <cell r="Z30" t="str">
            <v>Е/Е</v>
          </cell>
          <cell r="AA30" t="str">
            <v xml:space="preserve"> Т/Е</v>
          </cell>
          <cell r="AB30" t="str">
            <v>ЗВІТ</v>
          </cell>
          <cell r="AC30" t="str">
            <v>ВІДХ.</v>
          </cell>
          <cell r="AD30" t="str">
            <v>ТРМ ВСЬОГО ПЛАН</v>
          </cell>
          <cell r="AE30" t="str">
            <v>ТРМ АК ПЛАН</v>
          </cell>
          <cell r="AF30" t="str">
            <v>ТРМ СТОР  ПЛАН</v>
          </cell>
          <cell r="AG30" t="str">
            <v>ТРМ ВСЬОГО ЗВІТ</v>
          </cell>
          <cell r="AH30" t="str">
            <v>ТРМ АК ЗВІТ</v>
          </cell>
          <cell r="AI30" t="str">
            <v>ТРМ СТОР  ЗВІТ</v>
          </cell>
          <cell r="AJ30" t="str">
            <v>відх всього</v>
          </cell>
          <cell r="AK30" t="str">
            <v>Е/Е</v>
          </cell>
          <cell r="AL30" t="str">
            <v xml:space="preserve"> Т/Е</v>
          </cell>
          <cell r="AN30" t="str">
            <v>ДОП.ВИР. ПЛАН</v>
          </cell>
          <cell r="AO30" t="str">
            <v>ЗВІТ</v>
          </cell>
          <cell r="AP30" t="str">
            <v>АК КЕ  ПЛАН</v>
          </cell>
          <cell r="AQ30" t="str">
            <v xml:space="preserve"> Е/Е</v>
          </cell>
          <cell r="AR30" t="str">
            <v xml:space="preserve"> Т/Е</v>
          </cell>
          <cell r="AS30" t="str">
            <v>ЗВІТ</v>
          </cell>
          <cell r="AT30" t="str">
            <v>відх</v>
          </cell>
          <cell r="AU30" t="str">
            <v>СТАНЦІї ЕЛЕКТРО</v>
          </cell>
          <cell r="AV30" t="str">
            <v>СТАНЦІІ ТЕПЛОВІ</v>
          </cell>
          <cell r="AW30" t="str">
            <v>МЕРЕЖІ ЕЛЕКТРО</v>
          </cell>
          <cell r="AX30" t="str">
            <v>МЕРЕЖІ ТЕПЛОВІ</v>
          </cell>
        </row>
        <row r="31">
          <cell r="P31" t="str">
            <v>+</v>
          </cell>
          <cell r="S31" t="str">
            <v>-</v>
          </cell>
          <cell r="U31">
            <v>330</v>
          </cell>
          <cell r="Z31">
            <v>298</v>
          </cell>
          <cell r="AF31" t="str">
            <v>+</v>
          </cell>
          <cell r="AQ31">
            <v>628</v>
          </cell>
        </row>
        <row r="32">
          <cell r="Q32" t="str">
            <v>КТМ</v>
          </cell>
          <cell r="U32">
            <v>291.85000000000002</v>
          </cell>
          <cell r="V32" t="str">
            <v xml:space="preserve">ТЕЦ-5 </v>
          </cell>
          <cell r="Z32">
            <v>268.14999999999998</v>
          </cell>
          <cell r="AA32" t="str">
            <v xml:space="preserve">ТЕЦ-6 </v>
          </cell>
          <cell r="AQ32">
            <v>560</v>
          </cell>
        </row>
        <row r="33">
          <cell r="AQ33">
            <v>0</v>
          </cell>
        </row>
        <row r="34">
          <cell r="P34" t="str">
            <v xml:space="preserve">КМ </v>
          </cell>
          <cell r="S34" t="str">
            <v xml:space="preserve">ТМ </v>
          </cell>
          <cell r="T34" t="str">
            <v>ВИРОБН</v>
          </cell>
          <cell r="U34" t="str">
            <v>ПЕРЕД</v>
          </cell>
          <cell r="X34" t="str">
            <v>ТЕЦ-5 ВСЬОГО</v>
          </cell>
          <cell r="Y34" t="str">
            <v>Е/Е</v>
          </cell>
          <cell r="Z34" t="str">
            <v xml:space="preserve"> Т/Е</v>
          </cell>
          <cell r="AC34" t="str">
            <v>ТЕЦ-6 ВСЬОГО</v>
          </cell>
          <cell r="AD34" t="str">
            <v>Е/Е</v>
          </cell>
          <cell r="AE34" t="str">
            <v xml:space="preserve"> Т/Е</v>
          </cell>
          <cell r="AF34" t="str">
            <v>ТРМ ВСЬОГО</v>
          </cell>
          <cell r="AG34" t="str">
            <v>ТРМ  АК КЕ</v>
          </cell>
          <cell r="AH34" t="str">
            <v>ТРМ СТОР</v>
          </cell>
          <cell r="AI34" t="str">
            <v xml:space="preserve">ДОП.ВИР. </v>
          </cell>
          <cell r="AJ34" t="str">
            <v>ДОП.ВИР. СТ.ОРГ.</v>
          </cell>
          <cell r="AK34" t="str">
            <v>АК КЕ ВСЬОГО</v>
          </cell>
          <cell r="AL34" t="str">
            <v xml:space="preserve"> Е/Е</v>
          </cell>
          <cell r="AM34" t="str">
            <v xml:space="preserve"> Т/Е</v>
          </cell>
          <cell r="AN34" t="str">
            <v>СТАНЦІї ЕЛЕКТРО</v>
          </cell>
          <cell r="AO34" t="str">
            <v>СТАНЦІІ ТЕПЛОВІ</v>
          </cell>
          <cell r="AP34" t="str">
            <v>МЕРЕЖІ ЕЛЕКТРО</v>
          </cell>
          <cell r="AQ34">
            <v>0</v>
          </cell>
          <cell r="AR34" t="str">
            <v>МЕРЕЖІ ТЕПЛОВІ</v>
          </cell>
        </row>
        <row r="35">
          <cell r="AL35">
            <v>395</v>
          </cell>
          <cell r="AQ35">
            <v>32</v>
          </cell>
        </row>
        <row r="36">
          <cell r="AL36">
            <v>336</v>
          </cell>
          <cell r="AQ36">
            <v>0</v>
          </cell>
        </row>
        <row r="37">
          <cell r="AL37">
            <v>0</v>
          </cell>
          <cell r="AQ37">
            <v>500</v>
          </cell>
        </row>
        <row r="38">
          <cell r="N38">
            <v>0</v>
          </cell>
          <cell r="AQ38">
            <v>468</v>
          </cell>
        </row>
        <row r="39">
          <cell r="C39">
            <v>33768.100621212121</v>
          </cell>
          <cell r="N39">
            <v>6918.5707272727286</v>
          </cell>
          <cell r="O39">
            <v>6571</v>
          </cell>
          <cell r="P39">
            <v>-347.57072727272862</v>
          </cell>
          <cell r="Q39">
            <v>22108.007454545455</v>
          </cell>
          <cell r="R39">
            <v>23576</v>
          </cell>
          <cell r="S39">
            <v>1467.9925454545446</v>
          </cell>
          <cell r="T39">
            <v>6545.5823636363884</v>
          </cell>
          <cell r="W39">
            <v>8380</v>
          </cell>
          <cell r="X39">
            <v>1834.4176363636116</v>
          </cell>
          <cell r="Y39">
            <v>3583.0152727272871</v>
          </cell>
          <cell r="Z39">
            <v>1208</v>
          </cell>
          <cell r="AA39">
            <v>2300.067272727274</v>
          </cell>
          <cell r="AB39">
            <v>5452</v>
          </cell>
          <cell r="AC39">
            <v>1868.9847272727129</v>
          </cell>
          <cell r="AD39">
            <v>11439.317757575758</v>
          </cell>
          <cell r="AG39">
            <v>8513</v>
          </cell>
          <cell r="AH39">
            <v>6481</v>
          </cell>
          <cell r="AI39">
            <v>2032</v>
          </cell>
          <cell r="AJ39">
            <v>-2926.3177575757582</v>
          </cell>
          <cell r="AL39">
            <v>0</v>
          </cell>
          <cell r="AN39" t="e">
            <v>#REF!</v>
          </cell>
        </row>
        <row r="40">
          <cell r="C40">
            <v>9058.3461515151503</v>
          </cell>
          <cell r="AL40">
            <v>0</v>
          </cell>
        </row>
        <row r="41">
          <cell r="C41">
            <v>1249.181818181818</v>
          </cell>
          <cell r="D41">
            <v>443</v>
          </cell>
          <cell r="E41">
            <v>806.18181818181813</v>
          </cell>
          <cell r="N41">
            <v>2372.272727272727</v>
          </cell>
          <cell r="Q41">
            <v>5435.727272727273</v>
          </cell>
          <cell r="T41">
            <v>2142.727272727273</v>
          </cell>
          <cell r="U41">
            <v>846</v>
          </cell>
          <cell r="V41">
            <v>1296.7272727272727</v>
          </cell>
          <cell r="Y41">
            <v>1732.7272727272727</v>
          </cell>
          <cell r="Z41">
            <v>647</v>
          </cell>
          <cell r="AA41">
            <v>1085.7272727272727</v>
          </cell>
          <cell r="AE41">
            <v>4482.6363636363631</v>
          </cell>
          <cell r="AG41">
            <v>4464</v>
          </cell>
          <cell r="AH41">
            <v>3202</v>
          </cell>
          <cell r="AL41">
            <v>395.6</v>
          </cell>
          <cell r="AN41" t="e">
            <v>#REF!</v>
          </cell>
          <cell r="AR41">
            <v>2382.4545454545455</v>
          </cell>
        </row>
        <row r="42">
          <cell r="P42">
            <v>0</v>
          </cell>
          <cell r="Q42">
            <v>970</v>
          </cell>
          <cell r="V42">
            <v>750</v>
          </cell>
          <cell r="AA42">
            <v>590</v>
          </cell>
          <cell r="AL42">
            <v>395.6</v>
          </cell>
          <cell r="AR42">
            <v>2095</v>
          </cell>
        </row>
        <row r="43">
          <cell r="AM43">
            <v>1580</v>
          </cell>
        </row>
        <row r="44">
          <cell r="AM44">
            <v>0</v>
          </cell>
        </row>
        <row r="45">
          <cell r="AM45">
            <v>1580</v>
          </cell>
        </row>
        <row r="46">
          <cell r="C46">
            <v>915.17599999999993</v>
          </cell>
          <cell r="D46">
            <v>327</v>
          </cell>
          <cell r="E46">
            <v>588.17599999999993</v>
          </cell>
          <cell r="N46">
            <v>1361.5680000000002</v>
          </cell>
          <cell r="O46">
            <v>1204</v>
          </cell>
          <cell r="P46">
            <v>-157.56800000000021</v>
          </cell>
          <cell r="Q46">
            <v>1683.0160000000001</v>
          </cell>
          <cell r="R46">
            <v>2125</v>
          </cell>
          <cell r="S46">
            <v>441.98399999999992</v>
          </cell>
          <cell r="T46">
            <v>419.488</v>
          </cell>
          <cell r="U46">
            <v>155</v>
          </cell>
          <cell r="V46">
            <v>264.488</v>
          </cell>
          <cell r="W46">
            <v>431</v>
          </cell>
          <cell r="X46">
            <v>11.512</v>
          </cell>
          <cell r="Y46">
            <v>522.74400000000003</v>
          </cell>
          <cell r="Z46">
            <v>197</v>
          </cell>
          <cell r="AA46">
            <v>325.74400000000003</v>
          </cell>
          <cell r="AB46">
            <v>400</v>
          </cell>
          <cell r="AC46">
            <v>-122.74400000000003</v>
          </cell>
          <cell r="AD46">
            <v>998.3413333333333</v>
          </cell>
          <cell r="AE46">
            <v>844.68000000000006</v>
          </cell>
          <cell r="AF46">
            <v>153.66133333333323</v>
          </cell>
          <cell r="AG46">
            <v>1087</v>
          </cell>
          <cell r="AH46">
            <v>292</v>
          </cell>
          <cell r="AI46">
            <v>134</v>
          </cell>
          <cell r="AJ46">
            <v>88.658666666666704</v>
          </cell>
          <cell r="AN46">
            <v>0</v>
          </cell>
          <cell r="AP46">
            <v>6000.3919999999998</v>
          </cell>
          <cell r="AQ46">
            <v>2219.1680000000001</v>
          </cell>
          <cell r="AR46">
            <v>3781.2239999999997</v>
          </cell>
          <cell r="AS46">
            <v>4452</v>
          </cell>
          <cell r="AT46">
            <v>-1548.3919999999998</v>
          </cell>
          <cell r="AU46">
            <v>352</v>
          </cell>
          <cell r="AV46">
            <v>1162</v>
          </cell>
          <cell r="AW46">
            <v>1867.1680000000001</v>
          </cell>
          <cell r="AX46">
            <v>2619.2239999999997</v>
          </cell>
        </row>
        <row r="47">
          <cell r="E47">
            <v>0</v>
          </cell>
          <cell r="P47">
            <v>1</v>
          </cell>
          <cell r="Q47">
            <v>1473.1853333333333</v>
          </cell>
          <cell r="S47">
            <v>1</v>
          </cell>
          <cell r="T47">
            <v>145.25866666666667</v>
          </cell>
          <cell r="U47">
            <v>53</v>
          </cell>
          <cell r="V47">
            <v>92.25866666666667</v>
          </cell>
          <cell r="X47">
            <v>1</v>
          </cell>
          <cell r="Y47">
            <v>100.22533333333334</v>
          </cell>
          <cell r="Z47">
            <v>38</v>
          </cell>
          <cell r="AA47">
            <v>62.225333333333339</v>
          </cell>
          <cell r="AC47">
            <v>-100.22533333333334</v>
          </cell>
          <cell r="AD47">
            <v>698.17071999999996</v>
          </cell>
          <cell r="AE47">
            <v>625.88250014266646</v>
          </cell>
          <cell r="AF47">
            <v>1</v>
          </cell>
          <cell r="AG47">
            <v>1</v>
          </cell>
          <cell r="AH47">
            <v>1</v>
          </cell>
          <cell r="AP47">
            <v>2344.551833476</v>
          </cell>
        </row>
        <row r="48">
          <cell r="E48">
            <v>0</v>
          </cell>
          <cell r="Q48">
            <v>0</v>
          </cell>
          <cell r="T48">
            <v>95.642666666666656</v>
          </cell>
          <cell r="U48">
            <v>39</v>
          </cell>
          <cell r="V48">
            <v>56.642666666666656</v>
          </cell>
          <cell r="Y48">
            <v>206.52799999999999</v>
          </cell>
          <cell r="Z48">
            <v>80</v>
          </cell>
          <cell r="AA48">
            <v>126.52799999999999</v>
          </cell>
          <cell r="AC48">
            <v>-206.52799999999999</v>
          </cell>
          <cell r="AD48">
            <v>0</v>
          </cell>
          <cell r="AE48">
            <v>0</v>
          </cell>
          <cell r="AP48">
            <v>302.17066666666665</v>
          </cell>
        </row>
        <row r="49">
          <cell r="E49">
            <v>0</v>
          </cell>
          <cell r="P49">
            <v>502</v>
          </cell>
          <cell r="Q49">
            <v>113.33333333333334</v>
          </cell>
          <cell r="S49">
            <v>413</v>
          </cell>
          <cell r="T49">
            <v>48.626666666666665</v>
          </cell>
          <cell r="U49">
            <v>22</v>
          </cell>
          <cell r="V49">
            <v>26.626666666666665</v>
          </cell>
          <cell r="X49">
            <v>258</v>
          </cell>
          <cell r="Y49">
            <v>65.784000000000006</v>
          </cell>
          <cell r="Z49">
            <v>25</v>
          </cell>
          <cell r="AA49">
            <v>40.784000000000006</v>
          </cell>
          <cell r="AC49">
            <v>-65.784000000000006</v>
          </cell>
          <cell r="AD49">
            <v>50.74026666666667</v>
          </cell>
          <cell r="AE49">
            <v>48.597208235490712</v>
          </cell>
          <cell r="AF49">
            <v>336</v>
          </cell>
          <cell r="AG49">
            <v>300</v>
          </cell>
          <cell r="AH49">
            <v>36</v>
          </cell>
          <cell r="AK49">
            <v>2095</v>
          </cell>
          <cell r="AL49">
            <v>842</v>
          </cell>
          <cell r="AM49">
            <v>1253</v>
          </cell>
          <cell r="AN49">
            <v>151</v>
          </cell>
          <cell r="AO49">
            <v>465</v>
          </cell>
          <cell r="AP49">
            <v>276.34120823549074</v>
          </cell>
          <cell r="AQ49">
            <v>788</v>
          </cell>
          <cell r="AR49">
            <v>1999</v>
          </cell>
        </row>
        <row r="50">
          <cell r="C50">
            <v>10.266666666666667</v>
          </cell>
          <cell r="D50">
            <v>2</v>
          </cell>
          <cell r="E50">
            <v>8.2666666666666675</v>
          </cell>
          <cell r="N50">
            <v>93.024000000000001</v>
          </cell>
          <cell r="O50">
            <v>121</v>
          </cell>
          <cell r="P50">
            <v>27.975999999999999</v>
          </cell>
          <cell r="Q50">
            <v>1194.9680000000001</v>
          </cell>
          <cell r="R50">
            <v>1386</v>
          </cell>
          <cell r="S50">
            <v>191.03199999999993</v>
          </cell>
          <cell r="T50">
            <v>2642.7440000000001</v>
          </cell>
          <cell r="U50">
            <v>1031</v>
          </cell>
          <cell r="V50">
            <v>1611.7440000000001</v>
          </cell>
          <cell r="W50">
            <v>2636</v>
          </cell>
          <cell r="X50">
            <v>-6.7440000000001419</v>
          </cell>
          <cell r="Y50">
            <v>235.624</v>
          </cell>
          <cell r="Z50">
            <v>87</v>
          </cell>
          <cell r="AA50">
            <v>148.624</v>
          </cell>
          <cell r="AB50">
            <v>292</v>
          </cell>
          <cell r="AC50">
            <v>56.376000000000005</v>
          </cell>
          <cell r="AD50">
            <v>446.35733333333337</v>
          </cell>
          <cell r="AE50">
            <v>369.72</v>
          </cell>
          <cell r="AF50">
            <v>76.637333333333345</v>
          </cell>
          <cell r="AG50">
            <v>288</v>
          </cell>
          <cell r="AH50">
            <v>601</v>
          </cell>
          <cell r="AI50">
            <v>56</v>
          </cell>
          <cell r="AJ50">
            <v>-158.35733333333337</v>
          </cell>
          <cell r="AK50">
            <v>1026.8333333333333</v>
          </cell>
          <cell r="AL50">
            <v>167</v>
          </cell>
          <cell r="AM50">
            <v>859.83333333333326</v>
          </cell>
          <cell r="AN50">
            <v>0</v>
          </cell>
          <cell r="AP50">
            <v>4507.7466666666669</v>
          </cell>
          <cell r="AQ50">
            <v>1218.424</v>
          </cell>
          <cell r="AR50">
            <v>3289.3226666666669</v>
          </cell>
          <cell r="AS50">
            <v>5036</v>
          </cell>
          <cell r="AT50">
            <v>528.2533333333331</v>
          </cell>
          <cell r="AU50">
            <v>1118</v>
          </cell>
          <cell r="AV50">
            <v>2167</v>
          </cell>
          <cell r="AW50">
            <v>100.42399999999998</v>
          </cell>
          <cell r="AX50">
            <v>1122.3226666666669</v>
          </cell>
        </row>
        <row r="51">
          <cell r="C51">
            <v>0</v>
          </cell>
          <cell r="D51">
            <v>0</v>
          </cell>
          <cell r="E51">
            <v>0</v>
          </cell>
          <cell r="N51">
            <v>0</v>
          </cell>
          <cell r="P51">
            <v>0</v>
          </cell>
          <cell r="Q51">
            <v>60.8</v>
          </cell>
          <cell r="R51">
            <v>54</v>
          </cell>
          <cell r="S51">
            <v>-6.7999999999999972</v>
          </cell>
          <cell r="T51">
            <v>2406.6</v>
          </cell>
          <cell r="U51">
            <v>943</v>
          </cell>
          <cell r="V51">
            <v>1463.6</v>
          </cell>
          <cell r="W51">
            <v>2407</v>
          </cell>
          <cell r="X51">
            <v>0.40000000000009095</v>
          </cell>
          <cell r="Y51">
            <v>38.200000000000003</v>
          </cell>
          <cell r="Z51">
            <v>15</v>
          </cell>
          <cell r="AA51">
            <v>23.200000000000003</v>
          </cell>
          <cell r="AB51">
            <v>20</v>
          </cell>
          <cell r="AC51">
            <v>-18.200000000000003</v>
          </cell>
          <cell r="AD51">
            <v>0</v>
          </cell>
          <cell r="AE51">
            <v>0</v>
          </cell>
          <cell r="AF51">
            <v>0</v>
          </cell>
          <cell r="AH51">
            <v>0</v>
          </cell>
          <cell r="AI51">
            <v>0</v>
          </cell>
          <cell r="AJ51">
            <v>0</v>
          </cell>
          <cell r="AK51">
            <v>66</v>
          </cell>
          <cell r="AL51">
            <v>22</v>
          </cell>
          <cell r="AM51">
            <v>44</v>
          </cell>
          <cell r="AN51">
            <v>82</v>
          </cell>
          <cell r="AP51">
            <v>2505.6</v>
          </cell>
          <cell r="AQ51">
            <v>958</v>
          </cell>
          <cell r="AR51">
            <v>1547.6</v>
          </cell>
          <cell r="AS51">
            <v>2481</v>
          </cell>
          <cell r="AT51">
            <v>-24.599999999999909</v>
          </cell>
          <cell r="AU51">
            <v>958</v>
          </cell>
          <cell r="AV51">
            <v>1507</v>
          </cell>
          <cell r="AW51">
            <v>0</v>
          </cell>
          <cell r="AX51">
            <v>40.599999999999909</v>
          </cell>
        </row>
        <row r="52">
          <cell r="C52">
            <v>0</v>
          </cell>
          <cell r="D52">
            <v>0</v>
          </cell>
          <cell r="E52">
            <v>0</v>
          </cell>
          <cell r="N52">
            <v>0</v>
          </cell>
          <cell r="P52">
            <v>0</v>
          </cell>
          <cell r="Q52">
            <v>54080</v>
          </cell>
          <cell r="R52">
            <v>61402</v>
          </cell>
          <cell r="S52">
            <v>7322</v>
          </cell>
          <cell r="T52">
            <v>109560</v>
          </cell>
          <cell r="U52">
            <v>66108.347560975613</v>
          </cell>
          <cell r="V52">
            <v>43451.652439024387</v>
          </cell>
          <cell r="W52">
            <v>93632</v>
          </cell>
          <cell r="X52">
            <v>-15928</v>
          </cell>
          <cell r="Y52">
            <v>90327</v>
          </cell>
          <cell r="Z52">
            <v>51744.750161952055</v>
          </cell>
          <cell r="AA52">
            <v>38582.249838047945</v>
          </cell>
          <cell r="AB52">
            <v>76301</v>
          </cell>
          <cell r="AC52">
            <v>-14026</v>
          </cell>
          <cell r="AD52">
            <v>0</v>
          </cell>
          <cell r="AE52">
            <v>0</v>
          </cell>
          <cell r="AF52">
            <v>0</v>
          </cell>
          <cell r="AG52">
            <v>32</v>
          </cell>
          <cell r="AH52">
            <v>0</v>
          </cell>
          <cell r="AI52">
            <v>0</v>
          </cell>
          <cell r="AJ52">
            <v>0</v>
          </cell>
          <cell r="AK52">
            <v>160</v>
          </cell>
          <cell r="AL52">
            <v>44</v>
          </cell>
          <cell r="AM52">
            <v>116</v>
          </cell>
          <cell r="AN52">
            <v>0</v>
          </cell>
          <cell r="AP52">
            <v>253968</v>
          </cell>
          <cell r="AQ52">
            <v>117854.09772292766</v>
          </cell>
          <cell r="AR52">
            <v>136113.90227707234</v>
          </cell>
          <cell r="AS52">
            <v>231335</v>
          </cell>
          <cell r="AT52">
            <v>-22633</v>
          </cell>
          <cell r="AU52">
            <v>117853.09772292766</v>
          </cell>
          <cell r="AV52">
            <v>136114</v>
          </cell>
          <cell r="AW52">
            <v>1</v>
          </cell>
          <cell r="AX52">
            <v>-9.7722927661379799E-2</v>
          </cell>
        </row>
        <row r="53">
          <cell r="C53">
            <v>0</v>
          </cell>
          <cell r="D53">
            <v>0</v>
          </cell>
          <cell r="E53">
            <v>0</v>
          </cell>
          <cell r="N53">
            <v>0</v>
          </cell>
          <cell r="P53">
            <v>0</v>
          </cell>
          <cell r="Q53">
            <v>54080</v>
          </cell>
          <cell r="R53">
            <v>61402</v>
          </cell>
          <cell r="S53">
            <v>7322</v>
          </cell>
          <cell r="T53">
            <v>109560</v>
          </cell>
          <cell r="U53">
            <v>66108.347560975613</v>
          </cell>
          <cell r="V53">
            <v>43451.652439024387</v>
          </cell>
          <cell r="W53">
            <v>93632</v>
          </cell>
          <cell r="X53">
            <v>-15928</v>
          </cell>
          <cell r="Y53">
            <v>90327</v>
          </cell>
          <cell r="Z53">
            <v>51744.750161952055</v>
          </cell>
          <cell r="AA53">
            <v>38582.249838047945</v>
          </cell>
          <cell r="AB53">
            <v>46301</v>
          </cell>
          <cell r="AC53">
            <v>-44026</v>
          </cell>
          <cell r="AD53">
            <v>0</v>
          </cell>
          <cell r="AE53">
            <v>0</v>
          </cell>
          <cell r="AF53">
            <v>0</v>
          </cell>
          <cell r="AG53">
            <v>201</v>
          </cell>
          <cell r="AH53">
            <v>4</v>
          </cell>
          <cell r="AI53">
            <v>0</v>
          </cell>
          <cell r="AJ53">
            <v>0</v>
          </cell>
          <cell r="AK53">
            <v>1358.3333333333333</v>
          </cell>
          <cell r="AL53">
            <v>281</v>
          </cell>
          <cell r="AM53">
            <v>1077.3333333333333</v>
          </cell>
          <cell r="AN53">
            <v>219</v>
          </cell>
          <cell r="AO53">
            <v>614</v>
          </cell>
          <cell r="AP53">
            <v>253967</v>
          </cell>
          <cell r="AQ53">
            <v>117853.09772292766</v>
          </cell>
          <cell r="AR53">
            <v>136113.90227707234</v>
          </cell>
          <cell r="AS53">
            <v>201335</v>
          </cell>
          <cell r="AT53">
            <v>-52632</v>
          </cell>
          <cell r="AU53">
            <v>117853.09772292766</v>
          </cell>
          <cell r="AV53">
            <v>136114</v>
          </cell>
          <cell r="AW53">
            <v>0</v>
          </cell>
          <cell r="AX53">
            <v>-9.7722927661379799E-2</v>
          </cell>
        </row>
        <row r="54">
          <cell r="C54">
            <v>0</v>
          </cell>
          <cell r="D54">
            <v>0</v>
          </cell>
          <cell r="E54">
            <v>0</v>
          </cell>
          <cell r="N54">
            <v>0</v>
          </cell>
          <cell r="P54">
            <v>0</v>
          </cell>
          <cell r="Q54">
            <v>0</v>
          </cell>
          <cell r="S54">
            <v>0</v>
          </cell>
          <cell r="T54">
            <v>0</v>
          </cell>
          <cell r="U54">
            <v>0</v>
          </cell>
          <cell r="X54">
            <v>477</v>
          </cell>
          <cell r="Y54">
            <v>0</v>
          </cell>
          <cell r="Z54">
            <v>0</v>
          </cell>
          <cell r="AA54">
            <v>0</v>
          </cell>
          <cell r="AC54">
            <v>14</v>
          </cell>
          <cell r="AD54">
            <v>0</v>
          </cell>
          <cell r="AE54">
            <v>0</v>
          </cell>
          <cell r="AF54">
            <v>0</v>
          </cell>
          <cell r="AH54">
            <v>0</v>
          </cell>
          <cell r="AK54">
            <v>512</v>
          </cell>
          <cell r="AL54">
            <v>153</v>
          </cell>
          <cell r="AM54">
            <v>359</v>
          </cell>
          <cell r="AN54">
            <v>153</v>
          </cell>
          <cell r="AO54">
            <v>345</v>
          </cell>
          <cell r="AP54">
            <v>0</v>
          </cell>
          <cell r="AQ54">
            <v>14</v>
          </cell>
          <cell r="AR54">
            <v>9</v>
          </cell>
          <cell r="AS54">
            <v>0</v>
          </cell>
          <cell r="AT54">
            <v>0</v>
          </cell>
          <cell r="AV54">
            <v>0</v>
          </cell>
        </row>
        <row r="55">
          <cell r="C55">
            <v>16.399999999999999</v>
          </cell>
          <cell r="D55">
            <v>6</v>
          </cell>
          <cell r="E55">
            <v>10.399999999999999</v>
          </cell>
          <cell r="N55">
            <v>157.33600000000001</v>
          </cell>
          <cell r="O55">
            <v>140</v>
          </cell>
          <cell r="P55">
            <v>-17.336000000000013</v>
          </cell>
          <cell r="Q55">
            <v>9035.0240000000013</v>
          </cell>
          <cell r="R55">
            <v>8493</v>
          </cell>
          <cell r="S55">
            <v>-542.02400000000125</v>
          </cell>
          <cell r="T55">
            <v>0</v>
          </cell>
          <cell r="U55">
            <v>0</v>
          </cell>
          <cell r="V55">
            <v>0</v>
          </cell>
          <cell r="X55">
            <v>0</v>
          </cell>
          <cell r="Y55">
            <v>0</v>
          </cell>
          <cell r="Z55">
            <v>0</v>
          </cell>
          <cell r="AA55">
            <v>0</v>
          </cell>
          <cell r="AB55">
            <v>0</v>
          </cell>
          <cell r="AC55">
            <v>0</v>
          </cell>
          <cell r="AD55">
            <v>2239.04</v>
          </cell>
          <cell r="AE55">
            <v>996.67200000000003</v>
          </cell>
          <cell r="AF55">
            <v>1242.3679999999999</v>
          </cell>
          <cell r="AG55">
            <v>809</v>
          </cell>
          <cell r="AH55">
            <v>810</v>
          </cell>
          <cell r="AI55">
            <v>1225</v>
          </cell>
          <cell r="AJ55">
            <v>-1430.04</v>
          </cell>
          <cell r="AK55">
            <v>69776</v>
          </cell>
          <cell r="AL55">
            <v>24610.574995654941</v>
          </cell>
          <cell r="AM55">
            <v>45165.425004345059</v>
          </cell>
          <cell r="AN55">
            <v>0</v>
          </cell>
          <cell r="AO55">
            <v>45165</v>
          </cell>
          <cell r="AP55">
            <v>10205.432000000003</v>
          </cell>
          <cell r="AQ55">
            <v>163.33600000000001</v>
          </cell>
          <cell r="AR55">
            <v>10042.096000000003</v>
          </cell>
          <cell r="AS55">
            <v>9442</v>
          </cell>
          <cell r="AT55">
            <v>-763.43200000000252</v>
          </cell>
          <cell r="AU55">
            <v>0</v>
          </cell>
          <cell r="AV55">
            <v>3072</v>
          </cell>
          <cell r="AW55">
            <v>163.33600000000001</v>
          </cell>
          <cell r="AX55">
            <v>6970.0960000000032</v>
          </cell>
        </row>
        <row r="56">
          <cell r="C56">
            <v>911.18181818181813</v>
          </cell>
          <cell r="D56">
            <v>310</v>
          </cell>
          <cell r="E56">
            <v>601.18181818181813</v>
          </cell>
          <cell r="N56">
            <v>1568.2727272727273</v>
          </cell>
          <cell r="O56">
            <v>1303</v>
          </cell>
          <cell r="P56">
            <v>-265.27272727272725</v>
          </cell>
          <cell r="Q56">
            <v>3026</v>
          </cell>
          <cell r="R56">
            <v>2369</v>
          </cell>
          <cell r="S56">
            <v>-657</v>
          </cell>
          <cell r="T56">
            <v>966.72727272727275</v>
          </cell>
          <cell r="U56">
            <v>384</v>
          </cell>
          <cell r="V56">
            <v>582.72727272727275</v>
          </cell>
          <cell r="W56">
            <v>745</v>
          </cell>
          <cell r="X56">
            <v>-221.72727272727275</v>
          </cell>
          <cell r="Y56">
            <v>825.72727272727275</v>
          </cell>
          <cell r="Z56">
            <v>308</v>
          </cell>
          <cell r="AA56">
            <v>517.72727272727275</v>
          </cell>
          <cell r="AB56">
            <v>662</v>
          </cell>
          <cell r="AC56">
            <v>-163.72727272727275</v>
          </cell>
          <cell r="AD56">
            <v>3267.5454545454545</v>
          </cell>
          <cell r="AE56">
            <v>2998.5454545454545</v>
          </cell>
          <cell r="AF56">
            <v>269</v>
          </cell>
          <cell r="AG56">
            <v>2563</v>
          </cell>
          <cell r="AH56">
            <v>1747</v>
          </cell>
          <cell r="AI56">
            <v>306</v>
          </cell>
          <cell r="AJ56">
            <v>-704.5454545454545</v>
          </cell>
          <cell r="AK56">
            <v>69776</v>
          </cell>
          <cell r="AL56">
            <v>24610.574995654941</v>
          </cell>
          <cell r="AM56">
            <v>45165.425004345059</v>
          </cell>
          <cell r="AN56">
            <v>0</v>
          </cell>
          <cell r="AO56">
            <v>45165</v>
          </cell>
          <cell r="AP56">
            <v>11067.454545454546</v>
          </cell>
          <cell r="AQ56">
            <v>3079.090909090909</v>
          </cell>
          <cell r="AR56">
            <v>7988.3636363636369</v>
          </cell>
          <cell r="AS56">
            <v>6826</v>
          </cell>
          <cell r="AT56">
            <v>-4241.454545454546</v>
          </cell>
          <cell r="AU56">
            <v>692</v>
          </cell>
          <cell r="AV56">
            <v>2129</v>
          </cell>
          <cell r="AW56">
            <v>2387.090909090909</v>
          </cell>
          <cell r="AX56">
            <v>5859.3636363636369</v>
          </cell>
        </row>
        <row r="57">
          <cell r="C57">
            <v>49</v>
          </cell>
          <cell r="D57">
            <v>16</v>
          </cell>
          <cell r="E57">
            <v>33</v>
          </cell>
          <cell r="N57">
            <v>86</v>
          </cell>
          <cell r="O57">
            <v>70</v>
          </cell>
          <cell r="P57">
            <v>-16</v>
          </cell>
          <cell r="Q57">
            <v>166</v>
          </cell>
          <cell r="R57">
            <v>129</v>
          </cell>
          <cell r="S57">
            <v>-37</v>
          </cell>
          <cell r="T57">
            <v>53</v>
          </cell>
          <cell r="U57">
            <v>22</v>
          </cell>
          <cell r="V57">
            <v>31</v>
          </cell>
          <cell r="W57">
            <v>39</v>
          </cell>
          <cell r="X57">
            <v>-14</v>
          </cell>
          <cell r="Y57">
            <v>45</v>
          </cell>
          <cell r="Z57">
            <v>17</v>
          </cell>
          <cell r="AA57">
            <v>28</v>
          </cell>
          <cell r="AB57">
            <v>35</v>
          </cell>
          <cell r="AC57">
            <v>-10</v>
          </cell>
          <cell r="AD57">
            <v>180</v>
          </cell>
          <cell r="AE57">
            <v>165</v>
          </cell>
          <cell r="AF57">
            <v>15</v>
          </cell>
          <cell r="AG57">
            <v>136</v>
          </cell>
          <cell r="AH57">
            <v>96</v>
          </cell>
          <cell r="AI57">
            <v>18</v>
          </cell>
          <cell r="AJ57">
            <v>-44</v>
          </cell>
          <cell r="AK57">
            <v>0</v>
          </cell>
          <cell r="AL57">
            <v>0</v>
          </cell>
          <cell r="AM57">
            <v>0</v>
          </cell>
          <cell r="AN57">
            <v>0</v>
          </cell>
          <cell r="AO57">
            <v>0</v>
          </cell>
          <cell r="AP57">
            <v>607</v>
          </cell>
          <cell r="AQ57">
            <v>169</v>
          </cell>
          <cell r="AR57">
            <v>438</v>
          </cell>
          <cell r="AS57">
            <v>369</v>
          </cell>
          <cell r="AT57">
            <v>-238</v>
          </cell>
          <cell r="AU57">
            <v>39</v>
          </cell>
          <cell r="AV57">
            <v>88</v>
          </cell>
          <cell r="AW57">
            <v>130</v>
          </cell>
          <cell r="AX57">
            <v>350</v>
          </cell>
        </row>
        <row r="58">
          <cell r="C58">
            <v>289</v>
          </cell>
          <cell r="D58">
            <v>117</v>
          </cell>
          <cell r="E58">
            <v>172</v>
          </cell>
          <cell r="N58">
            <v>503</v>
          </cell>
          <cell r="O58">
            <v>417</v>
          </cell>
          <cell r="P58">
            <v>-86</v>
          </cell>
          <cell r="Q58">
            <v>968</v>
          </cell>
          <cell r="R58">
            <v>610</v>
          </cell>
          <cell r="S58">
            <v>-358</v>
          </cell>
          <cell r="T58">
            <v>309</v>
          </cell>
          <cell r="U58">
            <v>123</v>
          </cell>
          <cell r="V58">
            <v>186</v>
          </cell>
          <cell r="W58">
            <v>229</v>
          </cell>
          <cell r="X58">
            <v>-80</v>
          </cell>
          <cell r="Y58">
            <v>264</v>
          </cell>
          <cell r="Z58">
            <v>99</v>
          </cell>
          <cell r="AA58">
            <v>165</v>
          </cell>
          <cell r="AB58">
            <v>205</v>
          </cell>
          <cell r="AC58">
            <v>-59</v>
          </cell>
          <cell r="AD58">
            <v>1046</v>
          </cell>
          <cell r="AE58">
            <v>960</v>
          </cell>
          <cell r="AF58">
            <v>86</v>
          </cell>
          <cell r="AG58">
            <v>793</v>
          </cell>
          <cell r="AH58">
            <v>559</v>
          </cell>
          <cell r="AI58">
            <v>103</v>
          </cell>
          <cell r="AJ58">
            <v>-253</v>
          </cell>
          <cell r="AK58">
            <v>3653.9</v>
          </cell>
          <cell r="AL58">
            <v>92</v>
          </cell>
          <cell r="AM58">
            <v>3561.9</v>
          </cell>
          <cell r="AN58">
            <v>0</v>
          </cell>
          <cell r="AO58">
            <v>1073</v>
          </cell>
          <cell r="AP58">
            <v>3540</v>
          </cell>
          <cell r="AQ58">
            <v>1003</v>
          </cell>
          <cell r="AR58">
            <v>2537</v>
          </cell>
          <cell r="AS58">
            <v>2021</v>
          </cell>
          <cell r="AT58">
            <v>-1519</v>
          </cell>
          <cell r="AU58">
            <v>0</v>
          </cell>
          <cell r="AV58">
            <v>0</v>
          </cell>
          <cell r="AW58">
            <v>0</v>
          </cell>
          <cell r="AX58">
            <v>0</v>
          </cell>
        </row>
        <row r="59">
          <cell r="C59">
            <v>0</v>
          </cell>
          <cell r="D59">
            <v>0</v>
          </cell>
          <cell r="E59">
            <v>0</v>
          </cell>
          <cell r="N59">
            <v>0</v>
          </cell>
          <cell r="P59">
            <v>0</v>
          </cell>
          <cell r="Q59">
            <v>0</v>
          </cell>
          <cell r="S59">
            <v>0</v>
          </cell>
          <cell r="T59">
            <v>0</v>
          </cell>
          <cell r="U59">
            <v>0</v>
          </cell>
          <cell r="V59">
            <v>0</v>
          </cell>
          <cell r="X59">
            <v>0</v>
          </cell>
          <cell r="Y59">
            <v>0</v>
          </cell>
          <cell r="Z59">
            <v>0</v>
          </cell>
          <cell r="AA59">
            <v>0</v>
          </cell>
          <cell r="AC59">
            <v>0</v>
          </cell>
          <cell r="AD59">
            <v>0</v>
          </cell>
          <cell r="AE59">
            <v>0</v>
          </cell>
          <cell r="AF59">
            <v>0</v>
          </cell>
          <cell r="AG59">
            <v>844</v>
          </cell>
          <cell r="AH59">
            <v>115</v>
          </cell>
          <cell r="AI59">
            <v>0</v>
          </cell>
          <cell r="AJ59">
            <v>0</v>
          </cell>
          <cell r="AK59">
            <v>3573.090909090909</v>
          </cell>
          <cell r="AL59">
            <v>992.13269689737467</v>
          </cell>
          <cell r="AM59">
            <v>2580.9582121935346</v>
          </cell>
          <cell r="AN59" t="e">
            <v>#REF!</v>
          </cell>
          <cell r="AO59">
            <v>671</v>
          </cell>
          <cell r="AP59">
            <v>0</v>
          </cell>
          <cell r="AQ59">
            <v>0</v>
          </cell>
          <cell r="AR59">
            <v>0</v>
          </cell>
          <cell r="AS59">
            <v>0</v>
          </cell>
          <cell r="AT59">
            <v>0</v>
          </cell>
          <cell r="AU59">
            <v>0</v>
          </cell>
          <cell r="AV59">
            <v>0</v>
          </cell>
          <cell r="AW59">
            <v>0</v>
          </cell>
          <cell r="AX59">
            <v>0</v>
          </cell>
        </row>
        <row r="60">
          <cell r="C60">
            <v>261.66666666666663</v>
          </cell>
          <cell r="D60">
            <v>85</v>
          </cell>
          <cell r="E60">
            <v>176.66666666666663</v>
          </cell>
          <cell r="N60">
            <v>1782</v>
          </cell>
          <cell r="O60">
            <v>1794</v>
          </cell>
          <cell r="P60">
            <v>12</v>
          </cell>
          <cell r="Q60">
            <v>4149</v>
          </cell>
          <cell r="R60">
            <v>3886</v>
          </cell>
          <cell r="S60">
            <v>-263</v>
          </cell>
          <cell r="T60">
            <v>2122</v>
          </cell>
          <cell r="U60">
            <v>823</v>
          </cell>
          <cell r="V60">
            <v>1299</v>
          </cell>
          <cell r="W60">
            <v>2064</v>
          </cell>
          <cell r="X60">
            <v>-58</v>
          </cell>
          <cell r="Y60">
            <v>2201</v>
          </cell>
          <cell r="Z60">
            <v>818</v>
          </cell>
          <cell r="AA60">
            <v>1383</v>
          </cell>
          <cell r="AB60">
            <v>2209</v>
          </cell>
          <cell r="AC60">
            <v>8</v>
          </cell>
          <cell r="AD60">
            <v>1725.6666666666667</v>
          </cell>
          <cell r="AE60">
            <v>1574.3333333333335</v>
          </cell>
          <cell r="AF60">
            <v>151.33333333333326</v>
          </cell>
          <cell r="AG60">
            <v>1641</v>
          </cell>
          <cell r="AH60">
            <v>1265</v>
          </cell>
          <cell r="AI60">
            <v>155</v>
          </cell>
          <cell r="AJ60">
            <v>-84.666666666666742</v>
          </cell>
          <cell r="AK60">
            <v>181</v>
          </cell>
          <cell r="AL60">
            <v>55</v>
          </cell>
          <cell r="AM60">
            <v>126</v>
          </cell>
          <cell r="AN60">
            <v>0</v>
          </cell>
          <cell r="AO60">
            <v>28</v>
          </cell>
          <cell r="AP60">
            <v>12066</v>
          </cell>
          <cell r="AQ60">
            <v>3536</v>
          </cell>
          <cell r="AR60">
            <v>8530</v>
          </cell>
          <cell r="AS60">
            <v>11218</v>
          </cell>
          <cell r="AT60">
            <v>-848</v>
          </cell>
          <cell r="AU60">
            <v>1641</v>
          </cell>
          <cell r="AV60">
            <v>4093</v>
          </cell>
          <cell r="AW60">
            <v>1895</v>
          </cell>
          <cell r="AX60">
            <v>4437</v>
          </cell>
        </row>
        <row r="61">
          <cell r="C61">
            <v>0</v>
          </cell>
          <cell r="D61">
            <v>0</v>
          </cell>
          <cell r="E61">
            <v>0</v>
          </cell>
          <cell r="N61">
            <v>0</v>
          </cell>
          <cell r="P61">
            <v>0</v>
          </cell>
          <cell r="Q61">
            <v>0</v>
          </cell>
          <cell r="S61">
            <v>0</v>
          </cell>
          <cell r="T61">
            <v>0</v>
          </cell>
          <cell r="U61">
            <v>0</v>
          </cell>
          <cell r="X61">
            <v>0</v>
          </cell>
          <cell r="Y61">
            <v>0</v>
          </cell>
          <cell r="Z61">
            <v>0</v>
          </cell>
          <cell r="AA61">
            <v>0</v>
          </cell>
          <cell r="AC61">
            <v>0</v>
          </cell>
          <cell r="AD61">
            <v>0</v>
          </cell>
          <cell r="AE61">
            <v>0</v>
          </cell>
          <cell r="AF61">
            <v>0</v>
          </cell>
          <cell r="AG61">
            <v>0</v>
          </cell>
          <cell r="AH61">
            <v>126</v>
          </cell>
          <cell r="AI61">
            <v>0</v>
          </cell>
          <cell r="AJ61">
            <v>0</v>
          </cell>
          <cell r="AK61">
            <v>1053</v>
          </cell>
          <cell r="AL61">
            <v>317</v>
          </cell>
          <cell r="AM61">
            <v>736</v>
          </cell>
          <cell r="AN61">
            <v>0</v>
          </cell>
          <cell r="AO61">
            <v>0</v>
          </cell>
          <cell r="AP61">
            <v>0</v>
          </cell>
          <cell r="AQ61">
            <v>0</v>
          </cell>
          <cell r="AR61">
            <v>0</v>
          </cell>
          <cell r="AS61">
            <v>126</v>
          </cell>
          <cell r="AT61">
            <v>126</v>
          </cell>
        </row>
        <row r="62">
          <cell r="C62">
            <v>242</v>
          </cell>
          <cell r="D62">
            <v>76</v>
          </cell>
          <cell r="E62">
            <v>166</v>
          </cell>
          <cell r="N62">
            <v>1614.15</v>
          </cell>
          <cell r="P62">
            <v>-1614.15</v>
          </cell>
          <cell r="Q62">
            <v>2962.8939999999998</v>
          </cell>
          <cell r="S62">
            <v>-2962.8939999999998</v>
          </cell>
          <cell r="T62">
            <v>176.47000000000003</v>
          </cell>
          <cell r="U62">
            <v>53</v>
          </cell>
          <cell r="X62">
            <v>-176.47000000000003</v>
          </cell>
          <cell r="Y62">
            <v>225.76000000000002</v>
          </cell>
          <cell r="Z62">
            <v>28</v>
          </cell>
          <cell r="AA62">
            <v>197.76000000000002</v>
          </cell>
          <cell r="AC62">
            <v>-225.76000000000002</v>
          </cell>
          <cell r="AD62">
            <v>1009.45</v>
          </cell>
          <cell r="AE62">
            <v>932.45</v>
          </cell>
          <cell r="AF62">
            <v>77</v>
          </cell>
          <cell r="AH62">
            <v>0</v>
          </cell>
          <cell r="AI62">
            <v>0</v>
          </cell>
          <cell r="AJ62">
            <v>-1009.45</v>
          </cell>
          <cell r="AK62">
            <v>0</v>
          </cell>
          <cell r="AN62">
            <v>0</v>
          </cell>
          <cell r="AP62">
            <v>6166.7240000000002</v>
          </cell>
          <cell r="AQ62">
            <v>1784.15</v>
          </cell>
          <cell r="AR62">
            <v>4382.5740000000005</v>
          </cell>
          <cell r="AS62">
            <v>0</v>
          </cell>
          <cell r="AT62">
            <v>-6166.7240000000002</v>
          </cell>
          <cell r="AV62">
            <v>1013</v>
          </cell>
        </row>
        <row r="63">
          <cell r="C63">
            <v>0</v>
          </cell>
          <cell r="D63">
            <v>0</v>
          </cell>
          <cell r="E63">
            <v>0</v>
          </cell>
          <cell r="N63">
            <v>0</v>
          </cell>
          <cell r="P63">
            <v>0</v>
          </cell>
          <cell r="Q63">
            <v>0</v>
          </cell>
          <cell r="S63">
            <v>0</v>
          </cell>
          <cell r="T63">
            <v>0</v>
          </cell>
          <cell r="U63">
            <v>0</v>
          </cell>
          <cell r="X63">
            <v>0</v>
          </cell>
          <cell r="Y63">
            <v>0</v>
          </cell>
          <cell r="Z63">
            <v>0</v>
          </cell>
          <cell r="AA63">
            <v>0</v>
          </cell>
          <cell r="AC63">
            <v>0</v>
          </cell>
          <cell r="AD63">
            <v>0</v>
          </cell>
          <cell r="AE63">
            <v>0</v>
          </cell>
          <cell r="AF63">
            <v>0</v>
          </cell>
          <cell r="AG63">
            <v>538</v>
          </cell>
          <cell r="AH63">
            <v>15</v>
          </cell>
          <cell r="AI63">
            <v>0</v>
          </cell>
          <cell r="AJ63">
            <v>0</v>
          </cell>
          <cell r="AK63">
            <v>3865.3333333333335</v>
          </cell>
          <cell r="AL63">
            <v>1049</v>
          </cell>
          <cell r="AM63">
            <v>2816.3333333333335</v>
          </cell>
          <cell r="AN63">
            <v>431</v>
          </cell>
          <cell r="AO63">
            <v>1358</v>
          </cell>
          <cell r="AP63">
            <v>0</v>
          </cell>
          <cell r="AQ63">
            <v>0</v>
          </cell>
          <cell r="AR63">
            <v>0</v>
          </cell>
          <cell r="AS63">
            <v>0</v>
          </cell>
          <cell r="AT63">
            <v>0</v>
          </cell>
          <cell r="AV63">
            <v>0</v>
          </cell>
        </row>
        <row r="64">
          <cell r="C64">
            <v>19.333333333333329</v>
          </cell>
          <cell r="D64">
            <v>9</v>
          </cell>
          <cell r="E64">
            <v>10.333333333333329</v>
          </cell>
          <cell r="N64">
            <v>167.84999999999991</v>
          </cell>
          <cell r="P64">
            <v>-167.84999999999991</v>
          </cell>
          <cell r="Q64">
            <v>1186.1060000000002</v>
          </cell>
          <cell r="S64">
            <v>-1186.1060000000002</v>
          </cell>
          <cell r="T64">
            <v>1945.53</v>
          </cell>
          <cell r="U64">
            <v>770</v>
          </cell>
          <cell r="X64">
            <v>-1945.53</v>
          </cell>
          <cell r="Y64">
            <v>1975.24</v>
          </cell>
          <cell r="Z64">
            <v>790</v>
          </cell>
          <cell r="AA64">
            <v>1185.24</v>
          </cell>
          <cell r="AC64">
            <v>-1975.24</v>
          </cell>
          <cell r="AD64">
            <v>716.2166666666667</v>
          </cell>
          <cell r="AE64">
            <v>641.88333333333344</v>
          </cell>
          <cell r="AF64">
            <v>74.333333333333258</v>
          </cell>
          <cell r="AG64">
            <v>1641</v>
          </cell>
          <cell r="AH64">
            <v>1139</v>
          </cell>
          <cell r="AI64">
            <v>155</v>
          </cell>
          <cell r="AJ64">
            <v>924.7833333333333</v>
          </cell>
          <cell r="AK64">
            <v>0</v>
          </cell>
          <cell r="AN64">
            <v>43</v>
          </cell>
          <cell r="AO64">
            <v>136</v>
          </cell>
          <cell r="AP64">
            <v>5942.9426666666668</v>
          </cell>
          <cell r="AQ64">
            <v>146</v>
          </cell>
          <cell r="AR64">
            <v>200</v>
          </cell>
          <cell r="AS64">
            <v>1139</v>
          </cell>
          <cell r="AT64">
            <v>-4803.9426666666668</v>
          </cell>
        </row>
        <row r="65">
          <cell r="C65">
            <v>230.24200000000002</v>
          </cell>
          <cell r="D65">
            <v>63</v>
          </cell>
          <cell r="E65">
            <v>167.24200000000002</v>
          </cell>
          <cell r="N65">
            <v>1295.5</v>
          </cell>
          <cell r="O65">
            <v>1295</v>
          </cell>
          <cell r="P65">
            <v>-0.5</v>
          </cell>
          <cell r="Q65">
            <v>2567.7454545454548</v>
          </cell>
          <cell r="R65">
            <v>2254</v>
          </cell>
          <cell r="S65">
            <v>-313.74545454545478</v>
          </cell>
          <cell r="T65">
            <v>1558.3090909090909</v>
          </cell>
          <cell r="U65">
            <v>591</v>
          </cell>
          <cell r="V65">
            <v>967.30909090909086</v>
          </cell>
          <cell r="W65">
            <v>1557</v>
          </cell>
          <cell r="X65">
            <v>-1.3090909090908553</v>
          </cell>
          <cell r="Y65">
            <v>1196.7</v>
          </cell>
          <cell r="Z65">
            <v>400</v>
          </cell>
          <cell r="AA65">
            <v>796.7</v>
          </cell>
          <cell r="AB65">
            <v>1201</v>
          </cell>
          <cell r="AC65">
            <v>4.2999999999999545</v>
          </cell>
          <cell r="AD65">
            <v>1791.7636363636364</v>
          </cell>
          <cell r="AE65">
            <v>1791.7636363636364</v>
          </cell>
          <cell r="AF65">
            <v>0</v>
          </cell>
          <cell r="AG65">
            <v>1946</v>
          </cell>
          <cell r="AH65">
            <v>938</v>
          </cell>
          <cell r="AI65">
            <v>0</v>
          </cell>
          <cell r="AJ65">
            <v>154.23636363636365</v>
          </cell>
          <cell r="AK65">
            <v>3783.2</v>
          </cell>
          <cell r="AL65">
            <v>308</v>
          </cell>
          <cell r="AM65">
            <v>3475.2</v>
          </cell>
          <cell r="AN65">
            <v>-204</v>
          </cell>
          <cell r="AO65">
            <v>799</v>
          </cell>
          <cell r="AP65">
            <v>8646.2601818181811</v>
          </cell>
          <cell r="AQ65">
            <v>2319.5</v>
          </cell>
          <cell r="AR65">
            <v>6326.7601818181811</v>
          </cell>
          <cell r="AS65">
            <v>7245</v>
          </cell>
          <cell r="AT65">
            <v>-1401.2601818181811</v>
          </cell>
          <cell r="AU65">
            <v>991</v>
          </cell>
          <cell r="AV65">
            <v>2637</v>
          </cell>
          <cell r="AW65">
            <v>1328.5</v>
          </cell>
          <cell r="AX65">
            <v>3689.7601818181811</v>
          </cell>
        </row>
        <row r="66">
          <cell r="C66">
            <v>0</v>
          </cell>
          <cell r="D66">
            <v>0</v>
          </cell>
          <cell r="E66">
            <v>0</v>
          </cell>
          <cell r="N66">
            <v>156</v>
          </cell>
          <cell r="O66">
            <v>198</v>
          </cell>
          <cell r="P66">
            <v>42</v>
          </cell>
          <cell r="Q66">
            <v>927.72727272727275</v>
          </cell>
          <cell r="R66">
            <v>1097</v>
          </cell>
          <cell r="S66">
            <v>169.27272727272725</v>
          </cell>
          <cell r="T66">
            <v>592</v>
          </cell>
          <cell r="U66">
            <v>231</v>
          </cell>
          <cell r="V66">
            <v>361</v>
          </cell>
          <cell r="W66">
            <v>608</v>
          </cell>
          <cell r="X66">
            <v>16</v>
          </cell>
          <cell r="Y66">
            <v>435</v>
          </cell>
          <cell r="Z66">
            <v>162</v>
          </cell>
          <cell r="AA66">
            <v>273</v>
          </cell>
          <cell r="AB66">
            <v>435</v>
          </cell>
          <cell r="AC66">
            <v>0</v>
          </cell>
          <cell r="AD66">
            <v>261.09090909090912</v>
          </cell>
          <cell r="AE66">
            <v>261.09090909090912</v>
          </cell>
          <cell r="AF66">
            <v>0</v>
          </cell>
          <cell r="AG66">
            <v>318</v>
          </cell>
          <cell r="AH66">
            <v>237</v>
          </cell>
          <cell r="AI66">
            <v>0</v>
          </cell>
          <cell r="AJ66">
            <v>56.909090909090878</v>
          </cell>
          <cell r="AK66">
            <v>0</v>
          </cell>
          <cell r="AL66">
            <v>0</v>
          </cell>
          <cell r="AM66">
            <v>0</v>
          </cell>
          <cell r="AN66">
            <v>0</v>
          </cell>
          <cell r="AO66">
            <v>0</v>
          </cell>
          <cell r="AP66">
            <v>2371.818181818182</v>
          </cell>
          <cell r="AQ66">
            <v>549</v>
          </cell>
          <cell r="AR66">
            <v>1822.818181818182</v>
          </cell>
          <cell r="AS66">
            <v>2575</v>
          </cell>
          <cell r="AT66">
            <v>203.18181818181802</v>
          </cell>
        </row>
        <row r="67">
          <cell r="C67">
            <v>0</v>
          </cell>
          <cell r="D67">
            <v>0</v>
          </cell>
          <cell r="E67">
            <v>0</v>
          </cell>
          <cell r="N67">
            <v>9</v>
          </cell>
          <cell r="O67">
            <v>11</v>
          </cell>
          <cell r="P67">
            <v>2</v>
          </cell>
          <cell r="Q67">
            <v>51</v>
          </cell>
          <cell r="R67">
            <v>60</v>
          </cell>
          <cell r="S67">
            <v>9</v>
          </cell>
          <cell r="T67">
            <v>33</v>
          </cell>
          <cell r="U67">
            <v>13</v>
          </cell>
          <cell r="V67">
            <v>20</v>
          </cell>
          <cell r="W67">
            <v>33</v>
          </cell>
          <cell r="X67">
            <v>0</v>
          </cell>
          <cell r="Y67">
            <v>24</v>
          </cell>
          <cell r="Z67">
            <v>9</v>
          </cell>
          <cell r="AA67">
            <v>15</v>
          </cell>
          <cell r="AB67">
            <v>24</v>
          </cell>
          <cell r="AC67">
            <v>0</v>
          </cell>
          <cell r="AD67">
            <v>15</v>
          </cell>
          <cell r="AE67">
            <v>15</v>
          </cell>
          <cell r="AF67">
            <v>0</v>
          </cell>
          <cell r="AG67">
            <v>17</v>
          </cell>
          <cell r="AH67">
            <v>12</v>
          </cell>
          <cell r="AI67">
            <v>0</v>
          </cell>
          <cell r="AJ67">
            <v>2</v>
          </cell>
          <cell r="AK67">
            <v>81.800000000000011</v>
          </cell>
          <cell r="AN67">
            <v>388</v>
          </cell>
          <cell r="AO67">
            <v>423</v>
          </cell>
          <cell r="AP67">
            <v>132</v>
          </cell>
          <cell r="AQ67">
            <v>31</v>
          </cell>
          <cell r="AR67">
            <v>101</v>
          </cell>
          <cell r="AS67">
            <v>140</v>
          </cell>
          <cell r="AT67">
            <v>8</v>
          </cell>
        </row>
        <row r="68">
          <cell r="C68">
            <v>0</v>
          </cell>
          <cell r="D68">
            <v>0</v>
          </cell>
          <cell r="E68">
            <v>0</v>
          </cell>
          <cell r="N68">
            <v>50</v>
          </cell>
          <cell r="O68">
            <v>63</v>
          </cell>
          <cell r="P68">
            <v>13</v>
          </cell>
          <cell r="Q68">
            <v>297</v>
          </cell>
          <cell r="R68">
            <v>330</v>
          </cell>
          <cell r="S68">
            <v>33</v>
          </cell>
          <cell r="T68">
            <v>189</v>
          </cell>
          <cell r="U68">
            <v>73</v>
          </cell>
          <cell r="V68">
            <v>116</v>
          </cell>
          <cell r="W68">
            <v>190</v>
          </cell>
          <cell r="X68">
            <v>1</v>
          </cell>
          <cell r="Y68">
            <v>139</v>
          </cell>
          <cell r="Z68">
            <v>52</v>
          </cell>
          <cell r="AA68">
            <v>87</v>
          </cell>
          <cell r="AB68">
            <v>137</v>
          </cell>
          <cell r="AC68">
            <v>-2</v>
          </cell>
          <cell r="AD68">
            <v>83</v>
          </cell>
          <cell r="AE68">
            <v>83</v>
          </cell>
          <cell r="AF68">
            <v>0</v>
          </cell>
          <cell r="AG68">
            <v>102</v>
          </cell>
          <cell r="AH68">
            <v>16</v>
          </cell>
          <cell r="AI68">
            <v>0</v>
          </cell>
          <cell r="AJ68">
            <v>19</v>
          </cell>
          <cell r="AK68">
            <v>2665</v>
          </cell>
          <cell r="AL68">
            <v>724</v>
          </cell>
          <cell r="AM68">
            <v>1941</v>
          </cell>
          <cell r="AN68">
            <v>345</v>
          </cell>
          <cell r="AO68">
            <v>1039</v>
          </cell>
          <cell r="AP68">
            <v>758</v>
          </cell>
          <cell r="AQ68">
            <v>175</v>
          </cell>
          <cell r="AR68">
            <v>583</v>
          </cell>
          <cell r="AS68">
            <v>620</v>
          </cell>
          <cell r="AT68">
            <v>-138</v>
          </cell>
        </row>
        <row r="69">
          <cell r="C69">
            <v>0</v>
          </cell>
          <cell r="D69">
            <v>0</v>
          </cell>
          <cell r="E69">
            <v>0</v>
          </cell>
          <cell r="N69">
            <v>0</v>
          </cell>
          <cell r="P69">
            <v>0</v>
          </cell>
          <cell r="Q69">
            <v>0</v>
          </cell>
          <cell r="S69">
            <v>0</v>
          </cell>
          <cell r="T69">
            <v>0</v>
          </cell>
          <cell r="U69">
            <v>0</v>
          </cell>
          <cell r="V69">
            <v>0</v>
          </cell>
          <cell r="X69">
            <v>0</v>
          </cell>
          <cell r="Y69">
            <v>0</v>
          </cell>
          <cell r="Z69">
            <v>0</v>
          </cell>
          <cell r="AA69">
            <v>0</v>
          </cell>
          <cell r="AC69">
            <v>0</v>
          </cell>
          <cell r="AD69">
            <v>0</v>
          </cell>
          <cell r="AE69">
            <v>0</v>
          </cell>
          <cell r="AF69">
            <v>0</v>
          </cell>
          <cell r="AG69">
            <v>88</v>
          </cell>
          <cell r="AH69">
            <v>0</v>
          </cell>
          <cell r="AI69">
            <v>0</v>
          </cell>
          <cell r="AJ69">
            <v>0</v>
          </cell>
          <cell r="AK69">
            <v>781.90909090909099</v>
          </cell>
          <cell r="AL69">
            <v>161</v>
          </cell>
          <cell r="AM69">
            <v>620.90909090909099</v>
          </cell>
          <cell r="AN69">
            <v>868.86363636363626</v>
          </cell>
          <cell r="AP69">
            <v>0</v>
          </cell>
          <cell r="AQ69">
            <v>0</v>
          </cell>
          <cell r="AR69">
            <v>0</v>
          </cell>
          <cell r="AS69">
            <v>0</v>
          </cell>
          <cell r="AT69">
            <v>0</v>
          </cell>
        </row>
        <row r="70">
          <cell r="C70" t="e">
            <v>#REF!</v>
          </cell>
          <cell r="D70" t="e">
            <v>#REF!</v>
          </cell>
          <cell r="E70" t="e">
            <v>#REF!</v>
          </cell>
          <cell r="N70">
            <v>1182.5</v>
          </cell>
          <cell r="P70">
            <v>-1182.5</v>
          </cell>
          <cell r="Q70" t="e">
            <v>#REF!</v>
          </cell>
          <cell r="S70" t="e">
            <v>#REF!</v>
          </cell>
          <cell r="T70">
            <v>897.27272727272725</v>
          </cell>
          <cell r="U70">
            <v>386</v>
          </cell>
          <cell r="V70">
            <v>511.27272727272725</v>
          </cell>
          <cell r="X70">
            <v>-897.27272727272725</v>
          </cell>
          <cell r="Y70">
            <v>713.9</v>
          </cell>
          <cell r="Z70">
            <v>283</v>
          </cell>
          <cell r="AA70">
            <v>430.9</v>
          </cell>
          <cell r="AC70">
            <v>-713.9</v>
          </cell>
          <cell r="AD70">
            <v>1285.7636363636364</v>
          </cell>
          <cell r="AE70">
            <v>1285.7636363636364</v>
          </cell>
          <cell r="AF70">
            <v>0</v>
          </cell>
          <cell r="AG70">
            <v>5</v>
          </cell>
          <cell r="AH70">
            <v>0</v>
          </cell>
          <cell r="AI70">
            <v>0</v>
          </cell>
          <cell r="AJ70">
            <v>-1285.7636363636364</v>
          </cell>
          <cell r="AK70">
            <v>44</v>
          </cell>
          <cell r="AL70">
            <v>9</v>
          </cell>
          <cell r="AM70">
            <v>35</v>
          </cell>
          <cell r="AN70">
            <v>48</v>
          </cell>
          <cell r="AP70" t="e">
            <v>#REF!</v>
          </cell>
          <cell r="AQ70" t="e">
            <v>#REF!</v>
          </cell>
          <cell r="AS70">
            <v>0</v>
          </cell>
          <cell r="AT70" t="e">
            <v>#REF!</v>
          </cell>
        </row>
        <row r="71">
          <cell r="C71" t="e">
            <v>#REF!</v>
          </cell>
          <cell r="D71" t="e">
            <v>#REF!</v>
          </cell>
          <cell r="E71" t="e">
            <v>#REF!</v>
          </cell>
          <cell r="N71">
            <v>0</v>
          </cell>
          <cell r="P71">
            <v>0</v>
          </cell>
          <cell r="Q71" t="e">
            <v>#REF!</v>
          </cell>
          <cell r="S71" t="e">
            <v>#REF!</v>
          </cell>
          <cell r="T71">
            <v>0</v>
          </cell>
          <cell r="U71">
            <v>0</v>
          </cell>
          <cell r="V71">
            <v>0</v>
          </cell>
          <cell r="X71">
            <v>0</v>
          </cell>
          <cell r="Y71">
            <v>0</v>
          </cell>
          <cell r="Z71">
            <v>0</v>
          </cell>
          <cell r="AA71">
            <v>0</v>
          </cell>
          <cell r="AC71">
            <v>0</v>
          </cell>
          <cell r="AD71">
            <v>0</v>
          </cell>
          <cell r="AE71">
            <v>0</v>
          </cell>
          <cell r="AF71">
            <v>0</v>
          </cell>
          <cell r="AG71">
            <v>28</v>
          </cell>
          <cell r="AH71">
            <v>0</v>
          </cell>
          <cell r="AI71">
            <v>0</v>
          </cell>
          <cell r="AJ71">
            <v>0</v>
          </cell>
          <cell r="AK71">
            <v>251</v>
          </cell>
          <cell r="AL71">
            <v>51</v>
          </cell>
          <cell r="AM71">
            <v>200</v>
          </cell>
          <cell r="AN71">
            <v>278</v>
          </cell>
          <cell r="AP71" t="e">
            <v>#REF!</v>
          </cell>
          <cell r="AQ71" t="e">
            <v>#REF!</v>
          </cell>
          <cell r="AS71">
            <v>0</v>
          </cell>
          <cell r="AT71" t="e">
            <v>#REF!</v>
          </cell>
        </row>
        <row r="72">
          <cell r="C72">
            <v>3979.0626666666672</v>
          </cell>
          <cell r="D72">
            <v>1252</v>
          </cell>
          <cell r="E72">
            <v>2727.0626666666672</v>
          </cell>
          <cell r="N72">
            <v>189.52</v>
          </cell>
          <cell r="O72">
            <v>227</v>
          </cell>
          <cell r="P72">
            <v>37.47999999999999</v>
          </cell>
          <cell r="Q72">
            <v>483.76</v>
          </cell>
          <cell r="R72">
            <v>403</v>
          </cell>
          <cell r="S72">
            <v>-80.759999999999991</v>
          </cell>
          <cell r="T72">
            <v>221.00800000000004</v>
          </cell>
          <cell r="U72">
            <v>84</v>
          </cell>
          <cell r="V72">
            <v>137.00800000000004</v>
          </cell>
          <cell r="W72">
            <v>175</v>
          </cell>
          <cell r="X72">
            <v>-46.008000000000038</v>
          </cell>
          <cell r="Y72">
            <v>192.512</v>
          </cell>
          <cell r="Z72">
            <v>72</v>
          </cell>
          <cell r="AA72">
            <v>120.512</v>
          </cell>
          <cell r="AB72">
            <v>94</v>
          </cell>
          <cell r="AC72">
            <v>-98.512</v>
          </cell>
          <cell r="AD72">
            <v>423.85066666666671</v>
          </cell>
          <cell r="AE72">
            <v>380.04</v>
          </cell>
          <cell r="AF72">
            <v>43.810666666666691</v>
          </cell>
          <cell r="AG72">
            <v>379</v>
          </cell>
          <cell r="AH72">
            <v>173</v>
          </cell>
          <cell r="AI72">
            <v>35</v>
          </cell>
          <cell r="AJ72">
            <v>-44.850666666666712</v>
          </cell>
          <cell r="AK72">
            <v>0</v>
          </cell>
          <cell r="AL72">
            <v>0</v>
          </cell>
          <cell r="AM72">
            <v>0</v>
          </cell>
          <cell r="AN72">
            <v>0</v>
          </cell>
          <cell r="AP72">
            <v>6676.0333333333338</v>
          </cell>
          <cell r="AQ72" t="e">
            <v>#REF!</v>
          </cell>
          <cell r="AR72" t="e">
            <v>#REF!</v>
          </cell>
          <cell r="AS72">
            <v>181</v>
          </cell>
          <cell r="AT72">
            <v>-6495.0333333333338</v>
          </cell>
          <cell r="AU72">
            <v>156</v>
          </cell>
          <cell r="AV72">
            <v>422</v>
          </cell>
          <cell r="AW72">
            <v>2004.12</v>
          </cell>
          <cell r="AX72" t="e">
            <v>#REF!</v>
          </cell>
        </row>
        <row r="73">
          <cell r="C73">
            <v>228.66666666666669</v>
          </cell>
          <cell r="D73">
            <v>70</v>
          </cell>
          <cell r="E73">
            <v>158.66666666666669</v>
          </cell>
          <cell r="N73">
            <v>0</v>
          </cell>
          <cell r="P73">
            <v>0</v>
          </cell>
          <cell r="Q73">
            <v>0</v>
          </cell>
          <cell r="S73">
            <v>0</v>
          </cell>
          <cell r="T73">
            <v>0</v>
          </cell>
          <cell r="U73">
            <v>0</v>
          </cell>
          <cell r="V73">
            <v>0</v>
          </cell>
          <cell r="X73">
            <v>0</v>
          </cell>
          <cell r="Y73">
            <v>0</v>
          </cell>
          <cell r="Z73">
            <v>0</v>
          </cell>
          <cell r="AA73">
            <v>0</v>
          </cell>
          <cell r="AC73">
            <v>0</v>
          </cell>
          <cell r="AD73">
            <v>0</v>
          </cell>
          <cell r="AE73">
            <v>0</v>
          </cell>
          <cell r="AF73">
            <v>0</v>
          </cell>
          <cell r="AG73">
            <v>0</v>
          </cell>
          <cell r="AH73">
            <v>0</v>
          </cell>
          <cell r="AI73">
            <v>0</v>
          </cell>
          <cell r="AJ73">
            <v>0</v>
          </cell>
          <cell r="AK73">
            <v>353</v>
          </cell>
          <cell r="AL73">
            <v>353</v>
          </cell>
          <cell r="AM73">
            <v>0</v>
          </cell>
          <cell r="AN73">
            <v>3499</v>
          </cell>
          <cell r="AP73">
            <v>228.66666666666669</v>
          </cell>
          <cell r="AQ73">
            <v>70</v>
          </cell>
          <cell r="AR73">
            <v>158.66666666666669</v>
          </cell>
          <cell r="AS73">
            <v>0</v>
          </cell>
          <cell r="AT73">
            <v>-228.66666666666669</v>
          </cell>
          <cell r="AU73">
            <v>0</v>
          </cell>
          <cell r="AV73">
            <v>0</v>
          </cell>
          <cell r="AW73">
            <v>70</v>
          </cell>
          <cell r="AX73">
            <v>158.66666666666669</v>
          </cell>
        </row>
        <row r="74">
          <cell r="C74">
            <v>3750.3960000000002</v>
          </cell>
          <cell r="D74">
            <v>1182</v>
          </cell>
          <cell r="E74">
            <v>2568.3960000000002</v>
          </cell>
          <cell r="N74">
            <v>189.52</v>
          </cell>
          <cell r="P74">
            <v>-189.52</v>
          </cell>
          <cell r="Q74">
            <v>483.76</v>
          </cell>
          <cell r="S74">
            <v>-483.76</v>
          </cell>
          <cell r="T74">
            <v>221.00800000000004</v>
          </cell>
          <cell r="U74">
            <v>84</v>
          </cell>
          <cell r="V74">
            <v>137.00800000000004</v>
          </cell>
          <cell r="X74">
            <v>-221.00800000000004</v>
          </cell>
          <cell r="Y74">
            <v>192.512</v>
          </cell>
          <cell r="Z74">
            <v>72</v>
          </cell>
          <cell r="AA74">
            <v>120.512</v>
          </cell>
          <cell r="AC74">
            <v>-192.512</v>
          </cell>
          <cell r="AD74">
            <v>423.85066666666671</v>
          </cell>
          <cell r="AE74">
            <v>380.04</v>
          </cell>
          <cell r="AF74">
            <v>43.810666666666691</v>
          </cell>
          <cell r="AG74">
            <v>379</v>
          </cell>
          <cell r="AH74">
            <v>173</v>
          </cell>
          <cell r="AI74">
            <v>35</v>
          </cell>
          <cell r="AJ74">
            <v>-44.850666666666712</v>
          </cell>
          <cell r="AK74">
            <v>0</v>
          </cell>
          <cell r="AL74">
            <v>0</v>
          </cell>
          <cell r="AM74">
            <v>0</v>
          </cell>
          <cell r="AN74">
            <v>0</v>
          </cell>
          <cell r="AP74">
            <v>6447.3666666666668</v>
          </cell>
          <cell r="AQ74">
            <v>2090.12</v>
          </cell>
          <cell r="AR74">
            <v>4357.2466666666669</v>
          </cell>
          <cell r="AS74">
            <v>181</v>
          </cell>
          <cell r="AT74">
            <v>-6266.3666666666668</v>
          </cell>
          <cell r="AU74">
            <v>156</v>
          </cell>
          <cell r="AV74">
            <v>422</v>
          </cell>
          <cell r="AW74">
            <v>1934.12</v>
          </cell>
          <cell r="AX74">
            <v>3935.2466666666669</v>
          </cell>
        </row>
        <row r="75">
          <cell r="C75">
            <v>1032.296</v>
          </cell>
          <cell r="D75">
            <v>299</v>
          </cell>
          <cell r="E75">
            <v>733.29600000000005</v>
          </cell>
          <cell r="N75">
            <v>117.32</v>
          </cell>
          <cell r="P75">
            <v>-117.32</v>
          </cell>
          <cell r="Q75">
            <v>304.76</v>
          </cell>
          <cell r="S75">
            <v>-304.76</v>
          </cell>
          <cell r="T75">
            <v>120.80800000000002</v>
          </cell>
          <cell r="U75">
            <v>46</v>
          </cell>
          <cell r="V75">
            <v>74.808000000000021</v>
          </cell>
          <cell r="X75">
            <v>-120.80800000000002</v>
          </cell>
          <cell r="Y75">
            <v>73.711999999999989</v>
          </cell>
          <cell r="Z75">
            <v>48</v>
          </cell>
          <cell r="AA75">
            <v>25.711999999999989</v>
          </cell>
          <cell r="AC75">
            <v>-73.711999999999989</v>
          </cell>
          <cell r="AD75">
            <v>284.25066666666669</v>
          </cell>
          <cell r="AE75">
            <v>260.28000000000003</v>
          </cell>
          <cell r="AF75">
            <v>23.970666666666659</v>
          </cell>
          <cell r="AG75">
            <v>186.2</v>
          </cell>
          <cell r="AH75">
            <v>38.800000000000011</v>
          </cell>
          <cell r="AI75">
            <v>633.66666666666663</v>
          </cell>
          <cell r="AJ75">
            <v>-284.25066666666669</v>
          </cell>
          <cell r="AK75">
            <v>3637.5333333333328</v>
          </cell>
          <cell r="AL75">
            <v>1134.6765314240254</v>
          </cell>
          <cell r="AM75">
            <v>2502.8568019093073</v>
          </cell>
          <cell r="AN75">
            <v>63</v>
          </cell>
          <cell r="AO75">
            <v>232</v>
          </cell>
          <cell r="AP75">
            <v>2309.1759999999999</v>
          </cell>
          <cell r="AQ75">
            <v>734.92000000000007</v>
          </cell>
          <cell r="AR75">
            <v>1574.2559999999999</v>
          </cell>
          <cell r="AS75">
            <v>0</v>
          </cell>
          <cell r="AT75">
            <v>-2309.1759999999999</v>
          </cell>
          <cell r="AX75">
            <v>1574.2559999999999</v>
          </cell>
        </row>
        <row r="76">
          <cell r="C76">
            <v>0</v>
          </cell>
          <cell r="D76">
            <v>0</v>
          </cell>
          <cell r="E76">
            <v>0</v>
          </cell>
          <cell r="N76">
            <v>0</v>
          </cell>
          <cell r="P76">
            <v>0</v>
          </cell>
          <cell r="Q76">
            <v>0</v>
          </cell>
          <cell r="S76">
            <v>0</v>
          </cell>
          <cell r="T76">
            <v>0</v>
          </cell>
          <cell r="U76">
            <v>0</v>
          </cell>
          <cell r="V76">
            <v>0</v>
          </cell>
          <cell r="X76">
            <v>0</v>
          </cell>
          <cell r="Y76">
            <v>0</v>
          </cell>
          <cell r="Z76">
            <v>0</v>
          </cell>
          <cell r="AA76">
            <v>0</v>
          </cell>
          <cell r="AC76">
            <v>0</v>
          </cell>
          <cell r="AD76">
            <v>0</v>
          </cell>
          <cell r="AE76">
            <v>0</v>
          </cell>
          <cell r="AF76">
            <v>0</v>
          </cell>
          <cell r="AH76">
            <v>0</v>
          </cell>
          <cell r="AJ76">
            <v>0</v>
          </cell>
          <cell r="AK76">
            <v>105</v>
          </cell>
          <cell r="AL76">
            <v>29</v>
          </cell>
          <cell r="AM76">
            <v>76</v>
          </cell>
          <cell r="AN76">
            <v>0</v>
          </cell>
          <cell r="AO76">
            <v>0</v>
          </cell>
          <cell r="AP76">
            <v>658.33066666666662</v>
          </cell>
          <cell r="AQ76">
            <v>324</v>
          </cell>
          <cell r="AR76">
            <v>334.33066666666662</v>
          </cell>
          <cell r="AS76">
            <v>0</v>
          </cell>
          <cell r="AT76">
            <v>-658.33066666666662</v>
          </cell>
          <cell r="AX76">
            <v>334.33066666666662</v>
          </cell>
        </row>
        <row r="77">
          <cell r="C77">
            <v>1008.6</v>
          </cell>
          <cell r="D77">
            <v>323</v>
          </cell>
          <cell r="E77">
            <v>685.6</v>
          </cell>
          <cell r="N77">
            <v>34</v>
          </cell>
          <cell r="P77">
            <v>110</v>
          </cell>
          <cell r="Q77">
            <v>80.800000000000011</v>
          </cell>
          <cell r="S77">
            <v>282</v>
          </cell>
          <cell r="T77">
            <v>48.400000000000006</v>
          </cell>
          <cell r="U77">
            <v>8</v>
          </cell>
          <cell r="V77">
            <v>40.400000000000006</v>
          </cell>
          <cell r="X77">
            <v>115</v>
          </cell>
          <cell r="Y77">
            <v>37.200000000000003</v>
          </cell>
          <cell r="Z77">
            <v>10</v>
          </cell>
          <cell r="AA77">
            <v>27.200000000000003</v>
          </cell>
          <cell r="AC77">
            <v>84</v>
          </cell>
          <cell r="AD77">
            <v>58.6</v>
          </cell>
          <cell r="AE77">
            <v>54.76</v>
          </cell>
          <cell r="AF77">
            <v>3.8400000000000034</v>
          </cell>
          <cell r="AG77">
            <v>186.2</v>
          </cell>
          <cell r="AH77">
            <v>38.800000000000011</v>
          </cell>
          <cell r="AI77">
            <v>633.66666666666663</v>
          </cell>
          <cell r="AK77">
            <v>2898.8666666666663</v>
          </cell>
          <cell r="AL77">
            <v>1105.6765314240254</v>
          </cell>
          <cell r="AM77">
            <v>1793.190135242641</v>
          </cell>
          <cell r="AN77">
            <v>63</v>
          </cell>
          <cell r="AO77">
            <v>232</v>
          </cell>
          <cell r="AP77">
            <v>1042.6765314240254</v>
          </cell>
          <cell r="AQ77">
            <v>1561.190135242641</v>
          </cell>
          <cell r="AR77">
            <v>2951.1000000000004</v>
          </cell>
        </row>
        <row r="78">
          <cell r="C78">
            <v>1048.5</v>
          </cell>
          <cell r="D78">
            <v>363</v>
          </cell>
          <cell r="E78">
            <v>685.5</v>
          </cell>
          <cell r="N78">
            <v>38.200000000000003</v>
          </cell>
          <cell r="P78">
            <v>66</v>
          </cell>
          <cell r="Q78">
            <v>98.2</v>
          </cell>
          <cell r="S78">
            <v>177</v>
          </cell>
          <cell r="T78">
            <v>51.8</v>
          </cell>
          <cell r="U78">
            <v>14</v>
          </cell>
          <cell r="V78">
            <v>37.799999999999997</v>
          </cell>
          <cell r="X78">
            <v>56</v>
          </cell>
          <cell r="Y78">
            <v>81.599999999999994</v>
          </cell>
          <cell r="Z78">
            <v>14</v>
          </cell>
          <cell r="AA78">
            <v>67.599999999999994</v>
          </cell>
          <cell r="AC78">
            <v>43</v>
          </cell>
          <cell r="AD78">
            <v>81</v>
          </cell>
          <cell r="AE78">
            <v>65</v>
          </cell>
          <cell r="AF78">
            <v>16</v>
          </cell>
          <cell r="AG78">
            <v>149</v>
          </cell>
          <cell r="AH78">
            <v>14</v>
          </cell>
          <cell r="AK78">
            <v>1182</v>
          </cell>
          <cell r="AL78">
            <v>331</v>
          </cell>
          <cell r="AM78">
            <v>851</v>
          </cell>
          <cell r="AN78">
            <v>653.66666666666663</v>
          </cell>
          <cell r="AQ78">
            <v>851</v>
          </cell>
          <cell r="AR78">
            <v>653.66666666666663</v>
          </cell>
        </row>
        <row r="79">
          <cell r="C79">
            <v>306.39999999999998</v>
          </cell>
          <cell r="D79">
            <v>85</v>
          </cell>
          <cell r="E79">
            <v>221.39999999999998</v>
          </cell>
          <cell r="N79">
            <v>15.1</v>
          </cell>
          <cell r="P79">
            <v>-15.1</v>
          </cell>
          <cell r="Q79">
            <v>7.5</v>
          </cell>
          <cell r="S79">
            <v>-7.5</v>
          </cell>
          <cell r="U79">
            <v>1</v>
          </cell>
          <cell r="V79">
            <v>-1</v>
          </cell>
          <cell r="X79">
            <v>0</v>
          </cell>
          <cell r="Y79">
            <v>6.7</v>
          </cell>
          <cell r="Z79">
            <v>0</v>
          </cell>
          <cell r="AA79">
            <v>6.7</v>
          </cell>
          <cell r="AC79">
            <v>-6.7</v>
          </cell>
          <cell r="AD79">
            <v>38.799999999999997</v>
          </cell>
          <cell r="AE79">
            <v>34</v>
          </cell>
          <cell r="AF79">
            <v>4.7999999999999972</v>
          </cell>
          <cell r="AJ79">
            <v>-38.799999999999997</v>
          </cell>
          <cell r="AK79">
            <v>363.66666666666663</v>
          </cell>
          <cell r="AL79">
            <v>158</v>
          </cell>
          <cell r="AM79">
            <v>205.66666666666663</v>
          </cell>
          <cell r="AN79">
            <v>200</v>
          </cell>
          <cell r="AP79">
            <v>372.7</v>
          </cell>
          <cell r="AQ79">
            <v>104.1</v>
          </cell>
          <cell r="AR79">
            <v>200</v>
          </cell>
          <cell r="AS79">
            <v>0</v>
          </cell>
          <cell r="AT79">
            <v>-372.7</v>
          </cell>
        </row>
        <row r="80">
          <cell r="C80">
            <v>6661.9958181818183</v>
          </cell>
          <cell r="D80">
            <v>2178</v>
          </cell>
          <cell r="E80">
            <v>4483.9958181818183</v>
          </cell>
          <cell r="N80">
            <v>7036.2207272727283</v>
          </cell>
          <cell r="O80">
            <v>6571</v>
          </cell>
          <cell r="P80">
            <v>-465.22072727272825</v>
          </cell>
          <cell r="Q80">
            <v>77353.513454545449</v>
          </cell>
          <cell r="R80">
            <v>83057</v>
          </cell>
          <cell r="S80">
            <v>5703.4865454545507</v>
          </cell>
          <cell r="T80">
            <v>117852.27636363638</v>
          </cell>
          <cell r="U80">
            <v>69321.347560975613</v>
          </cell>
          <cell r="V80">
            <v>48530.928802660754</v>
          </cell>
          <cell r="W80">
            <v>101508</v>
          </cell>
          <cell r="X80">
            <v>-16344.276363636382</v>
          </cell>
          <cell r="Y80">
            <v>95810.307272727281</v>
          </cell>
          <cell r="Z80">
            <v>53742.750161952055</v>
          </cell>
          <cell r="AA80">
            <v>42067.557110775218</v>
          </cell>
          <cell r="AB80">
            <v>81399</v>
          </cell>
          <cell r="AC80">
            <v>-14411.307272727281</v>
          </cell>
          <cell r="AD80">
            <v>12118.565090909091</v>
          </cell>
          <cell r="AE80">
            <v>10080.754424242425</v>
          </cell>
          <cell r="AF80">
            <v>2037.8106666666665</v>
          </cell>
          <cell r="AG80">
            <v>9642</v>
          </cell>
          <cell r="AH80">
            <v>6481</v>
          </cell>
          <cell r="AI80">
            <v>2032</v>
          </cell>
          <cell r="AJ80">
            <v>-2476.5650909090909</v>
          </cell>
          <cell r="AK80">
            <v>615.20000000000005</v>
          </cell>
          <cell r="AL80">
            <v>0</v>
          </cell>
          <cell r="AM80">
            <v>436.5255369928401</v>
          </cell>
          <cell r="AN80" t="e">
            <v>#REF!</v>
          </cell>
          <cell r="AP80">
            <v>317284.31872727274</v>
          </cell>
          <cell r="AQ80" t="e">
            <v>#REF!</v>
          </cell>
          <cell r="AR80" t="e">
            <v>#REF!</v>
          </cell>
          <cell r="AS80">
            <v>278125</v>
          </cell>
          <cell r="AT80">
            <v>-39159.318727272737</v>
          </cell>
          <cell r="AU80">
            <v>122842.09772292766</v>
          </cell>
          <cell r="AV80">
            <v>151884</v>
          </cell>
          <cell r="AW80">
            <v>9876.6389090909088</v>
          </cell>
          <cell r="AX80" t="e">
            <v>#REF!</v>
          </cell>
        </row>
        <row r="81">
          <cell r="C81">
            <v>6433.3291515151514</v>
          </cell>
          <cell r="D81">
            <v>2108</v>
          </cell>
          <cell r="E81">
            <v>4325.3291515151514</v>
          </cell>
          <cell r="P81">
            <v>0</v>
          </cell>
          <cell r="S81">
            <v>0</v>
          </cell>
          <cell r="X81">
            <v>0</v>
          </cell>
          <cell r="Y81">
            <v>3</v>
          </cell>
          <cell r="Z81">
            <v>8</v>
          </cell>
          <cell r="AC81">
            <v>0</v>
          </cell>
          <cell r="AD81">
            <v>10</v>
          </cell>
          <cell r="AE81">
            <v>22</v>
          </cell>
          <cell r="AF81">
            <v>50</v>
          </cell>
          <cell r="AG81">
            <v>30</v>
          </cell>
          <cell r="AH81">
            <v>20</v>
          </cell>
          <cell r="AI81">
            <v>594.66666666666663</v>
          </cell>
          <cell r="AJ81">
            <v>0</v>
          </cell>
          <cell r="AK81">
            <v>1371.6666666666665</v>
          </cell>
          <cell r="AL81">
            <v>451.00206841686554</v>
          </cell>
          <cell r="AM81">
            <v>920.66459824980097</v>
          </cell>
          <cell r="AN81">
            <v>816.56666666666661</v>
          </cell>
          <cell r="AP81">
            <v>63316.318727272737</v>
          </cell>
          <cell r="AQ81" t="e">
            <v>#REF!</v>
          </cell>
          <cell r="AR81" t="e">
            <v>#REF!</v>
          </cell>
          <cell r="AS81">
            <v>0</v>
          </cell>
          <cell r="AT81">
            <v>-63316.318727272737</v>
          </cell>
          <cell r="AU81">
            <v>4989</v>
          </cell>
          <cell r="AV81">
            <v>15770</v>
          </cell>
          <cell r="AW81">
            <v>9875.6389090909088</v>
          </cell>
          <cell r="AX81" t="e">
            <v>#REF!</v>
          </cell>
        </row>
        <row r="82">
          <cell r="N82">
            <v>1724.2727272727273</v>
          </cell>
          <cell r="O82">
            <v>1501</v>
          </cell>
          <cell r="P82">
            <v>-223.27272727272725</v>
          </cell>
          <cell r="Q82">
            <v>3953.727272727273</v>
          </cell>
          <cell r="R82">
            <v>3466</v>
          </cell>
          <cell r="S82">
            <v>-487.72727272727298</v>
          </cell>
          <cell r="T82">
            <v>1558.7272727272727</v>
          </cell>
          <cell r="U82">
            <v>615</v>
          </cell>
          <cell r="V82">
            <v>943.72727272727275</v>
          </cell>
          <cell r="W82">
            <v>1353</v>
          </cell>
          <cell r="X82">
            <v>-205.72727272727275</v>
          </cell>
          <cell r="Y82">
            <v>1260.7272727272727</v>
          </cell>
          <cell r="Z82">
            <v>470</v>
          </cell>
          <cell r="AA82">
            <v>790.72727272727275</v>
          </cell>
          <cell r="AB82">
            <v>1097</v>
          </cell>
          <cell r="AC82">
            <v>-163.72727272727275</v>
          </cell>
          <cell r="AD82">
            <v>3528.6363636363635</v>
          </cell>
          <cell r="AE82">
            <v>3259.6363636363635</v>
          </cell>
          <cell r="AF82">
            <v>269</v>
          </cell>
          <cell r="AG82">
            <v>2881</v>
          </cell>
          <cell r="AH82">
            <v>1984</v>
          </cell>
          <cell r="AI82">
            <v>306</v>
          </cell>
          <cell r="AJ82">
            <v>-647.63636363636351</v>
          </cell>
          <cell r="AK82">
            <v>0</v>
          </cell>
          <cell r="AL82">
            <v>0</v>
          </cell>
          <cell r="AM82">
            <v>0</v>
          </cell>
          <cell r="AN82">
            <v>0</v>
          </cell>
          <cell r="AP82">
            <v>13439.272727272728</v>
          </cell>
          <cell r="AS82">
            <v>9401</v>
          </cell>
          <cell r="AT82">
            <v>-4038.2727272727279</v>
          </cell>
        </row>
        <row r="83">
          <cell r="C83">
            <v>11292</v>
          </cell>
          <cell r="D83">
            <v>11292</v>
          </cell>
          <cell r="E83">
            <v>0</v>
          </cell>
          <cell r="P83">
            <v>0</v>
          </cell>
          <cell r="S83">
            <v>0</v>
          </cell>
          <cell r="X83">
            <v>0</v>
          </cell>
          <cell r="Y83">
            <v>1</v>
          </cell>
          <cell r="Z83">
            <v>2.1</v>
          </cell>
          <cell r="AC83">
            <v>0</v>
          </cell>
          <cell r="AD83">
            <v>1</v>
          </cell>
          <cell r="AE83">
            <v>0.7</v>
          </cell>
          <cell r="AF83">
            <v>4.8</v>
          </cell>
          <cell r="AG83">
            <v>43</v>
          </cell>
          <cell r="AH83">
            <v>4.8</v>
          </cell>
          <cell r="AJ83">
            <v>0</v>
          </cell>
          <cell r="AK83">
            <v>35.800000000000004</v>
          </cell>
          <cell r="AL83">
            <v>6.1</v>
          </cell>
          <cell r="AM83">
            <v>29.700000000000003</v>
          </cell>
          <cell r="AN83">
            <v>0</v>
          </cell>
          <cell r="AP83">
            <v>11292</v>
          </cell>
          <cell r="AQ83">
            <v>11292</v>
          </cell>
          <cell r="AR83">
            <v>0</v>
          </cell>
          <cell r="AS83">
            <v>0</v>
          </cell>
          <cell r="AT83">
            <v>-11292</v>
          </cell>
          <cell r="AU83">
            <v>0</v>
          </cell>
          <cell r="AV83">
            <v>0</v>
          </cell>
          <cell r="AW83">
            <v>0</v>
          </cell>
          <cell r="AX83">
            <v>0</v>
          </cell>
        </row>
        <row r="84">
          <cell r="C84">
            <v>17953.995818181818</v>
          </cell>
          <cell r="D84">
            <v>13470</v>
          </cell>
          <cell r="E84">
            <v>4483.9958181818183</v>
          </cell>
          <cell r="N84">
            <v>7036.2207272727283</v>
          </cell>
          <cell r="O84">
            <v>6571</v>
          </cell>
          <cell r="P84">
            <v>-465.22072727272825</v>
          </cell>
          <cell r="Q84">
            <v>77353.513454545449</v>
          </cell>
          <cell r="R84">
            <v>83057</v>
          </cell>
          <cell r="S84">
            <v>5703.4865454545507</v>
          </cell>
          <cell r="T84">
            <v>117852.27636363638</v>
          </cell>
          <cell r="U84">
            <v>69321.347560975613</v>
          </cell>
          <cell r="V84">
            <v>48530.928802660754</v>
          </cell>
          <cell r="W84">
            <v>101508</v>
          </cell>
          <cell r="X84">
            <v>-16344.276363636382</v>
          </cell>
          <cell r="Y84">
            <v>95810.307272727281</v>
          </cell>
          <cell r="Z84">
            <v>53742.750161952055</v>
          </cell>
          <cell r="AA84">
            <v>42067.557110775218</v>
          </cell>
          <cell r="AB84">
            <v>81399</v>
          </cell>
          <cell r="AC84">
            <v>-14411.307272727281</v>
          </cell>
          <cell r="AD84">
            <v>12118.565090909091</v>
          </cell>
          <cell r="AE84">
            <v>10080.754424242425</v>
          </cell>
          <cell r="AF84">
            <v>2037.8106666666665</v>
          </cell>
          <cell r="AG84">
            <v>9642</v>
          </cell>
          <cell r="AH84">
            <v>6481</v>
          </cell>
          <cell r="AI84">
            <v>2032</v>
          </cell>
          <cell r="AJ84">
            <v>-2476.5650909090909</v>
          </cell>
          <cell r="AK84">
            <v>91858.190909090888</v>
          </cell>
          <cell r="AL84">
            <v>0</v>
          </cell>
          <cell r="AM84">
            <v>61760.806685114578</v>
          </cell>
          <cell r="AN84" t="e">
            <v>#REF!</v>
          </cell>
          <cell r="AO84">
            <v>50645</v>
          </cell>
          <cell r="AP84">
            <v>328576.31872727274</v>
          </cell>
          <cell r="AQ84" t="e">
            <v>#REF!</v>
          </cell>
          <cell r="AR84" t="e">
            <v>#REF!</v>
          </cell>
          <cell r="AS84">
            <v>278125</v>
          </cell>
          <cell r="AT84">
            <v>-50451.318727272737</v>
          </cell>
          <cell r="AU84">
            <v>122842.09772292766</v>
          </cell>
          <cell r="AV84">
            <v>151884</v>
          </cell>
          <cell r="AW84">
            <v>9876.6389090909088</v>
          </cell>
          <cell r="AX84" t="e">
            <v>#REF!</v>
          </cell>
        </row>
        <row r="85">
          <cell r="C85">
            <v>0</v>
          </cell>
          <cell r="D85">
            <v>0</v>
          </cell>
          <cell r="E85">
            <v>0</v>
          </cell>
          <cell r="N85">
            <v>0</v>
          </cell>
          <cell r="P85">
            <v>0</v>
          </cell>
          <cell r="Q85">
            <v>0</v>
          </cell>
          <cell r="R85">
            <v>0</v>
          </cell>
          <cell r="S85">
            <v>0</v>
          </cell>
          <cell r="T85">
            <v>0</v>
          </cell>
          <cell r="U85">
            <v>0</v>
          </cell>
          <cell r="V85">
            <v>0</v>
          </cell>
          <cell r="W85">
            <v>0</v>
          </cell>
          <cell r="X85">
            <v>0</v>
          </cell>
          <cell r="Y85">
            <v>0</v>
          </cell>
          <cell r="Z85">
            <v>327</v>
          </cell>
          <cell r="AA85">
            <v>0</v>
          </cell>
          <cell r="AB85">
            <v>0</v>
          </cell>
          <cell r="AC85">
            <v>0</v>
          </cell>
          <cell r="AD85">
            <v>128</v>
          </cell>
          <cell r="AE85">
            <v>265</v>
          </cell>
          <cell r="AH85">
            <v>115</v>
          </cell>
          <cell r="AI85">
            <v>0</v>
          </cell>
          <cell r="AJ85">
            <v>0</v>
          </cell>
          <cell r="AK85">
            <v>4355</v>
          </cell>
          <cell r="AL85">
            <v>1153.1326968973747</v>
          </cell>
          <cell r="AM85">
            <v>3201.8673031026256</v>
          </cell>
          <cell r="AN85">
            <v>1176.2809999999999</v>
          </cell>
          <cell r="AP85">
            <v>-1</v>
          </cell>
          <cell r="AQ85">
            <v>0</v>
          </cell>
          <cell r="AR85">
            <v>-1</v>
          </cell>
          <cell r="AS85">
            <v>0</v>
          </cell>
          <cell r="AT85">
            <v>1</v>
          </cell>
          <cell r="AU85">
            <v>0</v>
          </cell>
          <cell r="AV85">
            <v>0</v>
          </cell>
          <cell r="AW85">
            <v>0</v>
          </cell>
          <cell r="AX85">
            <v>-1</v>
          </cell>
        </row>
        <row r="86">
          <cell r="C86">
            <v>3705</v>
          </cell>
          <cell r="D86">
            <v>1959</v>
          </cell>
          <cell r="E86">
            <v>1746</v>
          </cell>
          <cell r="N86">
            <v>0</v>
          </cell>
          <cell r="P86">
            <v>0</v>
          </cell>
          <cell r="Q86">
            <v>0</v>
          </cell>
          <cell r="S86">
            <v>0</v>
          </cell>
          <cell r="T86">
            <v>0</v>
          </cell>
          <cell r="U86">
            <v>0</v>
          </cell>
          <cell r="V86">
            <v>0</v>
          </cell>
          <cell r="X86">
            <v>0</v>
          </cell>
          <cell r="Y86">
            <v>0</v>
          </cell>
          <cell r="AC86">
            <v>0</v>
          </cell>
          <cell r="AI86">
            <v>0</v>
          </cell>
          <cell r="AJ86">
            <v>0</v>
          </cell>
          <cell r="AL86">
            <v>29644.574995654941</v>
          </cell>
          <cell r="AN86">
            <v>0</v>
          </cell>
          <cell r="AP86">
            <v>3705</v>
          </cell>
          <cell r="AQ86">
            <v>1959</v>
          </cell>
          <cell r="AR86">
            <v>1746</v>
          </cell>
          <cell r="AS86">
            <v>0</v>
          </cell>
          <cell r="AT86">
            <v>-3705</v>
          </cell>
          <cell r="AU86">
            <v>0</v>
          </cell>
          <cell r="AV86">
            <v>0</v>
          </cell>
          <cell r="AW86">
            <v>1959</v>
          </cell>
          <cell r="AX86">
            <v>1746</v>
          </cell>
        </row>
        <row r="87">
          <cell r="C87">
            <v>1800</v>
          </cell>
          <cell r="D87">
            <v>481</v>
          </cell>
          <cell r="E87">
            <v>1319</v>
          </cell>
          <cell r="N87">
            <v>0</v>
          </cell>
          <cell r="P87">
            <v>0</v>
          </cell>
          <cell r="Q87">
            <v>0</v>
          </cell>
          <cell r="S87">
            <v>0</v>
          </cell>
          <cell r="T87">
            <v>0</v>
          </cell>
          <cell r="U87">
            <v>0</v>
          </cell>
          <cell r="V87">
            <v>0</v>
          </cell>
          <cell r="X87">
            <v>0</v>
          </cell>
          <cell r="Y87">
            <v>0</v>
          </cell>
          <cell r="Z87">
            <v>0</v>
          </cell>
          <cell r="AA87">
            <v>0</v>
          </cell>
          <cell r="AC87">
            <v>0</v>
          </cell>
          <cell r="AI87">
            <v>0</v>
          </cell>
          <cell r="AJ87">
            <v>0</v>
          </cell>
          <cell r="AK87">
            <v>11292</v>
          </cell>
          <cell r="AL87">
            <v>11292</v>
          </cell>
          <cell r="AM87">
            <v>0</v>
          </cell>
          <cell r="AN87">
            <v>0</v>
          </cell>
          <cell r="AO87">
            <v>0</v>
          </cell>
          <cell r="AP87">
            <v>1799</v>
          </cell>
          <cell r="AQ87">
            <v>481</v>
          </cell>
          <cell r="AR87">
            <v>1318</v>
          </cell>
          <cell r="AS87">
            <v>-1</v>
          </cell>
          <cell r="AT87">
            <v>-1800</v>
          </cell>
          <cell r="AU87">
            <v>0</v>
          </cell>
          <cell r="AV87">
            <v>0</v>
          </cell>
          <cell r="AW87">
            <v>481</v>
          </cell>
          <cell r="AX87">
            <v>1318</v>
          </cell>
        </row>
        <row r="88">
          <cell r="C88">
            <v>48.333333333333329</v>
          </cell>
          <cell r="D88">
            <v>12</v>
          </cell>
          <cell r="E88">
            <v>36.333333333333329</v>
          </cell>
          <cell r="N88">
            <v>49.800000000000004</v>
          </cell>
          <cell r="O88">
            <v>51</v>
          </cell>
          <cell r="P88">
            <v>1.1999999999999957</v>
          </cell>
          <cell r="Q88">
            <v>20.6</v>
          </cell>
          <cell r="R88">
            <v>0</v>
          </cell>
          <cell r="S88">
            <v>-20.6</v>
          </cell>
          <cell r="T88">
            <v>199.6</v>
          </cell>
          <cell r="U88">
            <v>20</v>
          </cell>
          <cell r="V88">
            <v>179.6</v>
          </cell>
          <cell r="W88">
            <v>0</v>
          </cell>
          <cell r="X88">
            <v>-199.6</v>
          </cell>
          <cell r="Y88">
            <v>74.599999999999994</v>
          </cell>
          <cell r="Z88">
            <v>15931.720620842572</v>
          </cell>
          <cell r="AA88">
            <v>0</v>
          </cell>
          <cell r="AB88">
            <v>0</v>
          </cell>
          <cell r="AC88">
            <v>-74.599999999999994</v>
          </cell>
          <cell r="AD88">
            <v>36.333333333333336</v>
          </cell>
          <cell r="AE88">
            <v>22</v>
          </cell>
          <cell r="AF88">
            <v>14.333333333333336</v>
          </cell>
          <cell r="AG88">
            <v>44</v>
          </cell>
          <cell r="AH88">
            <v>15</v>
          </cell>
          <cell r="AI88">
            <v>29</v>
          </cell>
          <cell r="AJ88">
            <v>7.6666666666666643</v>
          </cell>
          <cell r="AK88">
            <v>103150.19090909089</v>
          </cell>
          <cell r="AL88">
            <v>41389.38422397634</v>
          </cell>
          <cell r="AM88">
            <v>61760.806685114578</v>
          </cell>
          <cell r="AN88">
            <v>25995.574995654941</v>
          </cell>
          <cell r="AO88">
            <v>50645</v>
          </cell>
          <cell r="AP88">
            <v>319.93333333333328</v>
          </cell>
          <cell r="AQ88">
            <v>12.800000000000011</v>
          </cell>
          <cell r="AR88">
            <v>307.13333333333327</v>
          </cell>
          <cell r="AS88">
            <v>65</v>
          </cell>
          <cell r="AT88">
            <v>-254.93333333333328</v>
          </cell>
          <cell r="AU88">
            <v>20</v>
          </cell>
          <cell r="AV88">
            <v>185</v>
          </cell>
          <cell r="AW88">
            <v>-7.1999999999999886</v>
          </cell>
          <cell r="AX88">
            <v>122.13333333333327</v>
          </cell>
        </row>
        <row r="89">
          <cell r="C89">
            <v>23507.32915151515</v>
          </cell>
          <cell r="D89">
            <v>15922</v>
          </cell>
          <cell r="E89">
            <v>7585.3291515151514</v>
          </cell>
          <cell r="N89">
            <v>7086.0207272727284</v>
          </cell>
          <cell r="O89">
            <v>6622</v>
          </cell>
          <cell r="P89">
            <v>-464.02072727272844</v>
          </cell>
          <cell r="Q89">
            <v>77374.113454545455</v>
          </cell>
          <cell r="R89">
            <v>83057</v>
          </cell>
          <cell r="S89">
            <v>5682.8865454545448</v>
          </cell>
          <cell r="T89">
            <v>118051.87636363639</v>
          </cell>
          <cell r="U89">
            <v>69341.347560975613</v>
          </cell>
          <cell r="V89">
            <v>48710.528802660752</v>
          </cell>
          <cell r="W89">
            <v>101508</v>
          </cell>
          <cell r="X89">
            <v>-16543.876363636387</v>
          </cell>
          <cell r="Y89">
            <v>95884.907272727287</v>
          </cell>
          <cell r="Z89">
            <v>53742.750161952055</v>
          </cell>
          <cell r="AA89">
            <v>42067.557110775218</v>
          </cell>
          <cell r="AB89">
            <v>81399</v>
          </cell>
          <cell r="AC89">
            <v>-14485.907272727287</v>
          </cell>
          <cell r="AD89">
            <v>12154.898424242425</v>
          </cell>
          <cell r="AE89">
            <v>10102.754424242425</v>
          </cell>
          <cell r="AF89">
            <v>2052.1439999999998</v>
          </cell>
          <cell r="AG89">
            <v>9686</v>
          </cell>
          <cell r="AH89">
            <v>6496</v>
          </cell>
          <cell r="AI89">
            <v>2061</v>
          </cell>
          <cell r="AJ89">
            <v>-2468.8984242424249</v>
          </cell>
          <cell r="AK89">
            <v>0</v>
          </cell>
          <cell r="AM89">
            <v>0</v>
          </cell>
          <cell r="AN89" t="e">
            <v>#REF!</v>
          </cell>
          <cell r="AO89">
            <v>0</v>
          </cell>
          <cell r="AP89">
            <v>334401.25206060609</v>
          </cell>
          <cell r="AQ89" t="e">
            <v>#REF!</v>
          </cell>
          <cell r="AR89" t="e">
            <v>#REF!</v>
          </cell>
          <cell r="AS89">
            <v>278189</v>
          </cell>
          <cell r="AT89">
            <v>-56212.252060606086</v>
          </cell>
          <cell r="AU89">
            <v>122862.09772292766</v>
          </cell>
          <cell r="AV89">
            <v>152069</v>
          </cell>
          <cell r="AW89">
            <v>12309.438909090908</v>
          </cell>
          <cell r="AX89" t="e">
            <v>#REF!</v>
          </cell>
        </row>
        <row r="90">
          <cell r="C90">
            <v>12215.32915151515</v>
          </cell>
          <cell r="D90">
            <v>4630</v>
          </cell>
          <cell r="E90">
            <v>7585.3291515151514</v>
          </cell>
          <cell r="N90">
            <v>7086.0207272727284</v>
          </cell>
          <cell r="O90">
            <v>6622</v>
          </cell>
          <cell r="P90">
            <v>-464.02072727272844</v>
          </cell>
          <cell r="Q90">
            <v>23294.113454545455</v>
          </cell>
          <cell r="R90">
            <v>21655</v>
          </cell>
          <cell r="S90">
            <v>-1639.1134545454552</v>
          </cell>
          <cell r="T90">
            <v>8491.8763636363874</v>
          </cell>
          <cell r="U90">
            <v>3233</v>
          </cell>
          <cell r="V90">
            <v>5258.8763636363656</v>
          </cell>
          <cell r="W90">
            <v>7876</v>
          </cell>
          <cell r="X90">
            <v>-615.8763636363874</v>
          </cell>
          <cell r="Y90">
            <v>5557.9072727272869</v>
          </cell>
          <cell r="Z90">
            <v>1998</v>
          </cell>
          <cell r="AA90">
            <v>3485.3072727272738</v>
          </cell>
          <cell r="AB90">
            <v>5098</v>
          </cell>
          <cell r="AC90">
            <v>-459.90727272728691</v>
          </cell>
          <cell r="AD90">
            <v>12154.898424242425</v>
          </cell>
          <cell r="AE90">
            <v>10102.754424242425</v>
          </cell>
          <cell r="AF90">
            <v>2052.1439999999998</v>
          </cell>
          <cell r="AG90">
            <v>9686</v>
          </cell>
          <cell r="AH90">
            <v>6496</v>
          </cell>
          <cell r="AI90">
            <v>2061</v>
          </cell>
          <cell r="AJ90">
            <v>-2468.8984242424249</v>
          </cell>
          <cell r="AK90">
            <v>1390</v>
          </cell>
          <cell r="AL90">
            <v>810</v>
          </cell>
          <cell r="AM90">
            <v>580</v>
          </cell>
          <cell r="AN90" t="e">
            <v>#REF!</v>
          </cell>
          <cell r="AO90">
            <v>0</v>
          </cell>
          <cell r="AP90">
            <v>69141.252060606086</v>
          </cell>
          <cell r="AQ90" t="e">
            <v>#REF!</v>
          </cell>
          <cell r="AR90" t="e">
            <v>#REF!</v>
          </cell>
          <cell r="AS90">
            <v>46854</v>
          </cell>
          <cell r="AT90">
            <v>-22287.252060606086</v>
          </cell>
          <cell r="AU90">
            <v>5009</v>
          </cell>
          <cell r="AV90">
            <v>15955</v>
          </cell>
          <cell r="AW90">
            <v>12308.438909090908</v>
          </cell>
          <cell r="AX90" t="e">
            <v>#REF!</v>
          </cell>
        </row>
        <row r="91">
          <cell r="C91">
            <v>911.18181818181813</v>
          </cell>
          <cell r="D91">
            <v>310</v>
          </cell>
          <cell r="E91">
            <v>601.18181818181813</v>
          </cell>
          <cell r="N91">
            <v>1724.2727272727273</v>
          </cell>
          <cell r="O91">
            <v>1501</v>
          </cell>
          <cell r="P91">
            <v>-223.27272727272725</v>
          </cell>
          <cell r="Q91">
            <v>3953.727272727273</v>
          </cell>
          <cell r="R91">
            <v>3466</v>
          </cell>
          <cell r="S91">
            <v>-487.72727272727298</v>
          </cell>
          <cell r="T91">
            <v>1558.7272727272727</v>
          </cell>
          <cell r="U91">
            <v>615</v>
          </cell>
          <cell r="V91">
            <v>943.72727272727275</v>
          </cell>
          <cell r="W91">
            <v>1353</v>
          </cell>
          <cell r="X91">
            <v>-205.72727272727275</v>
          </cell>
          <cell r="Y91">
            <v>1260.7272727272727</v>
          </cell>
          <cell r="Z91">
            <v>470</v>
          </cell>
          <cell r="AA91">
            <v>790.72727272727275</v>
          </cell>
          <cell r="AB91">
            <v>1097</v>
          </cell>
          <cell r="AC91">
            <v>-163.72727272727275</v>
          </cell>
          <cell r="AD91">
            <v>3528.6363636363635</v>
          </cell>
          <cell r="AE91">
            <v>3259.6363636363635</v>
          </cell>
          <cell r="AF91">
            <v>269</v>
          </cell>
          <cell r="AG91">
            <v>2881</v>
          </cell>
          <cell r="AH91">
            <v>1984</v>
          </cell>
          <cell r="AI91">
            <v>306</v>
          </cell>
          <cell r="AJ91">
            <v>-647.63636363636351</v>
          </cell>
          <cell r="AK91">
            <v>600</v>
          </cell>
          <cell r="AL91">
            <v>128</v>
          </cell>
          <cell r="AM91">
            <v>472</v>
          </cell>
          <cell r="AN91">
            <v>0</v>
          </cell>
          <cell r="AO91">
            <v>0</v>
          </cell>
          <cell r="AP91">
            <v>13439.272727272728</v>
          </cell>
          <cell r="AQ91">
            <v>334554.25206060609</v>
          </cell>
          <cell r="AR91">
            <v>147538.53663201857</v>
          </cell>
          <cell r="AS91">
            <v>9401</v>
          </cell>
        </row>
        <row r="92">
          <cell r="C92">
            <v>17725.32915151515</v>
          </cell>
          <cell r="P92">
            <v>0</v>
          </cell>
          <cell r="S92">
            <v>0</v>
          </cell>
          <cell r="X92">
            <v>0</v>
          </cell>
          <cell r="Y92">
            <v>5</v>
          </cell>
          <cell r="Z92">
            <v>12</v>
          </cell>
          <cell r="AC92">
            <v>0</v>
          </cell>
          <cell r="AD92">
            <v>14</v>
          </cell>
          <cell r="AE92">
            <v>13</v>
          </cell>
          <cell r="AF92">
            <v>15</v>
          </cell>
          <cell r="AG92">
            <v>14</v>
          </cell>
          <cell r="AH92">
            <v>1</v>
          </cell>
          <cell r="AJ92">
            <v>0</v>
          </cell>
          <cell r="AK92">
            <v>144.66666666666666</v>
          </cell>
          <cell r="AL92">
            <v>84</v>
          </cell>
          <cell r="AM92">
            <v>60.666666666666657</v>
          </cell>
          <cell r="AN92">
            <v>19</v>
          </cell>
          <cell r="AO92">
            <v>27</v>
          </cell>
          <cell r="AP92">
            <v>70484.497636363667</v>
          </cell>
          <cell r="AQ92">
            <v>153</v>
          </cell>
          <cell r="AR92">
            <v>-64</v>
          </cell>
        </row>
        <row r="93">
          <cell r="C93">
            <v>1560.9490000000001</v>
          </cell>
          <cell r="N93">
            <v>1614.15</v>
          </cell>
          <cell r="P93">
            <v>-1614.15</v>
          </cell>
          <cell r="Q93">
            <v>2962.8939999999998</v>
          </cell>
          <cell r="S93">
            <v>-2962.8939999999998</v>
          </cell>
          <cell r="T93">
            <v>176.47000000000003</v>
          </cell>
          <cell r="X93">
            <v>-176.47000000000003</v>
          </cell>
          <cell r="Y93">
            <v>225.76000000000002</v>
          </cell>
          <cell r="AB93">
            <v>432</v>
          </cell>
          <cell r="AC93">
            <v>206.23999999999998</v>
          </cell>
          <cell r="AD93">
            <v>1009.45</v>
          </cell>
          <cell r="AE93">
            <v>932.45</v>
          </cell>
          <cell r="AF93">
            <v>77</v>
          </cell>
          <cell r="AI93">
            <v>0</v>
          </cell>
          <cell r="AJ93" t="e">
            <v>#REF!</v>
          </cell>
          <cell r="AN93" t="e">
            <v>#REF!</v>
          </cell>
          <cell r="AO93">
            <v>1616</v>
          </cell>
          <cell r="AP93" t="e">
            <v>#REF!</v>
          </cell>
          <cell r="AS93">
            <v>2048</v>
          </cell>
        </row>
        <row r="94">
          <cell r="C94">
            <v>242</v>
          </cell>
          <cell r="N94">
            <v>1614.15</v>
          </cell>
          <cell r="P94">
            <v>-1614.15</v>
          </cell>
          <cell r="Q94">
            <v>2962.8939999999998</v>
          </cell>
          <cell r="S94">
            <v>-2962.8939999999998</v>
          </cell>
          <cell r="T94">
            <v>176.47000000000003</v>
          </cell>
          <cell r="W94">
            <v>0</v>
          </cell>
          <cell r="X94">
            <v>-176.47000000000003</v>
          </cell>
          <cell r="Y94">
            <v>225.76000000000002</v>
          </cell>
          <cell r="AB94">
            <v>432</v>
          </cell>
          <cell r="AC94">
            <v>206.23999999999998</v>
          </cell>
          <cell r="AD94">
            <v>1009.45</v>
          </cell>
          <cell r="AE94">
            <v>932.45</v>
          </cell>
          <cell r="AF94">
            <v>77</v>
          </cell>
          <cell r="AI94">
            <v>0</v>
          </cell>
          <cell r="AJ94">
            <v>-1009.45</v>
          </cell>
          <cell r="AN94" t="e">
            <v>#REF!</v>
          </cell>
          <cell r="AP94" t="e">
            <v>#REF!</v>
          </cell>
          <cell r="AS94">
            <v>432</v>
          </cell>
        </row>
        <row r="95">
          <cell r="C95">
            <v>0</v>
          </cell>
          <cell r="N95">
            <v>0</v>
          </cell>
          <cell r="P95">
            <v>0</v>
          </cell>
          <cell r="Q95">
            <v>0</v>
          </cell>
          <cell r="R95">
            <v>0</v>
          </cell>
          <cell r="S95">
            <v>0</v>
          </cell>
          <cell r="T95">
            <v>0</v>
          </cell>
          <cell r="U95">
            <v>2849.1290909090908</v>
          </cell>
          <cell r="V95">
            <v>0</v>
          </cell>
          <cell r="W95">
            <v>0</v>
          </cell>
          <cell r="X95">
            <v>0</v>
          </cell>
          <cell r="Y95">
            <v>0</v>
          </cell>
          <cell r="Z95">
            <v>15943.720620842572</v>
          </cell>
          <cell r="AA95">
            <v>0</v>
          </cell>
          <cell r="AB95">
            <v>0</v>
          </cell>
          <cell r="AC95">
            <v>0</v>
          </cell>
          <cell r="AD95">
            <v>0</v>
          </cell>
          <cell r="AE95">
            <v>0</v>
          </cell>
          <cell r="AF95">
            <v>0</v>
          </cell>
          <cell r="AG95">
            <v>3063.1</v>
          </cell>
          <cell r="AH95">
            <v>1003.9000000000001</v>
          </cell>
          <cell r="AI95">
            <v>0</v>
          </cell>
          <cell r="AJ95">
            <v>0</v>
          </cell>
          <cell r="AK95">
            <v>105284.85757575756</v>
          </cell>
          <cell r="AL95">
            <v>42411.38422397634</v>
          </cell>
          <cell r="AM95">
            <v>62873.473351781242</v>
          </cell>
          <cell r="AN95" t="e">
            <v>#REF!</v>
          </cell>
          <cell r="AO95">
            <v>50672</v>
          </cell>
          <cell r="AP95" t="e">
            <v>#REF!</v>
          </cell>
          <cell r="AQ95">
            <v>10450.475260369414</v>
          </cell>
          <cell r="AR95">
            <v>14571.544133725103</v>
          </cell>
          <cell r="AS95">
            <v>0</v>
          </cell>
        </row>
        <row r="96">
          <cell r="C96">
            <v>1318.9490000000001</v>
          </cell>
          <cell r="N96">
            <v>0</v>
          </cell>
          <cell r="P96">
            <v>0</v>
          </cell>
          <cell r="Q96">
            <v>0</v>
          </cell>
          <cell r="R96">
            <v>0</v>
          </cell>
          <cell r="S96">
            <v>0</v>
          </cell>
          <cell r="T96">
            <v>4830.1436363636385</v>
          </cell>
          <cell r="U96">
            <v>2849.1290909090908</v>
          </cell>
          <cell r="V96">
            <v>0</v>
          </cell>
          <cell r="W96">
            <v>0</v>
          </cell>
          <cell r="X96">
            <v>0</v>
          </cell>
          <cell r="Y96">
            <v>0</v>
          </cell>
          <cell r="Z96">
            <v>1809.818181818182</v>
          </cell>
          <cell r="AA96">
            <v>0</v>
          </cell>
          <cell r="AB96">
            <v>0</v>
          </cell>
          <cell r="AC96">
            <v>0</v>
          </cell>
          <cell r="AD96">
            <v>0</v>
          </cell>
          <cell r="AE96">
            <v>0</v>
          </cell>
          <cell r="AF96">
            <v>0</v>
          </cell>
          <cell r="AG96">
            <v>3063.1</v>
          </cell>
          <cell r="AH96">
            <v>1003.9000000000001</v>
          </cell>
          <cell r="AI96">
            <v>0</v>
          </cell>
          <cell r="AJ96">
            <v>0</v>
          </cell>
          <cell r="AK96">
            <v>24216.85757575756</v>
          </cell>
          <cell r="AL96">
            <v>6508.8092283213991</v>
          </cell>
          <cell r="AM96">
            <v>17708.048347436183</v>
          </cell>
          <cell r="AN96" t="e">
            <v>#REF!</v>
          </cell>
          <cell r="AO96">
            <v>5507</v>
          </cell>
          <cell r="AP96" t="e">
            <v>#REF!</v>
          </cell>
          <cell r="AQ96">
            <v>10450.050256024355</v>
          </cell>
          <cell r="AR96">
            <v>14571.544133725103</v>
          </cell>
          <cell r="AS96">
            <v>0</v>
          </cell>
        </row>
        <row r="97">
          <cell r="P97">
            <v>0</v>
          </cell>
          <cell r="S97">
            <v>0</v>
          </cell>
          <cell r="X97">
            <v>0</v>
          </cell>
          <cell r="Y97">
            <v>28724.818181818184</v>
          </cell>
          <cell r="AC97">
            <v>0</v>
          </cell>
          <cell r="AD97">
            <v>26701</v>
          </cell>
          <cell r="AF97">
            <v>0</v>
          </cell>
          <cell r="AG97">
            <v>67.2</v>
          </cell>
          <cell r="AH97">
            <v>0</v>
          </cell>
          <cell r="AI97">
            <v>0</v>
          </cell>
          <cell r="AJ97">
            <v>0</v>
          </cell>
          <cell r="AK97">
            <v>4174.5999999999995</v>
          </cell>
          <cell r="AL97">
            <v>105284.85757575759</v>
          </cell>
          <cell r="AN97" t="e">
            <v>#REF!</v>
          </cell>
          <cell r="AP97" t="e">
            <v>#REF!</v>
          </cell>
          <cell r="AS97">
            <v>0</v>
          </cell>
        </row>
        <row r="98">
          <cell r="P98">
            <v>0</v>
          </cell>
          <cell r="S98">
            <v>0</v>
          </cell>
          <cell r="X98">
            <v>0</v>
          </cell>
          <cell r="AC98">
            <v>0</v>
          </cell>
          <cell r="AF98">
            <v>0</v>
          </cell>
          <cell r="AG98">
            <v>67.2</v>
          </cell>
          <cell r="AH98">
            <v>0</v>
          </cell>
          <cell r="AI98">
            <v>0</v>
          </cell>
          <cell r="AJ98">
            <v>0</v>
          </cell>
          <cell r="AK98">
            <v>3837.6</v>
          </cell>
          <cell r="AL98">
            <v>105284.85757575757</v>
          </cell>
          <cell r="AM98">
            <v>42403.574995654941</v>
          </cell>
          <cell r="AN98" t="e">
            <v>#REF!</v>
          </cell>
          <cell r="AP98" t="e">
            <v>#REF!</v>
          </cell>
          <cell r="AS98">
            <v>0</v>
          </cell>
        </row>
        <row r="99">
          <cell r="P99">
            <v>0</v>
          </cell>
          <cell r="S99">
            <v>0</v>
          </cell>
          <cell r="X99">
            <v>0</v>
          </cell>
          <cell r="AC99">
            <v>0</v>
          </cell>
          <cell r="AF99">
            <v>0</v>
          </cell>
          <cell r="AG99">
            <v>454</v>
          </cell>
          <cell r="AH99">
            <v>0</v>
          </cell>
          <cell r="AI99">
            <v>0</v>
          </cell>
          <cell r="AJ99">
            <v>0</v>
          </cell>
          <cell r="AK99">
            <v>0</v>
          </cell>
          <cell r="AL99">
            <v>109509.14393939395</v>
          </cell>
          <cell r="AM99">
            <v>46269.90741929959</v>
          </cell>
          <cell r="AN99" t="e">
            <v>#REF!</v>
          </cell>
          <cell r="AP99" t="e">
            <v>#REF!</v>
          </cell>
          <cell r="AS99">
            <v>0</v>
          </cell>
        </row>
        <row r="100">
          <cell r="P100">
            <v>0</v>
          </cell>
          <cell r="S100">
            <v>0</v>
          </cell>
          <cell r="X100">
            <v>0</v>
          </cell>
          <cell r="AC100">
            <v>0</v>
          </cell>
          <cell r="AF100">
            <v>0</v>
          </cell>
          <cell r="AG100">
            <v>0</v>
          </cell>
          <cell r="AH100">
            <v>0</v>
          </cell>
          <cell r="AI100">
            <v>0</v>
          </cell>
          <cell r="AJ100">
            <v>0</v>
          </cell>
          <cell r="AK100">
            <v>337</v>
          </cell>
          <cell r="AN100" t="e">
            <v>#REF!</v>
          </cell>
          <cell r="AP100" t="e">
            <v>#REF!</v>
          </cell>
          <cell r="AS100">
            <v>0</v>
          </cell>
        </row>
        <row r="101">
          <cell r="C101">
            <v>2004.5170000000001</v>
          </cell>
          <cell r="N101">
            <v>0.19200000000000017</v>
          </cell>
          <cell r="P101">
            <v>-0.19200000000000017</v>
          </cell>
          <cell r="Q101">
            <v>-0.32000000000000028</v>
          </cell>
          <cell r="R101">
            <v>31</v>
          </cell>
          <cell r="S101">
            <v>31.32</v>
          </cell>
          <cell r="T101">
            <v>-0.3360000000000003</v>
          </cell>
          <cell r="W101">
            <v>2</v>
          </cell>
          <cell r="X101">
            <v>2.3360000000000003</v>
          </cell>
          <cell r="Y101">
            <v>0.28000000000000114</v>
          </cell>
          <cell r="AB101">
            <v>10</v>
          </cell>
          <cell r="AC101">
            <v>9.7199999999999989</v>
          </cell>
          <cell r="AD101">
            <v>0.35200000000000031</v>
          </cell>
          <cell r="AE101">
            <v>0.35200000000000031</v>
          </cell>
          <cell r="AF101">
            <v>0</v>
          </cell>
          <cell r="AG101">
            <v>128</v>
          </cell>
          <cell r="AH101">
            <v>128</v>
          </cell>
          <cell r="AI101">
            <v>0</v>
          </cell>
          <cell r="AJ101">
            <v>127.648</v>
          </cell>
          <cell r="AK101">
            <v>1741</v>
          </cell>
          <cell r="AL101">
            <v>116775.1297878788</v>
          </cell>
          <cell r="AM101">
            <v>43965.116024096387</v>
          </cell>
          <cell r="AN101" t="e">
            <v>#REF!</v>
          </cell>
          <cell r="AP101" t="e">
            <v>#REF!</v>
          </cell>
          <cell r="AS101">
            <v>140</v>
          </cell>
        </row>
        <row r="102">
          <cell r="C102">
            <v>1318.9490000000001</v>
          </cell>
          <cell r="N102">
            <v>0</v>
          </cell>
          <cell r="P102">
            <v>0</v>
          </cell>
          <cell r="Q102">
            <v>0</v>
          </cell>
          <cell r="R102">
            <v>0</v>
          </cell>
          <cell r="S102">
            <v>0</v>
          </cell>
          <cell r="T102">
            <v>0</v>
          </cell>
          <cell r="X102">
            <v>0</v>
          </cell>
          <cell r="Y102">
            <v>0</v>
          </cell>
          <cell r="AC102">
            <v>0</v>
          </cell>
          <cell r="AD102">
            <v>0</v>
          </cell>
          <cell r="AE102">
            <v>0</v>
          </cell>
          <cell r="AF102">
            <v>0</v>
          </cell>
          <cell r="AI102">
            <v>0</v>
          </cell>
          <cell r="AJ102">
            <v>0</v>
          </cell>
          <cell r="AK102">
            <v>93</v>
          </cell>
          <cell r="AN102" t="e">
            <v>#REF!</v>
          </cell>
          <cell r="AP102" t="e">
            <v>#REF!</v>
          </cell>
          <cell r="AS102">
            <v>0</v>
          </cell>
        </row>
        <row r="103">
          <cell r="C103">
            <v>686</v>
          </cell>
          <cell r="N103">
            <v>0</v>
          </cell>
          <cell r="P103">
            <v>0</v>
          </cell>
          <cell r="Q103">
            <v>0</v>
          </cell>
          <cell r="S103">
            <v>0</v>
          </cell>
          <cell r="T103">
            <v>0</v>
          </cell>
          <cell r="X103">
            <v>0</v>
          </cell>
          <cell r="Y103">
            <v>0</v>
          </cell>
          <cell r="AC103">
            <v>0</v>
          </cell>
          <cell r="AD103">
            <v>0</v>
          </cell>
          <cell r="AE103">
            <v>0</v>
          </cell>
          <cell r="AF103">
            <v>0</v>
          </cell>
          <cell r="AG103">
            <v>0</v>
          </cell>
          <cell r="AH103">
            <v>0</v>
          </cell>
          <cell r="AI103">
            <v>0</v>
          </cell>
          <cell r="AJ103">
            <v>0</v>
          </cell>
          <cell r="AK103">
            <v>1291</v>
          </cell>
          <cell r="AN103" t="e">
            <v>#REF!</v>
          </cell>
          <cell r="AP103" t="e">
            <v>#REF!</v>
          </cell>
          <cell r="AS103">
            <v>0</v>
          </cell>
        </row>
        <row r="104">
          <cell r="C104">
            <v>-0.43200000000001637</v>
          </cell>
          <cell r="N104">
            <v>0.19200000000000017</v>
          </cell>
          <cell r="P104">
            <v>-0.19200000000000017</v>
          </cell>
          <cell r="Q104">
            <v>-0.32000000000000028</v>
          </cell>
          <cell r="R104">
            <v>31</v>
          </cell>
          <cell r="S104">
            <v>31.32</v>
          </cell>
          <cell r="T104">
            <v>-0.3360000000000003</v>
          </cell>
          <cell r="W104">
            <v>2</v>
          </cell>
          <cell r="X104">
            <v>2.3360000000000003</v>
          </cell>
          <cell r="Y104">
            <v>0.28000000000000114</v>
          </cell>
          <cell r="AB104">
            <v>10</v>
          </cell>
          <cell r="AC104">
            <v>9.7199999999999989</v>
          </cell>
          <cell r="AD104">
            <v>0.35200000000000031</v>
          </cell>
          <cell r="AE104">
            <v>0.35200000000000031</v>
          </cell>
          <cell r="AF104">
            <v>0</v>
          </cell>
          <cell r="AG104">
            <v>128</v>
          </cell>
          <cell r="AH104">
            <v>128</v>
          </cell>
          <cell r="AI104">
            <v>0</v>
          </cell>
          <cell r="AJ104">
            <v>127.648</v>
          </cell>
          <cell r="AK104">
            <v>0</v>
          </cell>
          <cell r="AN104">
            <v>3702.2</v>
          </cell>
          <cell r="AP104">
            <v>3702</v>
          </cell>
          <cell r="AS104">
            <v>140</v>
          </cell>
        </row>
        <row r="105">
          <cell r="C105">
            <v>591.5</v>
          </cell>
          <cell r="N105">
            <v>0.20800000000000018</v>
          </cell>
          <cell r="P105">
            <v>-0.20800000000000018</v>
          </cell>
          <cell r="Q105">
            <v>234.404</v>
          </cell>
          <cell r="R105">
            <v>154</v>
          </cell>
          <cell r="S105">
            <v>-80.403999999999996</v>
          </cell>
          <cell r="T105">
            <v>-0.42800000000000082</v>
          </cell>
          <cell r="W105">
            <v>79</v>
          </cell>
          <cell r="X105">
            <v>79.427999999999997</v>
          </cell>
          <cell r="Y105">
            <v>6.799999999999784E-2</v>
          </cell>
          <cell r="AB105">
            <v>86</v>
          </cell>
          <cell r="AC105">
            <v>85.932000000000002</v>
          </cell>
          <cell r="AD105">
            <v>0.28399999999999892</v>
          </cell>
          <cell r="AE105">
            <v>0.28399999999999892</v>
          </cell>
          <cell r="AF105">
            <v>0</v>
          </cell>
          <cell r="AG105">
            <v>30</v>
          </cell>
          <cell r="AH105">
            <v>30</v>
          </cell>
          <cell r="AI105">
            <v>0</v>
          </cell>
          <cell r="AJ105">
            <v>29.716000000000001</v>
          </cell>
          <cell r="AK105">
            <v>0</v>
          </cell>
          <cell r="AN105" t="e">
            <v>#REF!</v>
          </cell>
          <cell r="AP105" t="e">
            <v>#REF!</v>
          </cell>
          <cell r="AS105">
            <v>195</v>
          </cell>
        </row>
        <row r="106">
          <cell r="C106">
            <v>592</v>
          </cell>
          <cell r="N106">
            <v>0</v>
          </cell>
          <cell r="P106">
            <v>0</v>
          </cell>
          <cell r="Q106">
            <v>233.64000000000001</v>
          </cell>
          <cell r="R106">
            <v>0</v>
          </cell>
          <cell r="S106">
            <v>-233.64000000000001</v>
          </cell>
          <cell r="T106">
            <v>0</v>
          </cell>
          <cell r="W106">
            <v>0</v>
          </cell>
          <cell r="X106">
            <v>0</v>
          </cell>
          <cell r="Y106">
            <v>0</v>
          </cell>
          <cell r="AB106">
            <v>0</v>
          </cell>
          <cell r="AC106">
            <v>0</v>
          </cell>
          <cell r="AD106">
            <v>0</v>
          </cell>
          <cell r="AE106">
            <v>0</v>
          </cell>
          <cell r="AF106">
            <v>0</v>
          </cell>
          <cell r="AG106">
            <v>0</v>
          </cell>
          <cell r="AH106">
            <v>0</v>
          </cell>
          <cell r="AI106">
            <v>0</v>
          </cell>
          <cell r="AJ106">
            <v>0</v>
          </cell>
          <cell r="AK106">
            <v>787</v>
          </cell>
          <cell r="AN106" t="e">
            <v>#REF!</v>
          </cell>
          <cell r="AP106" t="e">
            <v>#REF!</v>
          </cell>
          <cell r="AS106">
            <v>0</v>
          </cell>
        </row>
        <row r="107">
          <cell r="C107">
            <v>-0.5</v>
          </cell>
          <cell r="N107">
            <v>0.20800000000000018</v>
          </cell>
          <cell r="P107">
            <v>-0.20800000000000018</v>
          </cell>
          <cell r="Q107">
            <v>-0.23600000000000065</v>
          </cell>
          <cell r="R107">
            <v>154</v>
          </cell>
          <cell r="S107">
            <v>154.23599999999999</v>
          </cell>
          <cell r="T107">
            <v>-0.42800000000000082</v>
          </cell>
          <cell r="W107">
            <v>79</v>
          </cell>
          <cell r="X107">
            <v>79.427999999999997</v>
          </cell>
          <cell r="Y107">
            <v>6.799999999999784E-2</v>
          </cell>
          <cell r="AB107">
            <v>86</v>
          </cell>
          <cell r="AC107">
            <v>85.932000000000002</v>
          </cell>
          <cell r="AD107">
            <v>0.28399999999999892</v>
          </cell>
          <cell r="AE107">
            <v>0.28399999999999892</v>
          </cell>
          <cell r="AF107">
            <v>0</v>
          </cell>
          <cell r="AG107">
            <v>30</v>
          </cell>
          <cell r="AH107">
            <v>30</v>
          </cell>
          <cell r="AI107">
            <v>0</v>
          </cell>
          <cell r="AJ107">
            <v>29.716000000000001</v>
          </cell>
          <cell r="AK107">
            <v>337</v>
          </cell>
          <cell r="AN107" t="e">
            <v>#REF!</v>
          </cell>
          <cell r="AP107" t="e">
            <v>#REF!</v>
          </cell>
          <cell r="AS107">
            <v>195</v>
          </cell>
        </row>
        <row r="108">
          <cell r="C108">
            <v>605.41409090909156</v>
          </cell>
          <cell r="N108">
            <v>0</v>
          </cell>
          <cell r="P108">
            <v>0</v>
          </cell>
          <cell r="Q108">
            <v>526.04999999999995</v>
          </cell>
          <cell r="R108">
            <v>800</v>
          </cell>
          <cell r="S108">
            <v>273.95000000000005</v>
          </cell>
          <cell r="T108">
            <v>0</v>
          </cell>
          <cell r="X108">
            <v>0</v>
          </cell>
          <cell r="Y108">
            <v>0</v>
          </cell>
          <cell r="AC108">
            <v>0</v>
          </cell>
          <cell r="AD108">
            <v>0</v>
          </cell>
          <cell r="AE108">
            <v>0</v>
          </cell>
          <cell r="AF108">
            <v>0</v>
          </cell>
          <cell r="AG108">
            <v>0</v>
          </cell>
          <cell r="AH108">
            <v>0</v>
          </cell>
          <cell r="AI108">
            <v>0</v>
          </cell>
          <cell r="AJ108">
            <v>0</v>
          </cell>
          <cell r="AK108">
            <v>450</v>
          </cell>
          <cell r="AN108" t="e">
            <v>#REF!</v>
          </cell>
          <cell r="AP108" t="e">
            <v>#REF!</v>
          </cell>
          <cell r="AQ108" t="e">
            <v>#REF!</v>
          </cell>
          <cell r="AR108" t="e">
            <v>#REF!</v>
          </cell>
          <cell r="AS108">
            <v>0</v>
          </cell>
        </row>
        <row r="109">
          <cell r="C109">
            <v>0</v>
          </cell>
          <cell r="N109">
            <v>0</v>
          </cell>
          <cell r="P109">
            <v>0</v>
          </cell>
          <cell r="Q109">
            <v>526.04999999999995</v>
          </cell>
          <cell r="R109">
            <v>800</v>
          </cell>
          <cell r="S109">
            <v>273.95000000000005</v>
          </cell>
          <cell r="T109">
            <v>0</v>
          </cell>
          <cell r="X109">
            <v>0</v>
          </cell>
          <cell r="Y109">
            <v>0</v>
          </cell>
          <cell r="AC109">
            <v>0</v>
          </cell>
          <cell r="AD109">
            <v>0</v>
          </cell>
          <cell r="AE109">
            <v>0</v>
          </cell>
          <cell r="AF109">
            <v>0</v>
          </cell>
          <cell r="AG109">
            <v>0</v>
          </cell>
          <cell r="AH109">
            <v>0</v>
          </cell>
          <cell r="AI109">
            <v>0</v>
          </cell>
          <cell r="AJ109">
            <v>0</v>
          </cell>
          <cell r="AK109">
            <v>0</v>
          </cell>
          <cell r="AN109" t="e">
            <v>#REF!</v>
          </cell>
          <cell r="AP109" t="e">
            <v>#REF!</v>
          </cell>
          <cell r="AS109">
            <v>0</v>
          </cell>
        </row>
        <row r="110">
          <cell r="C110">
            <v>0</v>
          </cell>
          <cell r="N110">
            <v>0</v>
          </cell>
          <cell r="P110">
            <v>0</v>
          </cell>
          <cell r="Q110">
            <v>0</v>
          </cell>
          <cell r="S110">
            <v>0</v>
          </cell>
          <cell r="T110">
            <v>0</v>
          </cell>
          <cell r="X110">
            <v>0</v>
          </cell>
          <cell r="Y110">
            <v>0</v>
          </cell>
          <cell r="AC110">
            <v>0</v>
          </cell>
          <cell r="AD110">
            <v>0</v>
          </cell>
          <cell r="AE110">
            <v>0</v>
          </cell>
          <cell r="AF110">
            <v>0</v>
          </cell>
          <cell r="AG110">
            <v>0</v>
          </cell>
          <cell r="AH110">
            <v>0</v>
          </cell>
          <cell r="AI110">
            <v>0</v>
          </cell>
          <cell r="AJ110">
            <v>0</v>
          </cell>
          <cell r="AK110">
            <v>280</v>
          </cell>
          <cell r="AN110" t="e">
            <v>#REF!</v>
          </cell>
          <cell r="AP110" t="e">
            <v>#REF!</v>
          </cell>
          <cell r="AQ110">
            <v>0</v>
          </cell>
          <cell r="AR110">
            <v>0</v>
          </cell>
          <cell r="AS110">
            <v>0</v>
          </cell>
        </row>
        <row r="111">
          <cell r="C111">
            <v>0</v>
          </cell>
          <cell r="N111">
            <v>0</v>
          </cell>
          <cell r="P111">
            <v>0</v>
          </cell>
          <cell r="Q111">
            <v>0</v>
          </cell>
          <cell r="S111">
            <v>0</v>
          </cell>
          <cell r="T111">
            <v>0</v>
          </cell>
          <cell r="X111">
            <v>0</v>
          </cell>
          <cell r="Y111">
            <v>0</v>
          </cell>
          <cell r="AC111">
            <v>0</v>
          </cell>
          <cell r="AD111">
            <v>0</v>
          </cell>
          <cell r="AE111">
            <v>0</v>
          </cell>
          <cell r="AF111">
            <v>0</v>
          </cell>
          <cell r="AG111">
            <v>0</v>
          </cell>
          <cell r="AH111">
            <v>0</v>
          </cell>
          <cell r="AI111">
            <v>0</v>
          </cell>
          <cell r="AJ111">
            <v>0</v>
          </cell>
          <cell r="AK111">
            <v>280</v>
          </cell>
          <cell r="AN111" t="e">
            <v>#REF!</v>
          </cell>
          <cell r="AP111" t="e">
            <v>#REF!</v>
          </cell>
          <cell r="AS111">
            <v>0</v>
          </cell>
        </row>
        <row r="112">
          <cell r="C112">
            <v>0</v>
          </cell>
          <cell r="N112">
            <v>0</v>
          </cell>
          <cell r="P112">
            <v>0</v>
          </cell>
          <cell r="Q112">
            <v>0</v>
          </cell>
          <cell r="R112">
            <v>928</v>
          </cell>
          <cell r="S112">
            <v>928</v>
          </cell>
          <cell r="T112">
            <v>0</v>
          </cell>
          <cell r="W112">
            <v>366</v>
          </cell>
          <cell r="X112">
            <v>366</v>
          </cell>
          <cell r="Y112">
            <v>0</v>
          </cell>
          <cell r="AB112">
            <v>251</v>
          </cell>
          <cell r="AC112">
            <v>251</v>
          </cell>
          <cell r="AD112">
            <v>0</v>
          </cell>
          <cell r="AE112">
            <v>0</v>
          </cell>
          <cell r="AF112">
            <v>0</v>
          </cell>
          <cell r="AG112">
            <v>535</v>
          </cell>
          <cell r="AH112">
            <v>535</v>
          </cell>
          <cell r="AI112">
            <v>0</v>
          </cell>
          <cell r="AJ112">
            <v>535</v>
          </cell>
          <cell r="AK112">
            <v>0</v>
          </cell>
          <cell r="AN112" t="e">
            <v>#REF!</v>
          </cell>
          <cell r="AP112" t="e">
            <v>#REF!</v>
          </cell>
          <cell r="AS112">
            <v>1152</v>
          </cell>
        </row>
        <row r="113">
          <cell r="C113">
            <v>2</v>
          </cell>
          <cell r="N113">
            <v>0</v>
          </cell>
          <cell r="P113">
            <v>0</v>
          </cell>
          <cell r="Q113">
            <v>0</v>
          </cell>
          <cell r="R113">
            <v>8</v>
          </cell>
          <cell r="S113">
            <v>8</v>
          </cell>
          <cell r="T113">
            <v>0</v>
          </cell>
          <cell r="W113">
            <v>57</v>
          </cell>
          <cell r="X113">
            <v>57</v>
          </cell>
          <cell r="Y113">
            <v>0</v>
          </cell>
          <cell r="AB113">
            <v>7</v>
          </cell>
          <cell r="AC113">
            <v>7</v>
          </cell>
          <cell r="AD113">
            <v>0</v>
          </cell>
          <cell r="AE113">
            <v>0</v>
          </cell>
          <cell r="AF113">
            <v>0</v>
          </cell>
          <cell r="AG113">
            <v>0</v>
          </cell>
          <cell r="AH113">
            <v>0</v>
          </cell>
          <cell r="AI113">
            <v>0</v>
          </cell>
          <cell r="AJ113">
            <v>0</v>
          </cell>
          <cell r="AK113">
            <v>331</v>
          </cell>
          <cell r="AM113">
            <v>0</v>
          </cell>
          <cell r="AN113">
            <v>19</v>
          </cell>
          <cell r="AP113">
            <v>21</v>
          </cell>
          <cell r="AS113">
            <v>64</v>
          </cell>
        </row>
        <row r="114">
          <cell r="C114">
            <v>1168.2070454545458</v>
          </cell>
          <cell r="N114">
            <v>0</v>
          </cell>
          <cell r="P114">
            <v>0</v>
          </cell>
          <cell r="Q114">
            <v>0</v>
          </cell>
          <cell r="S114">
            <v>0</v>
          </cell>
          <cell r="T114">
            <v>0</v>
          </cell>
          <cell r="X114">
            <v>0</v>
          </cell>
          <cell r="Y114">
            <v>0</v>
          </cell>
          <cell r="AC114">
            <v>0</v>
          </cell>
          <cell r="AD114">
            <v>0</v>
          </cell>
          <cell r="AE114">
            <v>0</v>
          </cell>
          <cell r="AF114">
            <v>0</v>
          </cell>
          <cell r="AG114">
            <v>0</v>
          </cell>
          <cell r="AH114">
            <v>0</v>
          </cell>
          <cell r="AI114">
            <v>0</v>
          </cell>
          <cell r="AJ114">
            <v>0</v>
          </cell>
          <cell r="AK114">
            <v>331</v>
          </cell>
          <cell r="AM114">
            <v>0</v>
          </cell>
          <cell r="AN114" t="e">
            <v>#REF!</v>
          </cell>
          <cell r="AP114" t="e">
            <v>#REF!</v>
          </cell>
          <cell r="AS114">
            <v>0</v>
          </cell>
        </row>
        <row r="115">
          <cell r="C115">
            <v>0</v>
          </cell>
          <cell r="P115">
            <v>0</v>
          </cell>
          <cell r="S115">
            <v>0</v>
          </cell>
          <cell r="X115">
            <v>0</v>
          </cell>
          <cell r="AC115">
            <v>0</v>
          </cell>
          <cell r="AF115">
            <v>0</v>
          </cell>
          <cell r="AG115">
            <v>0</v>
          </cell>
          <cell r="AH115">
            <v>0</v>
          </cell>
          <cell r="AI115">
            <v>0</v>
          </cell>
          <cell r="AJ115">
            <v>0</v>
          </cell>
          <cell r="AK115">
            <v>0</v>
          </cell>
          <cell r="AL115">
            <v>0</v>
          </cell>
          <cell r="AM115">
            <v>0</v>
          </cell>
          <cell r="AP115">
            <v>0</v>
          </cell>
          <cell r="AS115">
            <v>0</v>
          </cell>
        </row>
        <row r="116">
          <cell r="C116">
            <v>17200.466666666667</v>
          </cell>
          <cell r="P116">
            <v>0</v>
          </cell>
          <cell r="S116">
            <v>0</v>
          </cell>
          <cell r="X116">
            <v>0</v>
          </cell>
          <cell r="AC116">
            <v>0</v>
          </cell>
          <cell r="AF116">
            <v>0</v>
          </cell>
          <cell r="AG116">
            <v>0</v>
          </cell>
          <cell r="AH116">
            <v>0</v>
          </cell>
          <cell r="AI116">
            <v>0</v>
          </cell>
          <cell r="AJ116">
            <v>0</v>
          </cell>
          <cell r="AK116">
            <v>0</v>
          </cell>
          <cell r="AL116">
            <v>0</v>
          </cell>
          <cell r="AM116">
            <v>0</v>
          </cell>
          <cell r="AP116">
            <v>17200.466666666667</v>
          </cell>
          <cell r="AS116">
            <v>0</v>
          </cell>
        </row>
        <row r="117">
          <cell r="C117">
            <v>0</v>
          </cell>
          <cell r="P117">
            <v>0</v>
          </cell>
          <cell r="S117">
            <v>0</v>
          </cell>
          <cell r="AC117">
            <v>0</v>
          </cell>
          <cell r="AF117">
            <v>0</v>
          </cell>
          <cell r="AG117">
            <v>0</v>
          </cell>
          <cell r="AH117">
            <v>0</v>
          </cell>
          <cell r="AK117">
            <v>0</v>
          </cell>
        </row>
        <row r="118">
          <cell r="P118">
            <v>0</v>
          </cell>
          <cell r="S118">
            <v>0</v>
          </cell>
          <cell r="X118">
            <v>0</v>
          </cell>
          <cell r="AC118">
            <v>0</v>
          </cell>
          <cell r="AF118">
            <v>0</v>
          </cell>
          <cell r="AG118">
            <v>0</v>
          </cell>
          <cell r="AH118">
            <v>0</v>
          </cell>
          <cell r="AK118">
            <v>0</v>
          </cell>
          <cell r="AL118">
            <v>0</v>
          </cell>
          <cell r="AM118">
            <v>0</v>
          </cell>
        </row>
        <row r="119">
          <cell r="P119">
            <v>0</v>
          </cell>
          <cell r="S119">
            <v>0</v>
          </cell>
          <cell r="X119">
            <v>0</v>
          </cell>
          <cell r="AC119">
            <v>0</v>
          </cell>
          <cell r="AG119">
            <v>0</v>
          </cell>
          <cell r="AH119">
            <v>0</v>
          </cell>
          <cell r="AK119">
            <v>250.66666666666666</v>
          </cell>
        </row>
        <row r="120">
          <cell r="P120">
            <v>0</v>
          </cell>
          <cell r="S120">
            <v>0</v>
          </cell>
          <cell r="X120">
            <v>0</v>
          </cell>
          <cell r="AC120">
            <v>0</v>
          </cell>
          <cell r="AE120" t="e">
            <v>#REF!</v>
          </cell>
          <cell r="AF120" t="e">
            <v>#REF!</v>
          </cell>
          <cell r="AG120">
            <v>0</v>
          </cell>
          <cell r="AH120">
            <v>0</v>
          </cell>
          <cell r="AI120">
            <v>0</v>
          </cell>
          <cell r="AJ120">
            <v>0</v>
          </cell>
          <cell r="AK120">
            <v>0</v>
          </cell>
          <cell r="AN120" t="e">
            <v>#REF!</v>
          </cell>
          <cell r="AP120">
            <v>36465</v>
          </cell>
          <cell r="AQ120" t="e">
            <v>#REF!</v>
          </cell>
          <cell r="AS120">
            <v>0</v>
          </cell>
        </row>
        <row r="121">
          <cell r="C121">
            <v>0</v>
          </cell>
          <cell r="P121">
            <v>0</v>
          </cell>
          <cell r="S121">
            <v>0</v>
          </cell>
          <cell r="X121">
            <v>0</v>
          </cell>
          <cell r="AC121">
            <v>0</v>
          </cell>
          <cell r="AF121">
            <v>0</v>
          </cell>
          <cell r="AG121">
            <v>0</v>
          </cell>
          <cell r="AH121">
            <v>0</v>
          </cell>
          <cell r="AJ121">
            <v>0</v>
          </cell>
          <cell r="AK121">
            <v>8992</v>
          </cell>
          <cell r="AN121" t="e">
            <v>#REF!</v>
          </cell>
          <cell r="AP121" t="e">
            <v>#REF!</v>
          </cell>
          <cell r="AS121">
            <v>0</v>
          </cell>
        </row>
        <row r="122">
          <cell r="C122">
            <v>2598.0169999999998</v>
          </cell>
          <cell r="D122">
            <v>0</v>
          </cell>
          <cell r="E122">
            <v>0</v>
          </cell>
          <cell r="N122">
            <v>0.40000000000000036</v>
          </cell>
          <cell r="O122">
            <v>0</v>
          </cell>
          <cell r="P122">
            <v>-0.40000000000000036</v>
          </cell>
          <cell r="Q122">
            <v>0</v>
          </cell>
          <cell r="R122">
            <v>1921</v>
          </cell>
          <cell r="S122">
            <v>1921</v>
          </cell>
          <cell r="T122">
            <v>-0.76400000000000112</v>
          </cell>
          <cell r="U122">
            <v>0</v>
          </cell>
          <cell r="V122">
            <v>0</v>
          </cell>
          <cell r="W122">
            <v>504</v>
          </cell>
          <cell r="X122">
            <v>504.76400000000001</v>
          </cell>
          <cell r="Y122">
            <v>0.34799999999999898</v>
          </cell>
          <cell r="Z122">
            <v>0</v>
          </cell>
          <cell r="AA122">
            <v>0</v>
          </cell>
          <cell r="AB122">
            <v>354</v>
          </cell>
          <cell r="AC122">
            <v>353.65199999999999</v>
          </cell>
          <cell r="AD122">
            <v>0.63599999999999923</v>
          </cell>
          <cell r="AE122">
            <v>0.63599999999999923</v>
          </cell>
          <cell r="AF122">
            <v>0</v>
          </cell>
          <cell r="AG122">
            <v>693</v>
          </cell>
          <cell r="AH122">
            <v>693</v>
          </cell>
          <cell r="AI122">
            <v>0</v>
          </cell>
          <cell r="AJ122">
            <v>692.36400000000003</v>
          </cell>
          <cell r="AK122">
            <v>0</v>
          </cell>
          <cell r="AN122" t="e">
            <v>#REF!</v>
          </cell>
          <cell r="AP122" t="e">
            <v>#REF!</v>
          </cell>
          <cell r="AU122">
            <v>0</v>
          </cell>
          <cell r="AV122">
            <v>0</v>
          </cell>
          <cell r="AW122">
            <v>0</v>
          </cell>
          <cell r="AX122">
            <v>0</v>
          </cell>
        </row>
        <row r="123">
          <cell r="C123">
            <v>21572.104803030306</v>
          </cell>
          <cell r="D123">
            <v>0</v>
          </cell>
          <cell r="E123">
            <v>0</v>
          </cell>
          <cell r="N123">
            <v>0.40000000000000036</v>
          </cell>
          <cell r="P123">
            <v>-0.40000000000000036</v>
          </cell>
          <cell r="Q123">
            <v>0</v>
          </cell>
          <cell r="S123">
            <v>0</v>
          </cell>
          <cell r="T123">
            <v>-0.76400000000000112</v>
          </cell>
          <cell r="U123">
            <v>0</v>
          </cell>
          <cell r="V123">
            <v>0</v>
          </cell>
          <cell r="X123">
            <v>0.76400000000000112</v>
          </cell>
          <cell r="Y123">
            <v>0.34799999999999898</v>
          </cell>
          <cell r="Z123">
            <v>0</v>
          </cell>
          <cell r="AA123">
            <v>0</v>
          </cell>
          <cell r="AC123">
            <v>-0.34799999999999898</v>
          </cell>
          <cell r="AF123">
            <v>0</v>
          </cell>
          <cell r="AJ123">
            <v>0</v>
          </cell>
          <cell r="AK123">
            <v>-4642</v>
          </cell>
          <cell r="AL123">
            <v>-12062.791969696958</v>
          </cell>
          <cell r="AN123" t="e">
            <v>#REF!</v>
          </cell>
          <cell r="AP123" t="e">
            <v>#REF!</v>
          </cell>
        </row>
        <row r="124">
          <cell r="P124">
            <v>0</v>
          </cell>
          <cell r="X124">
            <v>0</v>
          </cell>
          <cell r="AC124">
            <v>0</v>
          </cell>
          <cell r="AJ124">
            <v>0</v>
          </cell>
          <cell r="AK124">
            <v>3480</v>
          </cell>
          <cell r="AL124">
            <v>396.87424242423458</v>
          </cell>
          <cell r="AP124" t="e">
            <v>#REF!</v>
          </cell>
        </row>
        <row r="125">
          <cell r="P125">
            <v>0</v>
          </cell>
          <cell r="Q125">
            <v>0</v>
          </cell>
          <cell r="R125">
            <v>0</v>
          </cell>
          <cell r="S125">
            <v>547</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64</v>
          </cell>
          <cell r="AJ125">
            <v>0</v>
          </cell>
          <cell r="AK125">
            <v>10640.666666666666</v>
          </cell>
          <cell r="AN125">
            <v>0</v>
          </cell>
          <cell r="AO125">
            <v>0</v>
          </cell>
          <cell r="AP125" t="e">
            <v>#REF!</v>
          </cell>
          <cell r="AQ125">
            <v>0</v>
          </cell>
        </row>
        <row r="126">
          <cell r="P126">
            <v>0</v>
          </cell>
          <cell r="Q126">
            <v>0</v>
          </cell>
          <cell r="R126">
            <v>0</v>
          </cell>
          <cell r="S126">
            <v>547</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64</v>
          </cell>
          <cell r="AJ126">
            <v>0</v>
          </cell>
          <cell r="AK126">
            <v>5998.6666666666661</v>
          </cell>
          <cell r="AL126">
            <v>13247.384148484838</v>
          </cell>
          <cell r="AO126">
            <v>0</v>
          </cell>
          <cell r="AP126" t="e">
            <v>#REF!</v>
          </cell>
          <cell r="AQ126" t="e">
            <v>#REF!</v>
          </cell>
          <cell r="AR126" t="e">
            <v>#REF!</v>
          </cell>
        </row>
        <row r="127">
          <cell r="P127">
            <v>0</v>
          </cell>
          <cell r="S127">
            <v>0</v>
          </cell>
          <cell r="X127">
            <v>0</v>
          </cell>
          <cell r="Y127">
            <v>0</v>
          </cell>
          <cell r="Z127">
            <v>0</v>
          </cell>
          <cell r="AC127">
            <v>0</v>
          </cell>
          <cell r="AD127">
            <v>0</v>
          </cell>
          <cell r="AE127">
            <v>0</v>
          </cell>
          <cell r="AF127">
            <v>0</v>
          </cell>
          <cell r="AG127">
            <v>0</v>
          </cell>
          <cell r="AH127">
            <v>0</v>
          </cell>
          <cell r="AJ127">
            <v>0</v>
          </cell>
          <cell r="AK127">
            <v>-1422.1253030302919</v>
          </cell>
          <cell r="AL127">
            <v>10640.666666666666</v>
          </cell>
        </row>
        <row r="128">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J128">
            <v>0</v>
          </cell>
          <cell r="AK128">
            <v>-1422.1253030302919</v>
          </cell>
          <cell r="AL128">
            <v>5340</v>
          </cell>
          <cell r="AO128">
            <v>0</v>
          </cell>
          <cell r="AP128" t="e">
            <v>#REF!</v>
          </cell>
          <cell r="AQ128">
            <v>0</v>
          </cell>
          <cell r="AR128">
            <v>0</v>
          </cell>
          <cell r="AU128">
            <v>0</v>
          </cell>
        </row>
        <row r="129">
          <cell r="P129">
            <v>0</v>
          </cell>
          <cell r="S129">
            <v>-680</v>
          </cell>
          <cell r="X129">
            <v>0</v>
          </cell>
          <cell r="Y129">
            <v>0</v>
          </cell>
          <cell r="Z129">
            <v>0</v>
          </cell>
          <cell r="AC129">
            <v>0</v>
          </cell>
          <cell r="AD129">
            <v>0</v>
          </cell>
          <cell r="AE129">
            <v>0</v>
          </cell>
          <cell r="AF129">
            <v>0</v>
          </cell>
          <cell r="AG129">
            <v>0</v>
          </cell>
          <cell r="AH129">
            <v>0</v>
          </cell>
          <cell r="AJ129">
            <v>0</v>
          </cell>
          <cell r="AK129">
            <v>-2031.60757575756</v>
          </cell>
          <cell r="AL129">
            <v>3974.6157760236601</v>
          </cell>
          <cell r="AM129">
            <v>-6871.4733517812419</v>
          </cell>
        </row>
        <row r="130">
          <cell r="P130">
            <v>0</v>
          </cell>
          <cell r="X130">
            <v>0</v>
          </cell>
          <cell r="AC130">
            <v>0</v>
          </cell>
          <cell r="AJ130">
            <v>0</v>
          </cell>
          <cell r="AK130">
            <v>16827.384148484838</v>
          </cell>
          <cell r="AL130">
            <v>4912</v>
          </cell>
          <cell r="AM130">
            <v>-5132.2365200943386</v>
          </cell>
        </row>
        <row r="131">
          <cell r="P131">
            <v>0</v>
          </cell>
          <cell r="X131">
            <v>0</v>
          </cell>
          <cell r="AC131">
            <v>0</v>
          </cell>
          <cell r="AJ131">
            <v>0</v>
          </cell>
          <cell r="AK131">
            <v>-609.48227272726797</v>
          </cell>
          <cell r="AN131">
            <v>0</v>
          </cell>
          <cell r="AP131" t="e">
            <v>#REF!</v>
          </cell>
          <cell r="AR131" t="e">
            <v>#REF!</v>
          </cell>
          <cell r="AU131">
            <v>0</v>
          </cell>
          <cell r="AW131">
            <v>0</v>
          </cell>
        </row>
        <row r="132">
          <cell r="P132">
            <v>0</v>
          </cell>
          <cell r="X132">
            <v>0</v>
          </cell>
          <cell r="AC132">
            <v>0</v>
          </cell>
          <cell r="AJ132">
            <v>0</v>
          </cell>
          <cell r="AK132">
            <v>24039.120212121197</v>
          </cell>
          <cell r="AL132">
            <v>13754.883975903613</v>
          </cell>
          <cell r="AM132">
            <v>9418.9862362175918</v>
          </cell>
          <cell r="AO132">
            <v>0</v>
          </cell>
          <cell r="AP132" t="e">
            <v>#REF!</v>
          </cell>
          <cell r="AU132">
            <v>0</v>
          </cell>
        </row>
        <row r="133">
          <cell r="P133">
            <v>0</v>
          </cell>
          <cell r="X133">
            <v>0</v>
          </cell>
          <cell r="AC133">
            <v>0</v>
          </cell>
          <cell r="AJ133">
            <v>0</v>
          </cell>
          <cell r="AP133" t="e">
            <v>#REF!</v>
          </cell>
          <cell r="AU133" t="e">
            <v>#DIV/0!</v>
          </cell>
        </row>
        <row r="134">
          <cell r="P134">
            <v>0</v>
          </cell>
          <cell r="X134">
            <v>0</v>
          </cell>
          <cell r="AC134">
            <v>0</v>
          </cell>
          <cell r="AJ134">
            <v>0</v>
          </cell>
          <cell r="AK134">
            <v>56002</v>
          </cell>
          <cell r="AM134">
            <v>56002</v>
          </cell>
          <cell r="AN134">
            <v>0</v>
          </cell>
          <cell r="AO134">
            <v>0</v>
          </cell>
          <cell r="AP134" t="e">
            <v>#REF!</v>
          </cell>
          <cell r="AU134" t="e">
            <v>#DIV/0!</v>
          </cell>
        </row>
        <row r="135">
          <cell r="P135">
            <v>0</v>
          </cell>
          <cell r="X135">
            <v>0</v>
          </cell>
          <cell r="AC135">
            <v>0</v>
          </cell>
          <cell r="AJ135">
            <v>0</v>
          </cell>
          <cell r="AK135">
            <v>-6871.4733517812419</v>
          </cell>
          <cell r="AM135">
            <v>58108</v>
          </cell>
          <cell r="AN135">
            <v>0</v>
          </cell>
          <cell r="AO135">
            <v>0</v>
          </cell>
          <cell r="AP135">
            <v>0</v>
          </cell>
          <cell r="AQ135">
            <v>0</v>
          </cell>
          <cell r="AU135">
            <v>0</v>
          </cell>
        </row>
        <row r="136">
          <cell r="P136">
            <v>0</v>
          </cell>
          <cell r="X136">
            <v>0</v>
          </cell>
          <cell r="AC136">
            <v>0</v>
          </cell>
          <cell r="AJ136">
            <v>0</v>
          </cell>
          <cell r="AK136">
            <v>35.44</v>
          </cell>
          <cell r="AN136" t="e">
            <v>#DIV/0!</v>
          </cell>
          <cell r="AO136">
            <v>0</v>
          </cell>
        </row>
        <row r="137">
          <cell r="P137">
            <v>0</v>
          </cell>
          <cell r="X137">
            <v>0</v>
          </cell>
          <cell r="AC137">
            <v>0</v>
          </cell>
          <cell r="AJ137">
            <v>0</v>
          </cell>
          <cell r="AK137">
            <v>39.79</v>
          </cell>
          <cell r="AM137">
            <v>82229</v>
          </cell>
          <cell r="AN137" t="e">
            <v>#DIV/0!</v>
          </cell>
          <cell r="AO137">
            <v>0</v>
          </cell>
          <cell r="AP137">
            <v>36.19</v>
          </cell>
          <cell r="AQ137">
            <v>0</v>
          </cell>
          <cell r="AU137" t="e">
            <v>#DIV/0!</v>
          </cell>
        </row>
        <row r="138">
          <cell r="P138">
            <v>0</v>
          </cell>
          <cell r="X138">
            <v>0</v>
          </cell>
          <cell r="AC138">
            <v>0</v>
          </cell>
          <cell r="AJ138">
            <v>0</v>
          </cell>
          <cell r="AK138">
            <v>0</v>
          </cell>
          <cell r="AN138">
            <v>0</v>
          </cell>
          <cell r="AO138">
            <v>0</v>
          </cell>
        </row>
        <row r="139">
          <cell r="P139">
            <v>0</v>
          </cell>
          <cell r="X139">
            <v>0</v>
          </cell>
          <cell r="AC139">
            <v>0</v>
          </cell>
          <cell r="AJ139">
            <v>0</v>
          </cell>
          <cell r="AK139">
            <v>52.04</v>
          </cell>
          <cell r="AN139">
            <v>0</v>
          </cell>
          <cell r="AO139" t="e">
            <v>#DIV/0!</v>
          </cell>
          <cell r="AP139" t="e">
            <v>#REF!</v>
          </cell>
          <cell r="AU139" t="e">
            <v>#DIV/0!</v>
          </cell>
        </row>
        <row r="140">
          <cell r="P140">
            <v>0</v>
          </cell>
          <cell r="X140">
            <v>0</v>
          </cell>
          <cell r="AC140">
            <v>0</v>
          </cell>
          <cell r="AJ140">
            <v>0</v>
          </cell>
          <cell r="AK140">
            <v>10.96</v>
          </cell>
          <cell r="AN140" t="e">
            <v>#DIV/0!</v>
          </cell>
          <cell r="AO140" t="e">
            <v>#DIV/0!</v>
          </cell>
          <cell r="AP140">
            <v>180931</v>
          </cell>
          <cell r="AQ140">
            <v>180931</v>
          </cell>
        </row>
        <row r="141">
          <cell r="C141" t="str">
            <v>коп/кВтг</v>
          </cell>
          <cell r="P141">
            <v>0</v>
          </cell>
          <cell r="X141">
            <v>0</v>
          </cell>
          <cell r="AC141">
            <v>0</v>
          </cell>
          <cell r="AJ141">
            <v>0</v>
          </cell>
          <cell r="AK141">
            <v>0</v>
          </cell>
          <cell r="AO141">
            <v>0</v>
          </cell>
        </row>
        <row r="142">
          <cell r="P142">
            <v>0</v>
          </cell>
          <cell r="X142">
            <v>0</v>
          </cell>
          <cell r="AC142">
            <v>0</v>
          </cell>
          <cell r="AJ142">
            <v>0</v>
          </cell>
          <cell r="AK142">
            <v>10.72</v>
          </cell>
          <cell r="AN142">
            <v>0</v>
          </cell>
          <cell r="AP142">
            <v>0</v>
          </cell>
        </row>
        <row r="143">
          <cell r="P143">
            <v>0</v>
          </cell>
          <cell r="Q143">
            <v>0</v>
          </cell>
          <cell r="X143">
            <v>0</v>
          </cell>
          <cell r="AC143">
            <v>0</v>
          </cell>
          <cell r="AJ143">
            <v>0</v>
          </cell>
          <cell r="AK143">
            <v>43363</v>
          </cell>
          <cell r="AL143">
            <v>43363</v>
          </cell>
          <cell r="AO143" t="e">
            <v>#DIV/0!</v>
          </cell>
          <cell r="AP143">
            <v>2601</v>
          </cell>
        </row>
        <row r="144">
          <cell r="P144">
            <v>0</v>
          </cell>
          <cell r="X144">
            <v>0</v>
          </cell>
          <cell r="AC144">
            <v>0</v>
          </cell>
          <cell r="AJ144">
            <v>0</v>
          </cell>
          <cell r="AK144">
            <v>56960</v>
          </cell>
          <cell r="AL144">
            <v>56960</v>
          </cell>
          <cell r="AN144">
            <v>0</v>
          </cell>
          <cell r="AP144" t="e">
            <v>#REF!</v>
          </cell>
          <cell r="AQ144">
            <v>180931</v>
          </cell>
          <cell r="AR144" t="e">
            <v>#REF!</v>
          </cell>
          <cell r="AU144">
            <v>0</v>
          </cell>
        </row>
        <row r="145">
          <cell r="P145">
            <v>0</v>
          </cell>
          <cell r="X145">
            <v>0</v>
          </cell>
          <cell r="AC145">
            <v>0</v>
          </cell>
          <cell r="AJ145">
            <v>0</v>
          </cell>
          <cell r="AK145">
            <v>11.11</v>
          </cell>
          <cell r="AO145" t="e">
            <v>#DIV/0!</v>
          </cell>
          <cell r="AP145">
            <v>0</v>
          </cell>
        </row>
        <row r="146">
          <cell r="P146">
            <v>0</v>
          </cell>
          <cell r="X146">
            <v>0</v>
          </cell>
          <cell r="AC146">
            <v>0</v>
          </cell>
          <cell r="AJ146">
            <v>0</v>
          </cell>
          <cell r="AK146">
            <v>15200.952380952382</v>
          </cell>
          <cell r="AL146">
            <v>-42411.38422397634</v>
          </cell>
          <cell r="AM146">
            <v>-62873.473351781242</v>
          </cell>
          <cell r="AP146" t="e">
            <v>#REF!</v>
          </cell>
          <cell r="AQ146">
            <v>180931</v>
          </cell>
          <cell r="AR146" t="e">
            <v>#REF!</v>
          </cell>
        </row>
        <row r="147">
          <cell r="P147">
            <v>0</v>
          </cell>
          <cell r="S147">
            <v>0</v>
          </cell>
          <cell r="X147">
            <v>0</v>
          </cell>
          <cell r="AC147">
            <v>0</v>
          </cell>
          <cell r="AJ147">
            <v>0</v>
          </cell>
          <cell r="AK147">
            <v>865.25</v>
          </cell>
          <cell r="AL147">
            <v>-46268.907419299605</v>
          </cell>
          <cell r="AM147">
            <v>-63240.236520094339</v>
          </cell>
          <cell r="AU147">
            <v>5009</v>
          </cell>
          <cell r="AV147">
            <v>15955</v>
          </cell>
          <cell r="AW147">
            <v>12308.438909090908</v>
          </cell>
          <cell r="AX147" t="e">
            <v>#REF!</v>
          </cell>
        </row>
        <row r="148">
          <cell r="P148">
            <v>0</v>
          </cell>
          <cell r="S148">
            <v>0</v>
          </cell>
          <cell r="X148">
            <v>0</v>
          </cell>
          <cell r="AC148">
            <v>0</v>
          </cell>
          <cell r="AJ148">
            <v>0</v>
          </cell>
          <cell r="AK148">
            <v>865.25</v>
          </cell>
          <cell r="AP148" t="e">
            <v>#REF!</v>
          </cell>
          <cell r="AQ148" t="e">
            <v>#REF!</v>
          </cell>
          <cell r="AR148" t="e">
            <v>#REF!</v>
          </cell>
        </row>
        <row r="149">
          <cell r="P149">
            <v>0</v>
          </cell>
          <cell r="X149">
            <v>0</v>
          </cell>
          <cell r="AC149">
            <v>0</v>
          </cell>
          <cell r="AJ149">
            <v>0</v>
          </cell>
          <cell r="AK149">
            <v>99365</v>
          </cell>
          <cell r="AL149">
            <v>43363</v>
          </cell>
          <cell r="AM149">
            <v>56002</v>
          </cell>
          <cell r="AN149">
            <v>0</v>
          </cell>
        </row>
        <row r="150">
          <cell r="C150">
            <v>0</v>
          </cell>
          <cell r="N150">
            <v>0</v>
          </cell>
          <cell r="P150">
            <v>0</v>
          </cell>
          <cell r="Q150">
            <v>0</v>
          </cell>
          <cell r="S150">
            <v>0</v>
          </cell>
          <cell r="T150">
            <v>0</v>
          </cell>
          <cell r="X150">
            <v>0</v>
          </cell>
          <cell r="Y150">
            <v>0</v>
          </cell>
          <cell r="AC150">
            <v>0</v>
          </cell>
          <cell r="AJ150">
            <v>0</v>
          </cell>
          <cell r="AK150">
            <v>0</v>
          </cell>
          <cell r="AL150">
            <v>56960</v>
          </cell>
          <cell r="AM150">
            <v>58108</v>
          </cell>
          <cell r="AN150">
            <v>0</v>
          </cell>
          <cell r="AO150">
            <v>0</v>
          </cell>
        </row>
        <row r="151">
          <cell r="AK151">
            <v>102388</v>
          </cell>
          <cell r="AL151">
            <v>46386</v>
          </cell>
          <cell r="AM151">
            <v>56002</v>
          </cell>
        </row>
        <row r="152">
          <cell r="C152">
            <v>916.24199999999996</v>
          </cell>
          <cell r="N152">
            <v>1295.5</v>
          </cell>
          <cell r="P152">
            <v>-1295.5</v>
          </cell>
          <cell r="Q152">
            <v>2567.7454545454548</v>
          </cell>
          <cell r="S152">
            <v>-2567.7454545454548</v>
          </cell>
          <cell r="T152">
            <v>1558.3090909090909</v>
          </cell>
          <cell r="W152">
            <v>1510</v>
          </cell>
          <cell r="X152">
            <v>-48.309090909090855</v>
          </cell>
          <cell r="Y152">
            <v>1196.7</v>
          </cell>
          <cell r="AC152">
            <v>-1196.7</v>
          </cell>
          <cell r="AD152">
            <v>1791.7636363636364</v>
          </cell>
          <cell r="AE152">
            <v>1791.7636363636364</v>
          </cell>
          <cell r="AF152">
            <v>0</v>
          </cell>
          <cell r="AG152">
            <v>1946</v>
          </cell>
          <cell r="AH152">
            <v>938</v>
          </cell>
          <cell r="AI152">
            <v>0</v>
          </cell>
          <cell r="AJ152">
            <v>154.23636363636365</v>
          </cell>
          <cell r="AK152">
            <v>0</v>
          </cell>
          <cell r="AL152">
            <v>57720</v>
          </cell>
          <cell r="AM152">
            <v>82229</v>
          </cell>
          <cell r="AN152">
            <v>197</v>
          </cell>
          <cell r="AO152">
            <v>5507</v>
          </cell>
          <cell r="AP152">
            <v>9542.2601818181811</v>
          </cell>
          <cell r="AQ152">
            <v>10450.050256024355</v>
          </cell>
        </row>
        <row r="153">
          <cell r="C153">
            <v>916.24199999999996</v>
          </cell>
          <cell r="AK153">
            <v>-1.9</v>
          </cell>
          <cell r="AL153">
            <v>9.4</v>
          </cell>
          <cell r="AM153">
            <v>-10.9</v>
          </cell>
          <cell r="AO153">
            <v>2093</v>
          </cell>
          <cell r="AP153">
            <v>5098</v>
          </cell>
          <cell r="AQ153">
            <v>4891.9653693155615</v>
          </cell>
          <cell r="AR153">
            <v>11328.349456446114</v>
          </cell>
        </row>
        <row r="154">
          <cell r="N154">
            <v>215</v>
          </cell>
          <cell r="O154">
            <v>272</v>
          </cell>
          <cell r="P154">
            <v>57</v>
          </cell>
          <cell r="Q154">
            <v>1275.7272727272727</v>
          </cell>
          <cell r="R154">
            <v>1487</v>
          </cell>
          <cell r="S154">
            <v>211.27272727272725</v>
          </cell>
          <cell r="T154">
            <v>814</v>
          </cell>
          <cell r="U154">
            <v>317</v>
          </cell>
          <cell r="V154">
            <v>497</v>
          </cell>
          <cell r="W154">
            <v>831</v>
          </cell>
          <cell r="X154">
            <v>17</v>
          </cell>
          <cell r="Y154">
            <v>598</v>
          </cell>
          <cell r="Z154">
            <v>223</v>
          </cell>
          <cell r="AA154">
            <v>375</v>
          </cell>
          <cell r="AB154">
            <v>596</v>
          </cell>
          <cell r="AC154">
            <v>-2</v>
          </cell>
          <cell r="AD154">
            <v>359.09090909090912</v>
          </cell>
          <cell r="AE154">
            <v>359.09090909090912</v>
          </cell>
          <cell r="AF154">
            <v>0</v>
          </cell>
          <cell r="AG154">
            <v>437</v>
          </cell>
          <cell r="AH154">
            <v>265</v>
          </cell>
          <cell r="AI154">
            <v>0</v>
          </cell>
          <cell r="AJ154">
            <v>77.909090909090878</v>
          </cell>
          <cell r="AK154">
            <v>14.437928426710897</v>
          </cell>
          <cell r="AL154">
            <v>-100</v>
          </cell>
          <cell r="AM154">
            <v>-100</v>
          </cell>
          <cell r="AN154">
            <v>0</v>
          </cell>
        </row>
        <row r="155">
          <cell r="N155">
            <v>0</v>
          </cell>
          <cell r="P155">
            <v>0</v>
          </cell>
          <cell r="Q155">
            <v>0</v>
          </cell>
          <cell r="S155">
            <v>0</v>
          </cell>
          <cell r="T155">
            <v>70</v>
          </cell>
          <cell r="X155">
            <v>-70</v>
          </cell>
          <cell r="Y155">
            <v>24</v>
          </cell>
          <cell r="AC155">
            <v>-24</v>
          </cell>
          <cell r="AJ155">
            <v>0</v>
          </cell>
          <cell r="AK155">
            <v>0</v>
          </cell>
          <cell r="AL155">
            <v>0</v>
          </cell>
          <cell r="AM155">
            <v>0</v>
          </cell>
          <cell r="AO155">
            <v>2449</v>
          </cell>
          <cell r="AP155" t="e">
            <v>#REF!</v>
          </cell>
          <cell r="AQ155">
            <v>5344.308649356225</v>
          </cell>
          <cell r="AR155">
            <v>14571.544133725103</v>
          </cell>
        </row>
        <row r="156">
          <cell r="N156">
            <v>0</v>
          </cell>
          <cell r="P156">
            <v>0</v>
          </cell>
          <cell r="Q156">
            <v>0</v>
          </cell>
          <cell r="S156">
            <v>0</v>
          </cell>
          <cell r="T156">
            <v>0</v>
          </cell>
          <cell r="X156">
            <v>0</v>
          </cell>
          <cell r="Y156">
            <v>0</v>
          </cell>
          <cell r="AC156">
            <v>0</v>
          </cell>
          <cell r="AJ156">
            <v>0</v>
          </cell>
          <cell r="AK156">
            <v>20.6</v>
          </cell>
          <cell r="AL156">
            <v>31.3</v>
          </cell>
          <cell r="AM156">
            <v>12.9</v>
          </cell>
          <cell r="AP156" t="e">
            <v>#REF!</v>
          </cell>
        </row>
        <row r="157">
          <cell r="C157" t="e">
            <v>#REF!</v>
          </cell>
          <cell r="N157">
            <v>681</v>
          </cell>
          <cell r="P157">
            <v>-681</v>
          </cell>
          <cell r="Q157">
            <v>1041.8333333333333</v>
          </cell>
          <cell r="S157">
            <v>-1041.8333333333333</v>
          </cell>
          <cell r="T157">
            <v>213</v>
          </cell>
          <cell r="X157">
            <v>-213</v>
          </cell>
          <cell r="Y157">
            <v>1171.0035872727274</v>
          </cell>
          <cell r="AC157">
            <v>-1171.0035872727274</v>
          </cell>
          <cell r="AI157">
            <v>0</v>
          </cell>
          <cell r="AJ157">
            <v>0</v>
          </cell>
          <cell r="AK157">
            <v>0</v>
          </cell>
          <cell r="AL157">
            <v>-100</v>
          </cell>
          <cell r="AM157">
            <v>-100</v>
          </cell>
          <cell r="AP157" t="e">
            <v>#REF!</v>
          </cell>
        </row>
        <row r="158">
          <cell r="C158" t="e">
            <v>#REF!</v>
          </cell>
          <cell r="N158">
            <v>47</v>
          </cell>
          <cell r="P158">
            <v>-47</v>
          </cell>
          <cell r="Q158">
            <v>140</v>
          </cell>
          <cell r="S158">
            <v>-140</v>
          </cell>
          <cell r="T158">
            <v>105</v>
          </cell>
          <cell r="X158">
            <v>-105</v>
          </cell>
          <cell r="Y158">
            <v>190</v>
          </cell>
          <cell r="AC158">
            <v>-190</v>
          </cell>
          <cell r="AF158">
            <v>260</v>
          </cell>
          <cell r="AG158">
            <v>260</v>
          </cell>
          <cell r="AH158">
            <v>0</v>
          </cell>
          <cell r="AJ158">
            <v>0</v>
          </cell>
          <cell r="AK158">
            <v>3115</v>
          </cell>
          <cell r="AL158">
            <v>0</v>
          </cell>
          <cell r="AM158">
            <v>0</v>
          </cell>
          <cell r="AP158" t="e">
            <v>#REF!</v>
          </cell>
        </row>
        <row r="159">
          <cell r="C159" t="e">
            <v>#REF!</v>
          </cell>
          <cell r="N159">
            <v>1248.5</v>
          </cell>
          <cell r="P159">
            <v>-1248.5</v>
          </cell>
          <cell r="Q159">
            <v>140</v>
          </cell>
          <cell r="S159">
            <v>-140</v>
          </cell>
          <cell r="T159" t="str">
            <v xml:space="preserve">                   КОРИГУВАННЯ   ПЛАНУ   НА   СЕРПЕНЬ  1998 р</v>
          </cell>
          <cell r="X159" t="e">
            <v>#VALUE!</v>
          </cell>
          <cell r="Y159">
            <v>1006.7</v>
          </cell>
          <cell r="AC159">
            <v>-1006.7</v>
          </cell>
          <cell r="AF159">
            <v>67.2</v>
          </cell>
          <cell r="AG159">
            <v>67.2</v>
          </cell>
          <cell r="AH159">
            <v>0</v>
          </cell>
          <cell r="AJ159">
            <v>0</v>
          </cell>
          <cell r="AK159">
            <v>1577</v>
          </cell>
          <cell r="AP159" t="e">
            <v>#REF!</v>
          </cell>
        </row>
        <row r="160">
          <cell r="C160" t="e">
            <v>#REF!</v>
          </cell>
          <cell r="N160">
            <v>1295.5</v>
          </cell>
          <cell r="P160">
            <v>-1295.5</v>
          </cell>
          <cell r="Q160">
            <v>280</v>
          </cell>
          <cell r="S160">
            <v>-280</v>
          </cell>
          <cell r="X160">
            <v>0</v>
          </cell>
          <cell r="Y160">
            <v>1196.7</v>
          </cell>
          <cell r="AC160">
            <v>-1196.7</v>
          </cell>
          <cell r="AF160">
            <v>56</v>
          </cell>
          <cell r="AG160">
            <v>56</v>
          </cell>
          <cell r="AH160">
            <v>0</v>
          </cell>
          <cell r="AI160">
            <v>436.44</v>
          </cell>
          <cell r="AJ160">
            <v>0</v>
          </cell>
          <cell r="AK160">
            <v>1455</v>
          </cell>
        </row>
        <row r="161">
          <cell r="N161">
            <v>0</v>
          </cell>
          <cell r="P161">
            <v>0</v>
          </cell>
          <cell r="Q161">
            <v>2287.7454545454548</v>
          </cell>
          <cell r="S161">
            <v>-2287.7454545454548</v>
          </cell>
          <cell r="X161">
            <v>0</v>
          </cell>
          <cell r="Y161">
            <v>0</v>
          </cell>
          <cell r="AC161">
            <v>0</v>
          </cell>
          <cell r="AF161">
            <v>1203</v>
          </cell>
          <cell r="AG161">
            <v>530</v>
          </cell>
          <cell r="AH161">
            <v>673</v>
          </cell>
          <cell r="AJ161">
            <v>0</v>
          </cell>
          <cell r="AK161">
            <v>0</v>
          </cell>
          <cell r="AP161" t="e">
            <v>#REF!</v>
          </cell>
        </row>
        <row r="162">
          <cell r="C162" t="e">
            <v>#REF!</v>
          </cell>
          <cell r="N162" t="e">
            <v>#REF!</v>
          </cell>
          <cell r="P162" t="e">
            <v>#REF!</v>
          </cell>
          <cell r="Q162">
            <v>776</v>
          </cell>
          <cell r="S162">
            <v>-776</v>
          </cell>
          <cell r="X162">
            <v>0</v>
          </cell>
          <cell r="Y162" t="e">
            <v>#REF!</v>
          </cell>
          <cell r="AB162">
            <v>9</v>
          </cell>
          <cell r="AC162" t="e">
            <v>#REF!</v>
          </cell>
          <cell r="AF162">
            <v>560</v>
          </cell>
          <cell r="AG162">
            <v>500</v>
          </cell>
          <cell r="AH162">
            <v>60</v>
          </cell>
          <cell r="AJ162">
            <v>0</v>
          </cell>
          <cell r="AK162">
            <v>0</v>
          </cell>
          <cell r="AP162" t="e">
            <v>#REF!</v>
          </cell>
        </row>
        <row r="163">
          <cell r="C163">
            <v>2152.9490000000001</v>
          </cell>
          <cell r="N163">
            <v>1614.15</v>
          </cell>
          <cell r="O163">
            <v>0</v>
          </cell>
          <cell r="P163">
            <v>-1614.15</v>
          </cell>
          <cell r="Q163">
            <v>1739.5839999999998</v>
          </cell>
          <cell r="R163">
            <v>800</v>
          </cell>
          <cell r="S163">
            <v>-939.58399999999983</v>
          </cell>
          <cell r="T163">
            <v>176.47000000000003</v>
          </cell>
          <cell r="U163">
            <v>0</v>
          </cell>
          <cell r="V163">
            <v>0</v>
          </cell>
          <cell r="W163">
            <v>0</v>
          </cell>
          <cell r="X163">
            <v>-176.47000000000003</v>
          </cell>
          <cell r="Y163">
            <v>225.76000000000002</v>
          </cell>
          <cell r="Z163">
            <v>0</v>
          </cell>
          <cell r="AA163">
            <v>0</v>
          </cell>
          <cell r="AB163">
            <v>432</v>
          </cell>
          <cell r="AC163">
            <v>206.23999999999998</v>
          </cell>
          <cell r="AD163" t="e">
            <v>#REF!</v>
          </cell>
          <cell r="AE163">
            <v>1009.45</v>
          </cell>
          <cell r="AF163">
            <v>77</v>
          </cell>
          <cell r="AG163">
            <v>0</v>
          </cell>
          <cell r="AH163">
            <v>0</v>
          </cell>
          <cell r="AI163">
            <v>0</v>
          </cell>
          <cell r="AJ163" t="e">
            <v>#REF!</v>
          </cell>
          <cell r="AK163">
            <v>0</v>
          </cell>
          <cell r="AL163">
            <v>0</v>
          </cell>
          <cell r="AM163">
            <v>0</v>
          </cell>
          <cell r="AN163" t="e">
            <v>#REF!</v>
          </cell>
          <cell r="AO163">
            <v>1616</v>
          </cell>
          <cell r="AP163" t="e">
            <v>#REF!</v>
          </cell>
          <cell r="AS163">
            <v>2048</v>
          </cell>
        </row>
        <row r="164">
          <cell r="C164">
            <v>-0.5</v>
          </cell>
          <cell r="N164">
            <v>0.20800000000000018</v>
          </cell>
          <cell r="O164">
            <v>0</v>
          </cell>
          <cell r="P164">
            <v>-0.20800000000000018</v>
          </cell>
          <cell r="Q164">
            <v>-0.23600000000000065</v>
          </cell>
          <cell r="R164">
            <v>154</v>
          </cell>
          <cell r="S164">
            <v>154.23599999999999</v>
          </cell>
          <cell r="T164">
            <v>-0.42800000000000082</v>
          </cell>
          <cell r="U164">
            <v>0</v>
          </cell>
          <cell r="V164">
            <v>0</v>
          </cell>
          <cell r="W164">
            <v>79</v>
          </cell>
          <cell r="X164">
            <v>79.427999999999997</v>
          </cell>
          <cell r="Y164">
            <v>6.799999999999784E-2</v>
          </cell>
          <cell r="Z164">
            <v>0</v>
          </cell>
          <cell r="AA164">
            <v>0</v>
          </cell>
          <cell r="AB164">
            <v>86</v>
          </cell>
          <cell r="AC164">
            <v>85.932000000000002</v>
          </cell>
          <cell r="AD164">
            <v>0.28399999999999892</v>
          </cell>
          <cell r="AE164">
            <v>0.28399999999999892</v>
          </cell>
          <cell r="AF164">
            <v>0</v>
          </cell>
          <cell r="AG164">
            <v>30</v>
          </cell>
          <cell r="AH164">
            <v>30</v>
          </cell>
          <cell r="AI164">
            <v>0</v>
          </cell>
          <cell r="AJ164">
            <v>29.716000000000001</v>
          </cell>
          <cell r="AK164">
            <v>0</v>
          </cell>
          <cell r="AL164">
            <v>0</v>
          </cell>
          <cell r="AM164">
            <v>0</v>
          </cell>
          <cell r="AN164" t="e">
            <v>#REF!</v>
          </cell>
          <cell r="AO164">
            <v>0</v>
          </cell>
          <cell r="AP164" t="e">
            <v>#REF!</v>
          </cell>
          <cell r="AS164">
            <v>195</v>
          </cell>
        </row>
        <row r="165">
          <cell r="C165">
            <v>1249.181818181818</v>
          </cell>
          <cell r="N165">
            <v>2372.272727272727</v>
          </cell>
          <cell r="O165">
            <v>2062</v>
          </cell>
          <cell r="P165">
            <v>-310.27272727272702</v>
          </cell>
          <cell r="Q165">
            <v>5435.727272727273</v>
          </cell>
          <cell r="R165">
            <v>5523</v>
          </cell>
          <cell r="S165">
            <v>87.272727272727025</v>
          </cell>
          <cell r="T165">
            <v>2142.727272727273</v>
          </cell>
          <cell r="U165">
            <v>846</v>
          </cell>
          <cell r="V165">
            <v>1296.7272727272727</v>
          </cell>
          <cell r="W165">
            <v>2210</v>
          </cell>
          <cell r="X165">
            <v>67.272727272727025</v>
          </cell>
          <cell r="Y165">
            <v>1732.7272727272727</v>
          </cell>
          <cell r="Z165">
            <v>647</v>
          </cell>
          <cell r="AA165">
            <v>1085.7272727272727</v>
          </cell>
          <cell r="AB165">
            <v>1749</v>
          </cell>
          <cell r="AC165">
            <v>16.272727272727252</v>
          </cell>
          <cell r="AD165">
            <v>4852.6363636363631</v>
          </cell>
          <cell r="AE165">
            <v>4482.6363636363631</v>
          </cell>
          <cell r="AF165">
            <v>370</v>
          </cell>
          <cell r="AG165">
            <v>4464</v>
          </cell>
          <cell r="AH165">
            <v>3202</v>
          </cell>
          <cell r="AI165">
            <v>427</v>
          </cell>
          <cell r="AJ165">
            <v>-388.63636363636306</v>
          </cell>
          <cell r="AK165">
            <v>0</v>
          </cell>
          <cell r="AL165">
            <v>0</v>
          </cell>
          <cell r="AM165">
            <v>0</v>
          </cell>
          <cell r="AN165" t="e">
            <v>#REF!</v>
          </cell>
          <cell r="AO165">
            <v>0</v>
          </cell>
          <cell r="AP165" t="e">
            <v>#REF!</v>
          </cell>
          <cell r="AS165">
            <v>13703</v>
          </cell>
        </row>
        <row r="166">
          <cell r="C166">
            <v>50.333333333333329</v>
          </cell>
          <cell r="N166">
            <v>49.800000000000004</v>
          </cell>
          <cell r="O166">
            <v>51</v>
          </cell>
          <cell r="P166">
            <v>1.1999999999999957</v>
          </cell>
          <cell r="Q166">
            <v>81.400000000000006</v>
          </cell>
          <cell r="R166">
            <v>62</v>
          </cell>
          <cell r="S166">
            <v>-19.400000000000006</v>
          </cell>
          <cell r="T166">
            <v>2606.1999999999998</v>
          </cell>
          <cell r="U166">
            <v>963</v>
          </cell>
          <cell r="V166">
            <v>1643.1999999999998</v>
          </cell>
          <cell r="W166">
            <v>2464</v>
          </cell>
          <cell r="X166">
            <v>-142.19999999999982</v>
          </cell>
          <cell r="Y166">
            <v>112.8</v>
          </cell>
          <cell r="Z166">
            <v>15</v>
          </cell>
          <cell r="AA166">
            <v>23.200000000000003</v>
          </cell>
          <cell r="AB166">
            <v>27</v>
          </cell>
          <cell r="AC166">
            <v>-85.8</v>
          </cell>
          <cell r="AD166">
            <v>36.333333333333336</v>
          </cell>
          <cell r="AE166">
            <v>22</v>
          </cell>
          <cell r="AF166">
            <v>14.333333333333336</v>
          </cell>
          <cell r="AG166">
            <v>44</v>
          </cell>
          <cell r="AH166">
            <v>15</v>
          </cell>
          <cell r="AI166">
            <v>29</v>
          </cell>
          <cell r="AJ166">
            <v>7.6666666666666643</v>
          </cell>
          <cell r="AK166">
            <v>0</v>
          </cell>
          <cell r="AL166">
            <v>0</v>
          </cell>
          <cell r="AM166">
            <v>0</v>
          </cell>
          <cell r="AN166">
            <v>19</v>
          </cell>
          <cell r="AO166">
            <v>0</v>
          </cell>
          <cell r="AP166">
            <v>2846.5333333333333</v>
          </cell>
          <cell r="AS166">
            <v>2610</v>
          </cell>
        </row>
        <row r="167">
          <cell r="C167">
            <v>4690.1399999999985</v>
          </cell>
          <cell r="N167">
            <v>1801.6400000000015</v>
          </cell>
          <cell r="P167">
            <v>0</v>
          </cell>
          <cell r="Q167">
            <v>13559.514000000001</v>
          </cell>
          <cell r="S167">
            <v>0</v>
          </cell>
          <cell r="T167">
            <v>876.30400000002464</v>
          </cell>
          <cell r="X167">
            <v>0</v>
          </cell>
          <cell r="Y167">
            <v>912.96000000001436</v>
          </cell>
          <cell r="AC167">
            <v>0</v>
          </cell>
          <cell r="AE167">
            <v>-6947.0430909090901</v>
          </cell>
          <cell r="AF167">
            <v>157.90909090909091</v>
          </cell>
          <cell r="AG167">
            <v>2466</v>
          </cell>
          <cell r="AH167">
            <v>2561</v>
          </cell>
          <cell r="AK167">
            <v>459</v>
          </cell>
          <cell r="AN167" t="e">
            <v>#REF!</v>
          </cell>
          <cell r="AP167" t="e">
            <v>#REF!</v>
          </cell>
        </row>
        <row r="168">
          <cell r="C168" t="e">
            <v>#REF!</v>
          </cell>
          <cell r="N168">
            <v>1614.15</v>
          </cell>
          <cell r="P168">
            <v>0</v>
          </cell>
          <cell r="S168">
            <v>0</v>
          </cell>
          <cell r="X168">
            <v>0</v>
          </cell>
          <cell r="AC168">
            <v>0</v>
          </cell>
          <cell r="AF168">
            <v>0</v>
          </cell>
          <cell r="AG168">
            <v>0</v>
          </cell>
          <cell r="AH168">
            <v>0</v>
          </cell>
          <cell r="AK168">
            <v>0</v>
          </cell>
        </row>
        <row r="169">
          <cell r="C169" t="e">
            <v>#REF!</v>
          </cell>
          <cell r="P169">
            <v>284</v>
          </cell>
          <cell r="Q169">
            <v>0</v>
          </cell>
          <cell r="R169">
            <v>0</v>
          </cell>
          <cell r="S169">
            <v>3452</v>
          </cell>
          <cell r="T169">
            <v>0</v>
          </cell>
          <cell r="U169">
            <v>0</v>
          </cell>
          <cell r="V169">
            <v>0</v>
          </cell>
          <cell r="W169">
            <v>0</v>
          </cell>
          <cell r="X169">
            <v>219</v>
          </cell>
          <cell r="Y169">
            <v>28724.818181818184</v>
          </cell>
          <cell r="Z169">
            <v>0</v>
          </cell>
          <cell r="AA169">
            <v>0</v>
          </cell>
          <cell r="AB169">
            <v>0</v>
          </cell>
          <cell r="AC169">
            <v>199</v>
          </cell>
          <cell r="AD169">
            <v>26701</v>
          </cell>
          <cell r="AE169">
            <v>0</v>
          </cell>
          <cell r="AF169">
            <v>67.2</v>
          </cell>
          <cell r="AG169">
            <v>67.2</v>
          </cell>
          <cell r="AH169">
            <v>0</v>
          </cell>
          <cell r="AI169">
            <v>118.4</v>
          </cell>
          <cell r="AJ169">
            <v>0</v>
          </cell>
          <cell r="AK169">
            <v>4785.5999999999995</v>
          </cell>
        </row>
        <row r="170">
          <cell r="C170" t="e">
            <v>#REF!</v>
          </cell>
          <cell r="P170">
            <v>284</v>
          </cell>
          <cell r="Q170">
            <v>0</v>
          </cell>
          <cell r="R170">
            <v>0</v>
          </cell>
          <cell r="S170">
            <v>3121</v>
          </cell>
          <cell r="T170">
            <v>0</v>
          </cell>
          <cell r="U170">
            <v>0</v>
          </cell>
          <cell r="V170">
            <v>0</v>
          </cell>
          <cell r="W170">
            <v>0</v>
          </cell>
          <cell r="X170">
            <v>219</v>
          </cell>
          <cell r="Y170">
            <v>28724.818181818184</v>
          </cell>
          <cell r="Z170">
            <v>0</v>
          </cell>
          <cell r="AA170">
            <v>0</v>
          </cell>
          <cell r="AB170">
            <v>0</v>
          </cell>
          <cell r="AC170">
            <v>199</v>
          </cell>
          <cell r="AD170">
            <v>26701</v>
          </cell>
          <cell r="AE170">
            <v>0</v>
          </cell>
          <cell r="AF170">
            <v>67.2</v>
          </cell>
          <cell r="AG170">
            <v>67.2</v>
          </cell>
          <cell r="AH170">
            <v>0</v>
          </cell>
          <cell r="AI170">
            <v>118.4</v>
          </cell>
          <cell r="AJ170">
            <v>0</v>
          </cell>
          <cell r="AK170">
            <v>4454.5999999999995</v>
          </cell>
        </row>
        <row r="171">
          <cell r="P171">
            <v>0</v>
          </cell>
          <cell r="Q171">
            <v>0</v>
          </cell>
          <cell r="R171">
            <v>0</v>
          </cell>
          <cell r="S171">
            <v>331</v>
          </cell>
          <cell r="T171">
            <v>0</v>
          </cell>
          <cell r="U171">
            <v>0</v>
          </cell>
          <cell r="V171">
            <v>0</v>
          </cell>
          <cell r="W171">
            <v>0</v>
          </cell>
          <cell r="X171">
            <v>0</v>
          </cell>
          <cell r="Y171">
            <v>0</v>
          </cell>
          <cell r="Z171">
            <v>0</v>
          </cell>
          <cell r="AA171">
            <v>0</v>
          </cell>
          <cell r="AB171">
            <v>0</v>
          </cell>
          <cell r="AC171">
            <v>0</v>
          </cell>
          <cell r="AD171">
            <v>25802.811515151516</v>
          </cell>
          <cell r="AE171">
            <v>0</v>
          </cell>
          <cell r="AF171">
            <v>0</v>
          </cell>
          <cell r="AG171">
            <v>0</v>
          </cell>
          <cell r="AH171">
            <v>0</v>
          </cell>
          <cell r="AI171">
            <v>0</v>
          </cell>
          <cell r="AJ171">
            <v>0</v>
          </cell>
          <cell r="AK171">
            <v>331</v>
          </cell>
          <cell r="AV171">
            <v>1507.2</v>
          </cell>
        </row>
        <row r="172">
          <cell r="P172">
            <v>2016</v>
          </cell>
          <cell r="Q172">
            <v>0</v>
          </cell>
          <cell r="R172">
            <v>0</v>
          </cell>
          <cell r="S172">
            <v>-474</v>
          </cell>
          <cell r="T172">
            <v>0</v>
          </cell>
          <cell r="U172">
            <v>0</v>
          </cell>
          <cell r="V172">
            <v>0</v>
          </cell>
          <cell r="W172">
            <v>0</v>
          </cell>
          <cell r="X172">
            <v>1029</v>
          </cell>
          <cell r="Y172">
            <v>0</v>
          </cell>
          <cell r="Z172">
            <v>0</v>
          </cell>
          <cell r="AA172">
            <v>0</v>
          </cell>
          <cell r="AB172">
            <v>0</v>
          </cell>
          <cell r="AC172">
            <v>-117</v>
          </cell>
          <cell r="AD172">
            <v>0</v>
          </cell>
          <cell r="AE172">
            <v>0</v>
          </cell>
          <cell r="AF172">
            <v>266</v>
          </cell>
          <cell r="AG172">
            <v>0</v>
          </cell>
          <cell r="AH172">
            <v>0</v>
          </cell>
          <cell r="AJ172">
            <v>0</v>
          </cell>
          <cell r="AK172">
            <v>0</v>
          </cell>
        </row>
        <row r="173">
          <cell r="P173">
            <v>2016</v>
          </cell>
          <cell r="Q173">
            <v>0</v>
          </cell>
          <cell r="R173">
            <v>0</v>
          </cell>
          <cell r="S173">
            <v>-474</v>
          </cell>
          <cell r="T173">
            <v>0</v>
          </cell>
          <cell r="U173">
            <v>0</v>
          </cell>
          <cell r="V173">
            <v>0</v>
          </cell>
          <cell r="W173">
            <v>0</v>
          </cell>
          <cell r="X173">
            <v>1029</v>
          </cell>
          <cell r="Y173">
            <v>0</v>
          </cell>
          <cell r="Z173">
            <v>0</v>
          </cell>
          <cell r="AA173">
            <v>0</v>
          </cell>
          <cell r="AB173">
            <v>0</v>
          </cell>
          <cell r="AC173">
            <v>-117</v>
          </cell>
          <cell r="AD173">
            <v>0</v>
          </cell>
          <cell r="AE173">
            <v>0</v>
          </cell>
          <cell r="AF173">
            <v>266</v>
          </cell>
          <cell r="AG173">
            <v>266</v>
          </cell>
          <cell r="AH173">
            <v>0</v>
          </cell>
          <cell r="AJ173">
            <v>0</v>
          </cell>
          <cell r="AK173">
            <v>0</v>
          </cell>
        </row>
        <row r="174">
          <cell r="C174" t="str">
            <v>АПАРАТ ВСЬОГО</v>
          </cell>
          <cell r="D174" t="str">
            <v>АПАРАТ ЕЛЕКТРО</v>
          </cell>
          <cell r="E174" t="str">
            <v>АПАРАТ ТЕПЛО</v>
          </cell>
          <cell r="N174" t="str">
            <v>ККМ</v>
          </cell>
          <cell r="P174">
            <v>0</v>
          </cell>
          <cell r="Q174" t="str">
            <v>КТМ</v>
          </cell>
          <cell r="R174">
            <v>0</v>
          </cell>
          <cell r="S174">
            <v>0</v>
          </cell>
          <cell r="T174">
            <v>0</v>
          </cell>
          <cell r="U174">
            <v>250</v>
          </cell>
          <cell r="V174">
            <v>0</v>
          </cell>
          <cell r="W174">
            <v>0</v>
          </cell>
          <cell r="X174">
            <v>0</v>
          </cell>
          <cell r="Y174" t="str">
            <v>ТЕЦ-6 ВСЬОГО</v>
          </cell>
          <cell r="Z174" t="str">
            <v>Е/Е</v>
          </cell>
          <cell r="AA174" t="str">
            <v xml:space="preserve"> Т/Е</v>
          </cell>
          <cell r="AB174">
            <v>0</v>
          </cell>
          <cell r="AC174">
            <v>0</v>
          </cell>
          <cell r="AE174">
            <v>0</v>
          </cell>
          <cell r="AF174">
            <v>0</v>
          </cell>
          <cell r="AG174">
            <v>0</v>
          </cell>
          <cell r="AH174">
            <v>0</v>
          </cell>
          <cell r="AJ174">
            <v>0</v>
          </cell>
          <cell r="AK174">
            <v>8992</v>
          </cell>
          <cell r="AN174" t="str">
            <v>ДОП.ВИР. СТ.ОРГ.</v>
          </cell>
          <cell r="AP174" t="str">
            <v>АК КЕ ВСЬОГО</v>
          </cell>
          <cell r="AQ174" t="str">
            <v>Е/Е</v>
          </cell>
          <cell r="AR174" t="str">
            <v xml:space="preserve"> Т/Е</v>
          </cell>
          <cell r="AU174" t="str">
            <v>очикуваемАК КЕ ВСЬОГО</v>
          </cell>
          <cell r="AV174" t="str">
            <v>Е/Е</v>
          </cell>
          <cell r="AW174" t="str">
            <v xml:space="preserve"> Т/Е</v>
          </cell>
        </row>
        <row r="175">
          <cell r="C175">
            <v>1.895</v>
          </cell>
          <cell r="N175">
            <v>1.847</v>
          </cell>
          <cell r="P175">
            <v>726</v>
          </cell>
          <cell r="Q175">
            <v>1.895</v>
          </cell>
          <cell r="R175">
            <v>0</v>
          </cell>
          <cell r="S175">
            <v>1685</v>
          </cell>
          <cell r="T175">
            <v>625.85363636363627</v>
          </cell>
          <cell r="U175">
            <v>1.895</v>
          </cell>
          <cell r="V175">
            <v>1.895</v>
          </cell>
          <cell r="W175">
            <v>0</v>
          </cell>
          <cell r="X175">
            <v>653</v>
          </cell>
          <cell r="Y175">
            <v>1.895</v>
          </cell>
          <cell r="Z175">
            <v>1.895</v>
          </cell>
          <cell r="AA175">
            <v>1.895</v>
          </cell>
          <cell r="AB175">
            <v>0</v>
          </cell>
          <cell r="AC175">
            <v>542</v>
          </cell>
          <cell r="AF175">
            <v>1440</v>
          </cell>
          <cell r="AG175">
            <v>1281</v>
          </cell>
          <cell r="AH175">
            <v>159</v>
          </cell>
          <cell r="AJ175">
            <v>0</v>
          </cell>
          <cell r="AK175">
            <v>5605</v>
          </cell>
          <cell r="AN175">
            <v>1.895</v>
          </cell>
          <cell r="AO175">
            <v>699</v>
          </cell>
          <cell r="AP175">
            <v>1.895</v>
          </cell>
          <cell r="AQ175">
            <v>1.895</v>
          </cell>
          <cell r="AU175">
            <v>1.905</v>
          </cell>
          <cell r="AV175">
            <v>1.895</v>
          </cell>
        </row>
        <row r="176">
          <cell r="P176">
            <v>70</v>
          </cell>
          <cell r="Q176">
            <v>0</v>
          </cell>
          <cell r="R176">
            <v>0</v>
          </cell>
          <cell r="S176">
            <v>408.72727272727275</v>
          </cell>
          <cell r="T176">
            <v>0</v>
          </cell>
          <cell r="U176">
            <v>0</v>
          </cell>
          <cell r="V176">
            <v>0</v>
          </cell>
          <cell r="W176">
            <v>0</v>
          </cell>
          <cell r="X176">
            <v>278.18181818181819</v>
          </cell>
          <cell r="Y176">
            <v>86</v>
          </cell>
          <cell r="Z176">
            <v>192.18181818181819</v>
          </cell>
          <cell r="AA176">
            <v>0</v>
          </cell>
          <cell r="AB176">
            <v>0</v>
          </cell>
          <cell r="AC176">
            <v>199</v>
          </cell>
          <cell r="AD176">
            <v>65</v>
          </cell>
          <cell r="AE176">
            <v>134</v>
          </cell>
          <cell r="AF176">
            <v>121</v>
          </cell>
          <cell r="AG176">
            <v>121</v>
          </cell>
          <cell r="AH176">
            <v>0</v>
          </cell>
          <cell r="AJ176">
            <v>0</v>
          </cell>
          <cell r="AK176">
            <v>0</v>
          </cell>
          <cell r="AO176">
            <v>247</v>
          </cell>
          <cell r="AP176">
            <v>610</v>
          </cell>
          <cell r="AQ176">
            <v>920.25</v>
          </cell>
          <cell r="AR176">
            <v>2050.3572727272726</v>
          </cell>
        </row>
        <row r="177">
          <cell r="P177">
            <v>61</v>
          </cell>
          <cell r="Q177">
            <v>132.19999999999999</v>
          </cell>
          <cell r="R177">
            <v>0</v>
          </cell>
          <cell r="S177">
            <v>28</v>
          </cell>
          <cell r="T177">
            <v>21</v>
          </cell>
          <cell r="U177">
            <v>0</v>
          </cell>
          <cell r="V177">
            <v>0</v>
          </cell>
          <cell r="W177">
            <v>0</v>
          </cell>
          <cell r="X177">
            <v>494</v>
          </cell>
          <cell r="Y177">
            <v>68.7</v>
          </cell>
          <cell r="Z177">
            <v>145.36363636363637</v>
          </cell>
          <cell r="AA177">
            <v>0</v>
          </cell>
          <cell r="AB177">
            <v>0</v>
          </cell>
          <cell r="AC177">
            <v>41</v>
          </cell>
          <cell r="AD177">
            <v>88</v>
          </cell>
          <cell r="AE177">
            <v>103.18181818181819</v>
          </cell>
          <cell r="AF177">
            <v>15</v>
          </cell>
          <cell r="AG177">
            <v>14</v>
          </cell>
          <cell r="AH177">
            <v>1</v>
          </cell>
          <cell r="AI177">
            <v>0</v>
          </cell>
          <cell r="AJ177">
            <v>0</v>
          </cell>
          <cell r="AK177">
            <v>47.18439393939866</v>
          </cell>
          <cell r="AN177">
            <v>172</v>
          </cell>
          <cell r="AO177">
            <v>372</v>
          </cell>
          <cell r="AP177">
            <v>200.89999999999998</v>
          </cell>
          <cell r="AQ177">
            <v>47.666666666666657</v>
          </cell>
          <cell r="AU177">
            <v>251.12700000000001</v>
          </cell>
        </row>
        <row r="178">
          <cell r="P178">
            <v>962.45</v>
          </cell>
          <cell r="Q178">
            <v>150.5</v>
          </cell>
          <cell r="R178">
            <v>0</v>
          </cell>
          <cell r="S178">
            <v>2034.72</v>
          </cell>
          <cell r="T178">
            <v>659.81780000000003</v>
          </cell>
          <cell r="U178">
            <v>150.5</v>
          </cell>
          <cell r="V178">
            <v>0</v>
          </cell>
          <cell r="W178">
            <v>0</v>
          </cell>
          <cell r="X178">
            <v>830.12099999999998</v>
          </cell>
          <cell r="Y178">
            <v>78.3</v>
          </cell>
          <cell r="AA178">
            <v>0</v>
          </cell>
          <cell r="AB178">
            <v>0</v>
          </cell>
          <cell r="AC178">
            <v>689.86</v>
          </cell>
          <cell r="AF178">
            <v>1784.8600000000001</v>
          </cell>
          <cell r="AG178">
            <v>1697.909090909091</v>
          </cell>
          <cell r="AH178">
            <v>86.950909090909136</v>
          </cell>
          <cell r="AJ178">
            <v>0</v>
          </cell>
          <cell r="AK178">
            <v>7462.360090909091</v>
          </cell>
          <cell r="AO178">
            <v>292</v>
          </cell>
          <cell r="AP178">
            <v>228.8</v>
          </cell>
          <cell r="AQ178">
            <v>1068.45</v>
          </cell>
          <cell r="AR178">
            <v>2428.0464545454552</v>
          </cell>
          <cell r="AU178">
            <v>288.28500000000003</v>
          </cell>
        </row>
        <row r="179">
          <cell r="N179">
            <v>0</v>
          </cell>
          <cell r="P179">
            <v>450</v>
          </cell>
          <cell r="Q179">
            <v>82.5</v>
          </cell>
          <cell r="R179">
            <v>0</v>
          </cell>
          <cell r="S179">
            <v>688.5</v>
          </cell>
          <cell r="T179">
            <v>0</v>
          </cell>
          <cell r="U179">
            <v>82.5</v>
          </cell>
          <cell r="V179">
            <v>0</v>
          </cell>
          <cell r="W179">
            <v>0</v>
          </cell>
          <cell r="X179">
            <v>416.54545454545456</v>
          </cell>
          <cell r="Y179">
            <v>82.5</v>
          </cell>
          <cell r="Z179">
            <v>241.54545454545456</v>
          </cell>
          <cell r="AA179">
            <v>0</v>
          </cell>
          <cell r="AB179">
            <v>0</v>
          </cell>
          <cell r="AC179">
            <v>179.90909090909091</v>
          </cell>
          <cell r="AD179">
            <v>73</v>
          </cell>
          <cell r="AE179">
            <v>106.90909090909091</v>
          </cell>
          <cell r="AF179">
            <v>157.90909090909091</v>
          </cell>
          <cell r="AG179">
            <v>157.90909090909091</v>
          </cell>
          <cell r="AH179">
            <v>0</v>
          </cell>
          <cell r="AP179">
            <v>82.5</v>
          </cell>
          <cell r="AU179">
            <v>66</v>
          </cell>
        </row>
        <row r="180">
          <cell r="N180">
            <v>0</v>
          </cell>
          <cell r="P180">
            <v>759</v>
          </cell>
          <cell r="Q180">
            <v>156.34</v>
          </cell>
          <cell r="R180">
            <v>0</v>
          </cell>
          <cell r="S180">
            <v>4214.0000000000009</v>
          </cell>
          <cell r="T180">
            <v>13.666666666666666</v>
          </cell>
          <cell r="U180">
            <v>156.34</v>
          </cell>
          <cell r="V180">
            <v>0</v>
          </cell>
          <cell r="W180">
            <v>0</v>
          </cell>
          <cell r="X180">
            <v>502.99999999999835</v>
          </cell>
          <cell r="Y180">
            <v>156.34</v>
          </cell>
          <cell r="AA180">
            <v>0</v>
          </cell>
          <cell r="AB180">
            <v>0</v>
          </cell>
          <cell r="AC180">
            <v>383</v>
          </cell>
          <cell r="AF180">
            <v>1919</v>
          </cell>
          <cell r="AG180">
            <v>1091.0999999999999</v>
          </cell>
          <cell r="AH180">
            <v>827.90000000000009</v>
          </cell>
          <cell r="AJ180">
            <v>0</v>
          </cell>
          <cell r="AK180">
            <v>7665.7360636363592</v>
          </cell>
          <cell r="AO180">
            <v>1507.2</v>
          </cell>
          <cell r="AP180">
            <v>156.34</v>
          </cell>
          <cell r="AQ180">
            <v>-107</v>
          </cell>
          <cell r="AR180">
            <v>-55</v>
          </cell>
          <cell r="AU180">
            <v>125.73</v>
          </cell>
        </row>
        <row r="181">
          <cell r="P181">
            <v>676.66666666666652</v>
          </cell>
          <cell r="Q181">
            <v>20668</v>
          </cell>
          <cell r="S181">
            <v>3680.4666666666681</v>
          </cell>
          <cell r="U181">
            <v>0</v>
          </cell>
          <cell r="X181">
            <v>1136.003333333334</v>
          </cell>
          <cell r="Y181">
            <v>10741</v>
          </cell>
          <cell r="AC181">
            <v>450.60000000000059</v>
          </cell>
          <cell r="AF181">
            <v>1854.0333333333331</v>
          </cell>
          <cell r="AG181">
            <v>1301</v>
          </cell>
          <cell r="AH181">
            <v>545.90000000000009</v>
          </cell>
          <cell r="AN181" t="str">
            <v>ОЧИК.18.02.</v>
          </cell>
          <cell r="AP181">
            <v>31409</v>
          </cell>
          <cell r="AU181">
            <v>31574</v>
          </cell>
        </row>
        <row r="182">
          <cell r="AO182" t="str">
            <v>ОЧИК.18.02.</v>
          </cell>
          <cell r="AP182">
            <v>31409</v>
          </cell>
          <cell r="AU182" t="e">
            <v>#REF!</v>
          </cell>
        </row>
        <row r="183">
          <cell r="P183">
            <v>848.19999999999959</v>
          </cell>
          <cell r="Q183">
            <v>0</v>
          </cell>
          <cell r="S183">
            <v>5161.6000000000004</v>
          </cell>
          <cell r="U183">
            <v>0</v>
          </cell>
          <cell r="X183">
            <v>904.30000000000064</v>
          </cell>
          <cell r="Y183">
            <v>52.1</v>
          </cell>
          <cell r="AC183">
            <v>505.53333333333126</v>
          </cell>
          <cell r="AF183">
            <v>1767.9999999999995</v>
          </cell>
          <cell r="AG183">
            <v>1862</v>
          </cell>
          <cell r="AH183">
            <v>-289</v>
          </cell>
          <cell r="AP183">
            <v>52.1</v>
          </cell>
          <cell r="AU183">
            <v>67.933000000000007</v>
          </cell>
        </row>
        <row r="184">
          <cell r="P184" t="str">
            <v>ККМ</v>
          </cell>
          <cell r="Q184">
            <v>0</v>
          </cell>
          <cell r="S184" t="str">
            <v>КТМ</v>
          </cell>
          <cell r="U184">
            <v>0</v>
          </cell>
          <cell r="X184" t="str">
            <v>ТЕЦ-5 ВСЬОГО</v>
          </cell>
          <cell r="Y184">
            <v>71.3</v>
          </cell>
          <cell r="Z184" t="str">
            <v xml:space="preserve"> Т/Е</v>
          </cell>
          <cell r="AC184" t="str">
            <v>ТЕЦ-6 ВСЬОГО</v>
          </cell>
          <cell r="AD184" t="str">
            <v>Е/Е</v>
          </cell>
          <cell r="AE184" t="str">
            <v xml:space="preserve"> Т/Е</v>
          </cell>
          <cell r="AF184" t="str">
            <v>Е/Е</v>
          </cell>
          <cell r="AG184" t="str">
            <v xml:space="preserve"> Т/Е</v>
          </cell>
          <cell r="AI184" t="str">
            <v xml:space="preserve">ДОП.ВИР. </v>
          </cell>
          <cell r="AJ184" t="str">
            <v>ДОП.ВИР. СТ.ОРГ.</v>
          </cell>
          <cell r="AK184" t="str">
            <v>АК КЕ ВСЬОГО</v>
          </cell>
          <cell r="AL184" t="str">
            <v>Е/Е</v>
          </cell>
          <cell r="AM184" t="str">
            <v xml:space="preserve"> Т/Е</v>
          </cell>
          <cell r="AN184" t="str">
            <v>СТАНЦІї ЕЛЕКТРО</v>
          </cell>
          <cell r="AO184" t="str">
            <v>СТАНЦІІ ТЕПЛОВІ</v>
          </cell>
          <cell r="AP184">
            <v>71.3</v>
          </cell>
          <cell r="AQ184" t="str">
            <v>МЕРЕЖІ ТЕПЛОВІ</v>
          </cell>
          <cell r="AU184">
            <v>91.201999999999998</v>
          </cell>
        </row>
        <row r="185">
          <cell r="C185">
            <v>75</v>
          </cell>
          <cell r="N185">
            <v>75</v>
          </cell>
          <cell r="P185" t="str">
            <v>ККМ</v>
          </cell>
          <cell r="S185" t="str">
            <v>КТМ</v>
          </cell>
          <cell r="X185" t="str">
            <v>ТЕЦ-5 ВСЬОГО</v>
          </cell>
          <cell r="Y185" t="str">
            <v>Е/Е</v>
          </cell>
          <cell r="Z185" t="str">
            <v xml:space="preserve"> Т/Е</v>
          </cell>
          <cell r="AC185" t="str">
            <v>ТЕЦ-6 ВСЬОГО</v>
          </cell>
          <cell r="AD185" t="str">
            <v>Е/Е</v>
          </cell>
          <cell r="AE185" t="str">
            <v xml:space="preserve"> Т/Е</v>
          </cell>
          <cell r="AF185" t="str">
            <v>Е/Е</v>
          </cell>
          <cell r="AG185" t="str">
            <v xml:space="preserve"> Т/Е</v>
          </cell>
          <cell r="AJ185" t="str">
            <v>ДОП.ВИР. СТ.ОРГ.</v>
          </cell>
          <cell r="AK185" t="str">
            <v>АК КЕ ВСЬОГО</v>
          </cell>
          <cell r="AL185" t="str">
            <v>Е/Е</v>
          </cell>
          <cell r="AM185" t="str">
            <v xml:space="preserve"> Т/Е</v>
          </cell>
          <cell r="AN185">
            <v>0</v>
          </cell>
          <cell r="AO185" t="str">
            <v>СТАНЦІї ЕЛЕКТРО</v>
          </cell>
          <cell r="AP185">
            <v>98.96042216358839</v>
          </cell>
          <cell r="AQ185" t="str">
            <v>МЕРЕЖІ ЕЛЕКТРО</v>
          </cell>
          <cell r="AR185" t="str">
            <v>МЕРЕЖІ ТЕПЛОВІ</v>
          </cell>
          <cell r="AU185">
            <v>98.96042216358839</v>
          </cell>
        </row>
        <row r="186">
          <cell r="Q186">
            <v>187.53</v>
          </cell>
          <cell r="U186">
            <v>0</v>
          </cell>
          <cell r="Y186">
            <v>187.53</v>
          </cell>
          <cell r="AP186">
            <v>187.53</v>
          </cell>
          <cell r="AU186">
            <v>187.53</v>
          </cell>
        </row>
        <row r="187">
          <cell r="P187" t="str">
            <v>ККМ</v>
          </cell>
          <cell r="Q187">
            <v>0</v>
          </cell>
          <cell r="S187">
            <v>97.3</v>
          </cell>
          <cell r="T187">
            <v>0</v>
          </cell>
          <cell r="X187">
            <v>89.2</v>
          </cell>
          <cell r="Y187">
            <v>9770</v>
          </cell>
          <cell r="Z187" t="str">
            <v xml:space="preserve"> Т/Е</v>
          </cell>
          <cell r="AC187">
            <v>73.2</v>
          </cell>
          <cell r="AD187" t="str">
            <v>Е/Е</v>
          </cell>
          <cell r="AE187" t="str">
            <v xml:space="preserve"> Т/Е</v>
          </cell>
          <cell r="AF187" t="str">
            <v>Е/Е</v>
          </cell>
          <cell r="AG187" t="str">
            <v xml:space="preserve"> Т/Е</v>
          </cell>
          <cell r="AJ187" t="str">
            <v>ДОП.ВИР. СТ.ОРГ.</v>
          </cell>
          <cell r="AK187">
            <v>259.7</v>
          </cell>
          <cell r="AL187" t="str">
            <v>Е/Е</v>
          </cell>
          <cell r="AM187" t="str">
            <v xml:space="preserve"> Т/Е</v>
          </cell>
          <cell r="AN187">
            <v>221.49122807017542</v>
          </cell>
          <cell r="AO187" t="str">
            <v>СТАНЦІї ЕЛЕКТРО</v>
          </cell>
          <cell r="AP187">
            <v>9770</v>
          </cell>
          <cell r="AQ187" t="str">
            <v>МЕРЕЖІ ЕЛЕКТРО</v>
          </cell>
          <cell r="AR187" t="str">
            <v>МЕРЕЖІ ТЕПЛОВІ</v>
          </cell>
          <cell r="AU187">
            <v>12739</v>
          </cell>
        </row>
        <row r="188">
          <cell r="S188">
            <v>111.9</v>
          </cell>
          <cell r="X188">
            <v>102.5</v>
          </cell>
          <cell r="AC188">
            <v>84.2</v>
          </cell>
          <cell r="AK188">
            <v>298.60000000000002</v>
          </cell>
          <cell r="AN188">
            <v>252.49999999999997</v>
          </cell>
          <cell r="AO188">
            <v>221.49122807017542</v>
          </cell>
          <cell r="AP188">
            <v>9770</v>
          </cell>
          <cell r="AU188" t="e">
            <v>#REF!</v>
          </cell>
        </row>
        <row r="189">
          <cell r="P189">
            <v>0</v>
          </cell>
          <cell r="Q189">
            <v>150.5</v>
          </cell>
          <cell r="S189">
            <v>0</v>
          </cell>
          <cell r="T189">
            <v>0</v>
          </cell>
          <cell r="U189">
            <v>51.4</v>
          </cell>
          <cell r="V189">
            <v>-51.4</v>
          </cell>
          <cell r="X189">
            <v>0</v>
          </cell>
          <cell r="Y189">
            <v>149.6</v>
          </cell>
          <cell r="Z189">
            <v>52.7</v>
          </cell>
          <cell r="AA189">
            <v>96.899999999999991</v>
          </cell>
          <cell r="AC189">
            <v>0</v>
          </cell>
          <cell r="AK189">
            <v>377.7</v>
          </cell>
          <cell r="AN189">
            <v>66</v>
          </cell>
          <cell r="AO189">
            <v>252.49999999999997</v>
          </cell>
          <cell r="AP189">
            <v>300.10000000000002</v>
          </cell>
          <cell r="AQ189">
            <v>104.1</v>
          </cell>
          <cell r="AR189">
            <v>196</v>
          </cell>
          <cell r="AU189">
            <v>379.48700000000002</v>
          </cell>
          <cell r="AV189">
            <v>83.676000000000002</v>
          </cell>
          <cell r="AW189">
            <v>295.81100000000004</v>
          </cell>
        </row>
        <row r="190">
          <cell r="P190">
            <v>0</v>
          </cell>
          <cell r="Q190">
            <v>20668</v>
          </cell>
          <cell r="S190">
            <v>194.5</v>
          </cell>
          <cell r="T190">
            <v>0</v>
          </cell>
          <cell r="U190" t="e">
            <v>#DIV/0!</v>
          </cell>
          <cell r="V190" t="e">
            <v>#DIV/0!</v>
          </cell>
          <cell r="X190">
            <v>194.5</v>
          </cell>
          <cell r="Y190">
            <v>20511</v>
          </cell>
          <cell r="Z190">
            <v>7225</v>
          </cell>
          <cell r="AA190">
            <v>13286</v>
          </cell>
          <cell r="AC190">
            <v>194.5</v>
          </cell>
          <cell r="AK190">
            <v>194.5</v>
          </cell>
          <cell r="AN190">
            <v>0</v>
          </cell>
          <cell r="AO190">
            <v>221.49122807017542</v>
          </cell>
          <cell r="AP190" t="e">
            <v>#DIV/0!</v>
          </cell>
          <cell r="AQ190" t="e">
            <v>#DIV/0!</v>
          </cell>
          <cell r="AR190" t="e">
            <v>#DIV/0!</v>
          </cell>
          <cell r="AU190">
            <v>44313</v>
          </cell>
          <cell r="AV190">
            <v>9770.9133329995493</v>
          </cell>
          <cell r="AW190">
            <v>34542.086667000447</v>
          </cell>
        </row>
        <row r="191">
          <cell r="P191">
            <v>0</v>
          </cell>
          <cell r="Q191">
            <v>137.33000000000001</v>
          </cell>
          <cell r="S191">
            <v>18925</v>
          </cell>
          <cell r="T191" t="e">
            <v>#DIV/0!</v>
          </cell>
          <cell r="U191" t="e">
            <v>#DIV/0!</v>
          </cell>
          <cell r="V191" t="e">
            <v>#DIV/0!</v>
          </cell>
          <cell r="X191">
            <v>17350</v>
          </cell>
          <cell r="Y191">
            <v>137.11000000000001</v>
          </cell>
          <cell r="Z191">
            <v>137.1</v>
          </cell>
          <cell r="AA191">
            <v>137.11000000000001</v>
          </cell>
          <cell r="AC191">
            <v>14237</v>
          </cell>
          <cell r="AK191">
            <v>50512</v>
          </cell>
          <cell r="AN191">
            <v>0</v>
          </cell>
          <cell r="AO191">
            <v>252.49999999999997</v>
          </cell>
          <cell r="AP191" t="e">
            <v>#DIV/0!</v>
          </cell>
          <cell r="AQ191" t="e">
            <v>#DIV/0!</v>
          </cell>
          <cell r="AR191" t="e">
            <v>#DIV/0!</v>
          </cell>
          <cell r="AU191">
            <v>116.77</v>
          </cell>
          <cell r="AV191">
            <v>116.77</v>
          </cell>
          <cell r="AW191">
            <v>116.77</v>
          </cell>
        </row>
        <row r="192">
          <cell r="P192">
            <v>0</v>
          </cell>
          <cell r="S192">
            <v>0</v>
          </cell>
          <cell r="X192">
            <v>0</v>
          </cell>
          <cell r="AC192">
            <v>0</v>
          </cell>
          <cell r="AK192">
            <v>50512</v>
          </cell>
          <cell r="AO192">
            <v>66</v>
          </cell>
          <cell r="AP192">
            <v>0</v>
          </cell>
          <cell r="AQ192">
            <v>0</v>
          </cell>
          <cell r="AR192">
            <v>0</v>
          </cell>
          <cell r="AU192">
            <v>0</v>
          </cell>
          <cell r="AV192">
            <v>0</v>
          </cell>
          <cell r="AW192">
            <v>0</v>
          </cell>
        </row>
        <row r="193">
          <cell r="P193">
            <v>0</v>
          </cell>
          <cell r="S193">
            <v>192.5</v>
          </cell>
          <cell r="T193" t="e">
            <v>#DIV/0!</v>
          </cell>
          <cell r="X193">
            <v>0</v>
          </cell>
          <cell r="Y193">
            <v>20511</v>
          </cell>
          <cell r="AC193">
            <v>0</v>
          </cell>
          <cell r="AK193">
            <v>0</v>
          </cell>
          <cell r="AO193">
            <v>0</v>
          </cell>
          <cell r="AP193" t="e">
            <v>#DIV/0!</v>
          </cell>
          <cell r="AQ193" t="e">
            <v>#DIV/0!</v>
          </cell>
          <cell r="AR193" t="e">
            <v>#DIV/0!</v>
          </cell>
          <cell r="AU193">
            <v>44313</v>
          </cell>
          <cell r="AV193">
            <v>9770.9133329995493</v>
          </cell>
          <cell r="AW193">
            <v>34542.086667000447</v>
          </cell>
        </row>
        <row r="194">
          <cell r="S194">
            <v>21522</v>
          </cell>
          <cell r="X194">
            <v>0</v>
          </cell>
          <cell r="AC194">
            <v>0</v>
          </cell>
          <cell r="AK194">
            <v>0</v>
          </cell>
          <cell r="AO194">
            <v>0</v>
          </cell>
        </row>
        <row r="195">
          <cell r="X195">
            <v>82.5</v>
          </cell>
          <cell r="AC195">
            <v>82.5</v>
          </cell>
          <cell r="AK195">
            <v>69782</v>
          </cell>
        </row>
        <row r="196">
          <cell r="T196" t="str">
            <v>ТЕЦ-5 ВСЬОГО</v>
          </cell>
          <cell r="U196" t="str">
            <v>Е/Е</v>
          </cell>
          <cell r="V196" t="str">
            <v xml:space="preserve"> Т/Е</v>
          </cell>
          <cell r="X196">
            <v>0</v>
          </cell>
          <cell r="Y196" t="str">
            <v>ТЕЦ-6 ВСЬОГО</v>
          </cell>
          <cell r="Z196" t="str">
            <v>Е/Е</v>
          </cell>
          <cell r="AA196" t="str">
            <v xml:space="preserve"> Т/Е</v>
          </cell>
          <cell r="AC196">
            <v>0</v>
          </cell>
          <cell r="AK196">
            <v>0</v>
          </cell>
          <cell r="AP196" t="str">
            <v>АК КЕ ВСЬОГО</v>
          </cell>
          <cell r="AQ196" t="str">
            <v>Е/Е</v>
          </cell>
          <cell r="AR196" t="str">
            <v xml:space="preserve"> Т/Е</v>
          </cell>
        </row>
        <row r="197">
          <cell r="S197">
            <v>0</v>
          </cell>
          <cell r="U197">
            <v>291.85000000000002</v>
          </cell>
          <cell r="V197">
            <v>750</v>
          </cell>
          <cell r="X197">
            <v>0</v>
          </cell>
          <cell r="Z197">
            <v>268.14999999999998</v>
          </cell>
          <cell r="AA197">
            <v>590</v>
          </cell>
          <cell r="AC197">
            <v>0</v>
          </cell>
          <cell r="AK197">
            <v>0</v>
          </cell>
        </row>
        <row r="198">
          <cell r="S198">
            <v>0</v>
          </cell>
          <cell r="U198">
            <v>176.1</v>
          </cell>
          <cell r="V198">
            <v>163.6</v>
          </cell>
          <cell r="X198">
            <v>82.5</v>
          </cell>
          <cell r="Z198">
            <v>196.5</v>
          </cell>
          <cell r="AA198">
            <v>164.2</v>
          </cell>
          <cell r="AC198">
            <v>82.5</v>
          </cell>
          <cell r="AK198">
            <v>0</v>
          </cell>
        </row>
        <row r="199">
          <cell r="U199">
            <v>306.60000000000002</v>
          </cell>
          <cell r="V199">
            <v>112.8</v>
          </cell>
          <cell r="X199">
            <v>13.4</v>
          </cell>
          <cell r="Z199">
            <v>301.89999999999998</v>
          </cell>
          <cell r="AA199">
            <v>116.3</v>
          </cell>
          <cell r="AC199">
            <v>16.100000000000001</v>
          </cell>
          <cell r="AK199">
            <v>29.5</v>
          </cell>
          <cell r="AN199">
            <v>75.839416058394164</v>
          </cell>
        </row>
        <row r="200">
          <cell r="S200">
            <v>0</v>
          </cell>
          <cell r="U200">
            <v>130.50000000000003</v>
          </cell>
          <cell r="V200">
            <v>-50.8</v>
          </cell>
          <cell r="X200">
            <v>18.5</v>
          </cell>
          <cell r="Z200">
            <v>105.39999999999998</v>
          </cell>
          <cell r="AA200">
            <v>-47.899999999999991</v>
          </cell>
          <cell r="AC200">
            <v>22.2</v>
          </cell>
          <cell r="AK200">
            <v>40.700000000000003</v>
          </cell>
          <cell r="AN200">
            <v>103.9</v>
          </cell>
          <cell r="AO200">
            <v>75.839416058394164</v>
          </cell>
        </row>
        <row r="201">
          <cell r="P201">
            <v>75</v>
          </cell>
          <cell r="U201" t="e">
            <v>#DIV/0!</v>
          </cell>
          <cell r="V201" t="e">
            <v>#DIV/0!</v>
          </cell>
          <cell r="X201">
            <v>5.7</v>
          </cell>
          <cell r="Z201">
            <v>137.1</v>
          </cell>
          <cell r="AA201">
            <v>137.11000000000001</v>
          </cell>
          <cell r="AC201">
            <v>5.9</v>
          </cell>
          <cell r="AJ201">
            <v>0</v>
          </cell>
          <cell r="AK201">
            <v>11.600000000000001</v>
          </cell>
          <cell r="AN201" t="e">
            <v>#DIV/0!</v>
          </cell>
          <cell r="AO201">
            <v>103.9</v>
          </cell>
          <cell r="AQ201">
            <v>75</v>
          </cell>
        </row>
        <row r="202">
          <cell r="S202">
            <v>653</v>
          </cell>
          <cell r="U202" t="e">
            <v>#DIV/0!</v>
          </cell>
          <cell r="V202" t="e">
            <v>#DIV/0!</v>
          </cell>
          <cell r="X202">
            <v>653</v>
          </cell>
          <cell r="Z202">
            <v>14.450339999999997</v>
          </cell>
          <cell r="AA202">
            <v>-6.5675689999999998</v>
          </cell>
          <cell r="AC202">
            <v>653</v>
          </cell>
          <cell r="AJ202">
            <v>0</v>
          </cell>
          <cell r="AK202">
            <v>653</v>
          </cell>
          <cell r="AN202">
            <v>195.28</v>
          </cell>
          <cell r="AO202">
            <v>75.839416058394164</v>
          </cell>
          <cell r="AR202">
            <v>75</v>
          </cell>
        </row>
        <row r="203">
          <cell r="S203">
            <v>0</v>
          </cell>
          <cell r="U203" t="e">
            <v>#DIV/0!</v>
          </cell>
          <cell r="V203" t="e">
            <v>#DIV/0!</v>
          </cell>
          <cell r="X203">
            <v>8750</v>
          </cell>
          <cell r="Z203">
            <v>3874.858670999999</v>
          </cell>
          <cell r="AA203">
            <v>-3874.86571</v>
          </cell>
          <cell r="AC203">
            <v>10514</v>
          </cell>
          <cell r="AK203">
            <v>19264</v>
          </cell>
          <cell r="AN203">
            <v>14810</v>
          </cell>
          <cell r="AO203">
            <v>103.9</v>
          </cell>
          <cell r="AQ203" t="e">
            <v>#DIV/0!</v>
          </cell>
          <cell r="AR203" t="e">
            <v>#DIV/0!</v>
          </cell>
        </row>
        <row r="204">
          <cell r="S204">
            <v>0</v>
          </cell>
          <cell r="X204">
            <v>2466</v>
          </cell>
          <cell r="AC204">
            <v>2526</v>
          </cell>
          <cell r="AJ204">
            <v>0</v>
          </cell>
          <cell r="AK204">
            <v>19264</v>
          </cell>
          <cell r="AO204" t="e">
            <v>#DIV/0!</v>
          </cell>
          <cell r="AR204">
            <v>75</v>
          </cell>
        </row>
        <row r="205">
          <cell r="S205">
            <v>111.9</v>
          </cell>
          <cell r="X205">
            <v>121</v>
          </cell>
          <cell r="Y205">
            <v>37.5</v>
          </cell>
          <cell r="Z205">
            <v>83.5</v>
          </cell>
          <cell r="AC205">
            <v>106.4</v>
          </cell>
          <cell r="AD205">
            <v>34.799999999999997</v>
          </cell>
          <cell r="AE205">
            <v>71.600000000000009</v>
          </cell>
          <cell r="AK205">
            <v>339.3</v>
          </cell>
          <cell r="AL205">
            <v>72.3</v>
          </cell>
          <cell r="AM205">
            <v>267</v>
          </cell>
          <cell r="AN205">
            <v>356.4</v>
          </cell>
          <cell r="AO205">
            <v>74.900000000000006</v>
          </cell>
          <cell r="AP205">
            <v>281.5</v>
          </cell>
          <cell r="AV205">
            <v>1507.2</v>
          </cell>
        </row>
        <row r="206">
          <cell r="S206">
            <v>18925</v>
          </cell>
          <cell r="X206">
            <v>26100</v>
          </cell>
          <cell r="Y206">
            <v>11966.09756097561</v>
          </cell>
          <cell r="Z206">
            <v>14133.90243902439</v>
          </cell>
          <cell r="AA206">
            <v>14133.90243902439</v>
          </cell>
          <cell r="AC206">
            <v>24751</v>
          </cell>
          <cell r="AD206">
            <v>12644.477434679333</v>
          </cell>
          <cell r="AE206">
            <v>12106.522565320667</v>
          </cell>
          <cell r="AK206">
            <v>69776</v>
          </cell>
          <cell r="AL206">
            <v>24610.574995654941</v>
          </cell>
          <cell r="AM206">
            <v>45165.425004345059</v>
          </cell>
          <cell r="AN206">
            <v>14810</v>
          </cell>
          <cell r="AO206">
            <v>3112.427048260382</v>
          </cell>
          <cell r="AP206">
            <v>11697.572951739618</v>
          </cell>
          <cell r="AQ206">
            <v>281.5</v>
          </cell>
        </row>
        <row r="207">
          <cell r="S207">
            <v>169.12</v>
          </cell>
          <cell r="X207">
            <v>215.7</v>
          </cell>
          <cell r="Y207">
            <v>319.10000000000002</v>
          </cell>
          <cell r="Z207">
            <v>169.27</v>
          </cell>
          <cell r="AA207">
            <v>13714</v>
          </cell>
          <cell r="AC207">
            <v>232.62</v>
          </cell>
          <cell r="AD207">
            <v>363.35</v>
          </cell>
          <cell r="AE207">
            <v>169.09</v>
          </cell>
          <cell r="AI207">
            <v>0</v>
          </cell>
          <cell r="AJ207">
            <v>0</v>
          </cell>
          <cell r="AK207">
            <v>205.65</v>
          </cell>
          <cell r="AL207">
            <v>340.4</v>
          </cell>
          <cell r="AM207">
            <v>169.16</v>
          </cell>
          <cell r="AN207">
            <v>41.55</v>
          </cell>
          <cell r="AO207">
            <v>41.55</v>
          </cell>
          <cell r="AP207">
            <v>41.55</v>
          </cell>
          <cell r="AQ207">
            <v>0</v>
          </cell>
        </row>
        <row r="208">
          <cell r="S208">
            <v>128</v>
          </cell>
          <cell r="X208">
            <v>152.69999999999999</v>
          </cell>
          <cell r="Y208">
            <v>64.2</v>
          </cell>
          <cell r="Z208">
            <v>88.5</v>
          </cell>
          <cell r="AC208">
            <v>134.30000000000001</v>
          </cell>
          <cell r="AD208">
            <v>54.6</v>
          </cell>
          <cell r="AE208">
            <v>79.7</v>
          </cell>
          <cell r="AJ208">
            <v>0</v>
          </cell>
          <cell r="AK208">
            <v>415</v>
          </cell>
          <cell r="AL208">
            <v>118.80000000000001</v>
          </cell>
          <cell r="AM208">
            <v>0</v>
          </cell>
          <cell r="AN208">
            <v>52</v>
          </cell>
          <cell r="AO208">
            <v>52</v>
          </cell>
          <cell r="AP208">
            <v>74.900000000000006</v>
          </cell>
          <cell r="AQ208">
            <v>281.5</v>
          </cell>
          <cell r="AR208">
            <v>0</v>
          </cell>
        </row>
        <row r="209">
          <cell r="S209">
            <v>21522</v>
          </cell>
          <cell r="X209">
            <v>26100</v>
          </cell>
          <cell r="Y209">
            <v>10797</v>
          </cell>
          <cell r="Z209">
            <v>14883</v>
          </cell>
          <cell r="AA209">
            <v>14883</v>
          </cell>
          <cell r="AC209">
            <v>24751</v>
          </cell>
          <cell r="AD209">
            <v>9180</v>
          </cell>
          <cell r="AE209">
            <v>13400</v>
          </cell>
          <cell r="AK209">
            <v>69776</v>
          </cell>
          <cell r="AL209">
            <v>24610.574995654941</v>
          </cell>
          <cell r="AM209">
            <v>45165.425004345059</v>
          </cell>
          <cell r="AN209">
            <v>14862</v>
          </cell>
          <cell r="AO209">
            <v>3164.427048260382</v>
          </cell>
          <cell r="AP209">
            <v>11697.572951739618</v>
          </cell>
          <cell r="AQ209">
            <v>11697.572951739618</v>
          </cell>
        </row>
        <row r="210">
          <cell r="S210">
            <v>168.14</v>
          </cell>
          <cell r="X210">
            <v>168.17</v>
          </cell>
          <cell r="Y210">
            <v>168.18</v>
          </cell>
          <cell r="Z210">
            <v>168.17</v>
          </cell>
          <cell r="AC210">
            <v>168.13</v>
          </cell>
          <cell r="AD210">
            <v>168.13</v>
          </cell>
          <cell r="AE210">
            <v>168.13</v>
          </cell>
          <cell r="AJ210">
            <v>0</v>
          </cell>
          <cell r="AK210">
            <v>168.15</v>
          </cell>
          <cell r="AL210">
            <v>168.16</v>
          </cell>
          <cell r="AM210">
            <v>168.15</v>
          </cell>
          <cell r="AO210">
            <v>41.55</v>
          </cell>
          <cell r="AP210">
            <v>41.55</v>
          </cell>
          <cell r="AQ210">
            <v>41.55</v>
          </cell>
          <cell r="AR210">
            <v>0</v>
          </cell>
        </row>
        <row r="211">
          <cell r="AK211">
            <v>69776</v>
          </cell>
          <cell r="AM211">
            <v>0</v>
          </cell>
          <cell r="AO211">
            <v>52</v>
          </cell>
          <cell r="AP211">
            <v>52</v>
          </cell>
        </row>
        <row r="212">
          <cell r="X212">
            <v>25680</v>
          </cell>
          <cell r="AC212">
            <v>22580</v>
          </cell>
          <cell r="AK212">
            <v>69781</v>
          </cell>
          <cell r="AL212">
            <v>19977</v>
          </cell>
          <cell r="AM212">
            <v>49804</v>
          </cell>
          <cell r="AO212">
            <v>14862</v>
          </cell>
          <cell r="AP212">
            <v>3164.427048260382</v>
          </cell>
          <cell r="AQ212">
            <v>11697.572951739618</v>
          </cell>
        </row>
        <row r="219">
          <cell r="Y219" t="str">
            <v>ЗАТВЕРДЖУЮ</v>
          </cell>
        </row>
        <row r="220">
          <cell r="Y220" t="str">
            <v>ГОЛОВА ПРАЛІННЯ АК КЕ</v>
          </cell>
        </row>
        <row r="221">
          <cell r="Z221" t="str">
            <v>І.В.ПЛАЧКОВ</v>
          </cell>
        </row>
        <row r="222">
          <cell r="C222" t="str">
            <v>ПОТРЕБА   В КОШТАХ НА  1 КВАРТАЛ 1998 року</v>
          </cell>
        </row>
        <row r="223">
          <cell r="C223" t="str">
            <v>ПО ФІЛІАЛАХ АК КИЇВЕНЕРГО</v>
          </cell>
        </row>
        <row r="225">
          <cell r="C225" t="str">
            <v>ВИКОН.ДИР.</v>
          </cell>
          <cell r="D225" t="str">
            <v>АПАРАТ ЕЛЕКТРО</v>
          </cell>
          <cell r="E225" t="str">
            <v>АПАРАТ ТЕПЛО</v>
          </cell>
          <cell r="N225" t="str">
            <v>ККМ</v>
          </cell>
          <cell r="Q225" t="str">
            <v>КТМ</v>
          </cell>
          <cell r="T225" t="str">
            <v>ТЕЦ-5 ВСЬОГО</v>
          </cell>
          <cell r="U225" t="str">
            <v>Е/Е</v>
          </cell>
          <cell r="V225" t="str">
            <v xml:space="preserve"> Т/Е</v>
          </cell>
          <cell r="Y225" t="str">
            <v>ТЕЦ-6 ВСЬОГО</v>
          </cell>
          <cell r="Z225" t="str">
            <v>Е/Е</v>
          </cell>
          <cell r="AA225" t="str">
            <v xml:space="preserve"> Т/Е</v>
          </cell>
          <cell r="AN225" t="str">
            <v>ДОП.ВИР. СТ.ОРГ.</v>
          </cell>
          <cell r="AP225" t="str">
            <v>АК КЕ ВСЬОГО</v>
          </cell>
          <cell r="AQ225" t="str">
            <v>Е/Е</v>
          </cell>
          <cell r="AR225" t="str">
            <v xml:space="preserve"> Т/Е</v>
          </cell>
          <cell r="AU225" t="str">
            <v>СТАНЦІї ЕЛЕКТРО</v>
          </cell>
          <cell r="AV225" t="str">
            <v>СТАНЦІІ ТЕПЛОВІ</v>
          </cell>
          <cell r="AW225" t="str">
            <v>МЕРЕЖІ ЕЛЕКТРО</v>
          </cell>
          <cell r="AX225" t="str">
            <v>МЕРЕЖІ ТЕПЛОВІ</v>
          </cell>
        </row>
        <row r="227">
          <cell r="AO227">
            <v>1507.2</v>
          </cell>
        </row>
        <row r="228">
          <cell r="C228" t="e">
            <v>#REF!</v>
          </cell>
          <cell r="N228" t="e">
            <v>#REF!</v>
          </cell>
          <cell r="Q228">
            <v>24070.113454545455</v>
          </cell>
          <cell r="T228">
            <v>8491.1123636363882</v>
          </cell>
          <cell r="Y228" t="e">
            <v>#REF!</v>
          </cell>
          <cell r="AN228" t="e">
            <v>#REF!</v>
          </cell>
          <cell r="AP228" t="e">
            <v>#REF!</v>
          </cell>
          <cell r="AQ228" t="e">
            <v>#REF!</v>
          </cell>
        </row>
        <row r="229">
          <cell r="C229" t="e">
            <v>#REF!</v>
          </cell>
          <cell r="N229" t="e">
            <v>#REF!</v>
          </cell>
          <cell r="Q229">
            <v>7411.0435151515139</v>
          </cell>
          <cell r="T229">
            <v>3172.257090909115</v>
          </cell>
          <cell r="Y229" t="e">
            <v>#REF!</v>
          </cell>
          <cell r="AP229" t="e">
            <v>#REF!</v>
          </cell>
          <cell r="AQ229" t="e">
            <v>#REF!</v>
          </cell>
        </row>
        <row r="230">
          <cell r="AP230">
            <v>1507.2</v>
          </cell>
        </row>
        <row r="231">
          <cell r="C231">
            <v>1249.181818181818</v>
          </cell>
          <cell r="N231">
            <v>2372.272727272727</v>
          </cell>
          <cell r="Q231">
            <v>5435.727272727273</v>
          </cell>
          <cell r="T231">
            <v>2142.727272727273</v>
          </cell>
          <cell r="Y231">
            <v>1732.7272727272727</v>
          </cell>
          <cell r="AN231" t="e">
            <v>#REF!</v>
          </cell>
          <cell r="AP231" t="e">
            <v>#REF!</v>
          </cell>
          <cell r="AQ231" t="e">
            <v>#REF!</v>
          </cell>
        </row>
        <row r="232">
          <cell r="C232">
            <v>338</v>
          </cell>
          <cell r="N232">
            <v>648</v>
          </cell>
          <cell r="Q232">
            <v>1482</v>
          </cell>
          <cell r="T232">
            <v>584</v>
          </cell>
          <cell r="Y232">
            <v>472</v>
          </cell>
          <cell r="AP232" t="e">
            <v>#REF!</v>
          </cell>
          <cell r="AQ232" t="e">
            <v>#REF!</v>
          </cell>
        </row>
        <row r="233">
          <cell r="AQ233" t="e">
            <v>#REF!</v>
          </cell>
        </row>
        <row r="234">
          <cell r="C234">
            <v>0</v>
          </cell>
          <cell r="N234">
            <v>0</v>
          </cell>
          <cell r="Q234">
            <v>60.8</v>
          </cell>
          <cell r="T234">
            <v>2406.6</v>
          </cell>
          <cell r="Y234">
            <v>38.200000000000003</v>
          </cell>
          <cell r="AP234">
            <v>2505.6</v>
          </cell>
          <cell r="AQ234" t="e">
            <v>#REF!</v>
          </cell>
        </row>
        <row r="235">
          <cell r="C235">
            <v>2</v>
          </cell>
          <cell r="N235">
            <v>0</v>
          </cell>
          <cell r="Q235">
            <v>0</v>
          </cell>
          <cell r="T235">
            <v>0</v>
          </cell>
          <cell r="Y235">
            <v>0</v>
          </cell>
          <cell r="AP235">
            <v>21</v>
          </cell>
          <cell r="AQ235" t="e">
            <v>#REF!</v>
          </cell>
        </row>
        <row r="236">
          <cell r="C236">
            <v>6110.4140909090911</v>
          </cell>
          <cell r="N236">
            <v>0</v>
          </cell>
          <cell r="Q236">
            <v>526.04999999999995</v>
          </cell>
          <cell r="T236">
            <v>0</v>
          </cell>
          <cell r="Y236">
            <v>0</v>
          </cell>
          <cell r="AP236" t="e">
            <v>#REF!</v>
          </cell>
          <cell r="AQ236" t="e">
            <v>#REF!</v>
          </cell>
        </row>
        <row r="237">
          <cell r="AQ237" t="e">
            <v>#REF!</v>
          </cell>
        </row>
        <row r="238">
          <cell r="C238">
            <v>2152.9490000000001</v>
          </cell>
          <cell r="N238">
            <v>1614.15</v>
          </cell>
          <cell r="Q238">
            <v>1739.5839999999998</v>
          </cell>
          <cell r="T238">
            <v>176.47000000000003</v>
          </cell>
          <cell r="Y238">
            <v>225.76000000000002</v>
          </cell>
          <cell r="AP238" t="e">
            <v>#REF!</v>
          </cell>
          <cell r="AQ238" t="e">
            <v>#REF!</v>
          </cell>
        </row>
        <row r="239">
          <cell r="C239">
            <v>916.24199999999996</v>
          </cell>
          <cell r="N239">
            <v>0</v>
          </cell>
          <cell r="Q239">
            <v>0</v>
          </cell>
          <cell r="T239">
            <v>0</v>
          </cell>
          <cell r="Y239">
            <v>0</v>
          </cell>
          <cell r="AP239">
            <v>0</v>
          </cell>
          <cell r="AQ239" t="e">
            <v>#REF!</v>
          </cell>
        </row>
        <row r="240">
          <cell r="AQ240" t="e">
            <v>#REF!</v>
          </cell>
        </row>
        <row r="241">
          <cell r="C241" t="e">
            <v>#REF!</v>
          </cell>
          <cell r="N241" t="e">
            <v>#REF!</v>
          </cell>
          <cell r="Q241">
            <v>776</v>
          </cell>
          <cell r="T241">
            <v>0</v>
          </cell>
          <cell r="Y241" t="e">
            <v>#REF!</v>
          </cell>
          <cell r="AP241" t="e">
            <v>#REF!</v>
          </cell>
          <cell r="AQ241" t="e">
            <v>#REF!</v>
          </cell>
        </row>
        <row r="242">
          <cell r="AG242" t="str">
            <v xml:space="preserve">         Затверджую</v>
          </cell>
          <cell r="AQ242" t="e">
            <v>#REF!</v>
          </cell>
        </row>
        <row r="243">
          <cell r="AG243" t="str">
            <v xml:space="preserve"> Голова правління </v>
          </cell>
          <cell r="AQ243" t="e">
            <v>#REF!</v>
          </cell>
        </row>
        <row r="244">
          <cell r="C244">
            <v>0</v>
          </cell>
          <cell r="N244">
            <v>0</v>
          </cell>
          <cell r="Q244">
            <v>1473.1853333333333</v>
          </cell>
          <cell r="T244">
            <v>145.25866666666667</v>
          </cell>
          <cell r="Y244">
            <v>100.22533333333334</v>
          </cell>
          <cell r="AG244" t="str">
            <v xml:space="preserve">                        І.В.Плачков</v>
          </cell>
          <cell r="AP244">
            <v>2344.551833476</v>
          </cell>
          <cell r="AQ244" t="e">
            <v>#REF!</v>
          </cell>
        </row>
        <row r="245">
          <cell r="C245">
            <v>0</v>
          </cell>
          <cell r="N245">
            <v>0</v>
          </cell>
          <cell r="Q245">
            <v>113.33333333333334</v>
          </cell>
          <cell r="T245">
            <v>48.626666666666665</v>
          </cell>
          <cell r="Y245">
            <v>65.784000000000006</v>
          </cell>
          <cell r="AG245" t="str">
            <v xml:space="preserve">   "_____" ________2000 р.</v>
          </cell>
          <cell r="AP245">
            <v>276.34120823549074</v>
          </cell>
          <cell r="AQ245" t="e">
            <v>#REF!</v>
          </cell>
        </row>
        <row r="246">
          <cell r="AG246" t="str">
            <v xml:space="preserve"> Голова правління </v>
          </cell>
          <cell r="AQ246" t="e">
            <v>#REF!</v>
          </cell>
        </row>
        <row r="247">
          <cell r="C247">
            <v>0</v>
          </cell>
          <cell r="N247">
            <v>0</v>
          </cell>
          <cell r="Q247">
            <v>0</v>
          </cell>
          <cell r="T247">
            <v>95.642666666666656</v>
          </cell>
          <cell r="Y247">
            <v>206.52799999999999</v>
          </cell>
          <cell r="AG247" t="str">
            <v xml:space="preserve">                        І.В.Плачков</v>
          </cell>
          <cell r="AP247">
            <v>302.17066666666665</v>
          </cell>
          <cell r="AQ247" t="e">
            <v>#REF!</v>
          </cell>
        </row>
        <row r="248">
          <cell r="C248">
            <v>16.399999999999999</v>
          </cell>
          <cell r="N248">
            <v>157.33600000000001</v>
          </cell>
          <cell r="Q248">
            <v>9035.0240000000013</v>
          </cell>
          <cell r="T248">
            <v>0</v>
          </cell>
          <cell r="Y248">
            <v>0</v>
          </cell>
          <cell r="AG248" t="str">
            <v xml:space="preserve">   "_____" ________2000 р.</v>
          </cell>
          <cell r="AP248">
            <v>10205.432000000003</v>
          </cell>
          <cell r="AQ248" t="e">
            <v>#REF!</v>
          </cell>
        </row>
        <row r="249">
          <cell r="C249">
            <v>0</v>
          </cell>
          <cell r="N249">
            <v>0</v>
          </cell>
          <cell r="Q249">
            <v>0</v>
          </cell>
          <cell r="T249">
            <v>0</v>
          </cell>
          <cell r="Y249">
            <v>0</v>
          </cell>
          <cell r="AP249">
            <v>658.33066666666662</v>
          </cell>
          <cell r="AQ249" t="e">
            <v>#REF!</v>
          </cell>
        </row>
        <row r="250">
          <cell r="C250">
            <v>228.66666666666669</v>
          </cell>
          <cell r="N250">
            <v>0</v>
          </cell>
          <cell r="Q250">
            <v>0</v>
          </cell>
          <cell r="T250">
            <v>0</v>
          </cell>
          <cell r="Y250">
            <v>0</v>
          </cell>
          <cell r="AP250">
            <v>228.66666666666669</v>
          </cell>
          <cell r="AQ250" t="e">
            <v>#REF!</v>
          </cell>
        </row>
        <row r="251">
          <cell r="C251">
            <v>-0.5</v>
          </cell>
          <cell r="N251">
            <v>0.20800000000000018</v>
          </cell>
          <cell r="Q251">
            <v>0.76399999999998158</v>
          </cell>
          <cell r="T251">
            <v>-0.42800000000000082</v>
          </cell>
          <cell r="Y251">
            <v>6.799999999999784E-2</v>
          </cell>
          <cell r="AP251" t="e">
            <v>#REF!</v>
          </cell>
          <cell r="AQ251" t="e">
            <v>#REF!</v>
          </cell>
        </row>
        <row r="252">
          <cell r="C252">
            <v>685.56799999999998</v>
          </cell>
          <cell r="N252">
            <v>0.19200000000000017</v>
          </cell>
          <cell r="Q252">
            <v>-0.32000000000000028</v>
          </cell>
          <cell r="T252">
            <v>-0.3360000000000003</v>
          </cell>
          <cell r="Y252">
            <v>0.28000000000000114</v>
          </cell>
          <cell r="AP252" t="e">
            <v>#REF!</v>
          </cell>
          <cell r="AQ252" t="e">
            <v>#REF!</v>
          </cell>
        </row>
        <row r="253">
          <cell r="C253" t="e">
            <v>#REF!</v>
          </cell>
          <cell r="N253" t="e">
            <v>#REF!</v>
          </cell>
          <cell r="Q253">
            <v>4368.9655151515171</v>
          </cell>
          <cell r="T253">
            <v>2996.5510909091154</v>
          </cell>
          <cell r="Y253" t="e">
            <v>#REF!</v>
          </cell>
          <cell r="AP253" t="e">
            <v>#REF!</v>
          </cell>
          <cell r="AQ253" t="e">
            <v>#REF!</v>
          </cell>
        </row>
        <row r="254">
          <cell r="Q254">
            <v>541</v>
          </cell>
          <cell r="T254">
            <v>480</v>
          </cell>
          <cell r="Y254">
            <v>44</v>
          </cell>
          <cell r="AP254">
            <v>524</v>
          </cell>
          <cell r="AQ254" t="e">
            <v>#REF!</v>
          </cell>
        </row>
        <row r="255">
          <cell r="AI255" t="str">
            <v>ТИС.ГРН.</v>
          </cell>
          <cell r="AK255" t="str">
            <v>тис.грн.</v>
          </cell>
        </row>
        <row r="256">
          <cell r="P256" t="str">
            <v>КМ</v>
          </cell>
          <cell r="Q256" t="str">
            <v>ТМ</v>
          </cell>
          <cell r="S256" t="str">
            <v>КТМ</v>
          </cell>
          <cell r="T256" t="str">
            <v>ВИРОБН</v>
          </cell>
          <cell r="U256" t="str">
            <v>ПЕРЕД</v>
          </cell>
          <cell r="X256" t="str">
            <v>ТЕЦ-5 ВСЬОГО</v>
          </cell>
          <cell r="Y256" t="str">
            <v>Е/Е</v>
          </cell>
          <cell r="Z256" t="str">
            <v xml:space="preserve"> Т/Е</v>
          </cell>
          <cell r="AC256" t="str">
            <v>ТЕЦ-6 ВСЬОГО</v>
          </cell>
          <cell r="AD256" t="str">
            <v>Е/Е</v>
          </cell>
          <cell r="AE256" t="str">
            <v xml:space="preserve"> Т/Е</v>
          </cell>
          <cell r="AF256" t="str">
            <v>ТРМ ВСЬОГО</v>
          </cell>
          <cell r="AG256" t="str">
            <v>ТРМ  АК КЕ</v>
          </cell>
          <cell r="AH256" t="str">
            <v>ТРМ СТОР</v>
          </cell>
          <cell r="AI256" t="str">
            <v xml:space="preserve">ДОП.ВИР. </v>
          </cell>
          <cell r="AJ256" t="str">
            <v>ДОП.ВИР. СТ.ОРГ.</v>
          </cell>
          <cell r="AK256" t="str">
            <v>АК КЕ осн.вир.</v>
          </cell>
          <cell r="AL256" t="str">
            <v>АК КЕ ВСЬОГО</v>
          </cell>
          <cell r="AM256" t="str">
            <v xml:space="preserve"> Т/Е</v>
          </cell>
          <cell r="AN256" t="str">
            <v>СТАНЦІї ЕЛЕКТРО</v>
          </cell>
          <cell r="AO256" t="str">
            <v>СТАНЦІІ ТЕПЛОВІ</v>
          </cell>
          <cell r="AP256" t="str">
            <v>МЕРЕЖІ ЕЛЕКТРО</v>
          </cell>
          <cell r="AQ256" t="str">
            <v>МЕРЕЖІ ТЕПЛОВІ</v>
          </cell>
        </row>
        <row r="257">
          <cell r="P257">
            <v>2113</v>
          </cell>
          <cell r="S257">
            <v>9843.2727272727279</v>
          </cell>
          <cell r="X257">
            <v>2228.8181818181802</v>
          </cell>
          <cell r="AC257">
            <v>1415</v>
          </cell>
          <cell r="AF257">
            <v>3580.2</v>
          </cell>
          <cell r="AG257">
            <v>2592.2999999999997</v>
          </cell>
          <cell r="AH257">
            <v>988.90000000000009</v>
          </cell>
          <cell r="AJ257">
            <v>7599</v>
          </cell>
          <cell r="AK257">
            <v>23449.290909090909</v>
          </cell>
        </row>
        <row r="258">
          <cell r="AK258" t="str">
            <v>тис.грн.</v>
          </cell>
        </row>
        <row r="259">
          <cell r="P259">
            <v>2113</v>
          </cell>
          <cell r="Q259">
            <v>0</v>
          </cell>
          <cell r="R259">
            <v>0</v>
          </cell>
          <cell r="S259">
            <v>9843.2727272727279</v>
          </cell>
          <cell r="T259">
            <v>4622.9436363636387</v>
          </cell>
          <cell r="U259">
            <v>1761.3290909090908</v>
          </cell>
          <cell r="V259">
            <v>0</v>
          </cell>
          <cell r="W259">
            <v>0</v>
          </cell>
          <cell r="X259">
            <v>2228.8181818181802</v>
          </cell>
          <cell r="Y259">
            <v>624</v>
          </cell>
          <cell r="Z259">
            <v>1385.818181818182</v>
          </cell>
          <cell r="AA259">
            <v>0</v>
          </cell>
          <cell r="AB259">
            <v>0</v>
          </cell>
          <cell r="AC259">
            <v>1415</v>
          </cell>
          <cell r="AD259">
            <v>402</v>
          </cell>
          <cell r="AE259">
            <v>814</v>
          </cell>
          <cell r="AF259">
            <v>3580.2</v>
          </cell>
          <cell r="AG259">
            <v>2592.2999999999997</v>
          </cell>
          <cell r="AH259">
            <v>988.90000000000009</v>
          </cell>
          <cell r="AI259">
            <v>976.66666666666663</v>
          </cell>
          <cell r="AJ259">
            <v>0</v>
          </cell>
          <cell r="AK259">
            <v>115402.7813852814</v>
          </cell>
          <cell r="AL259" t="str">
            <v>АК КЕ ВСЬОГО</v>
          </cell>
          <cell r="AM259">
            <v>100230.25</v>
          </cell>
          <cell r="AO259" t="str">
            <v>СТАНЦІї ЕЛЕКТРО</v>
          </cell>
          <cell r="AP259" t="str">
            <v>СТАНЦІІ ТЕПЛОВІ</v>
          </cell>
          <cell r="AQ259" t="str">
            <v>МЕРЕЖІ ЕЛЕКТРО</v>
          </cell>
          <cell r="AR259" t="str">
            <v>МЕРЕЖІ ТЕПЛОВІ</v>
          </cell>
        </row>
        <row r="260">
          <cell r="P260">
            <v>821</v>
          </cell>
          <cell r="S260">
            <v>3495.166666666667</v>
          </cell>
          <cell r="T260">
            <v>3789.8900000000026</v>
          </cell>
          <cell r="U260">
            <v>23.1099999999999</v>
          </cell>
          <cell r="X260">
            <v>1223.9999999999984</v>
          </cell>
          <cell r="Y260">
            <v>316</v>
          </cell>
          <cell r="Z260">
            <v>704.00000000000023</v>
          </cell>
          <cell r="AC260">
            <v>499</v>
          </cell>
          <cell r="AD260">
            <v>50</v>
          </cell>
          <cell r="AE260">
            <v>89</v>
          </cell>
          <cell r="AF260">
            <v>508.99999999999983</v>
          </cell>
          <cell r="AG260">
            <v>462.19999999999965</v>
          </cell>
          <cell r="AH260">
            <v>47.800000000000068</v>
          </cell>
          <cell r="AI260">
            <v>697.66666666666663</v>
          </cell>
          <cell r="AJ260">
            <v>-2455</v>
          </cell>
          <cell r="AK260">
            <v>101430.05714285716</v>
          </cell>
          <cell r="AM260">
            <v>18030.423809523811</v>
          </cell>
        </row>
        <row r="261">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K261">
            <v>100507.92380952381</v>
          </cell>
        </row>
        <row r="262">
          <cell r="P262">
            <v>4488.6499999999996</v>
          </cell>
          <cell r="Q262">
            <v>0</v>
          </cell>
          <cell r="R262">
            <v>0</v>
          </cell>
          <cell r="S262">
            <v>7346.4866666666676</v>
          </cell>
          <cell r="T262">
            <v>5021.7877999999982</v>
          </cell>
          <cell r="U262">
            <v>2888.6988666666671</v>
          </cell>
          <cell r="V262">
            <v>0</v>
          </cell>
          <cell r="W262">
            <v>0</v>
          </cell>
          <cell r="X262">
            <v>4384.8755454545462</v>
          </cell>
          <cell r="Y262">
            <v>1410</v>
          </cell>
          <cell r="Z262">
            <v>1945.8755454545426</v>
          </cell>
          <cell r="AA262">
            <v>0</v>
          </cell>
          <cell r="AB262">
            <v>0</v>
          </cell>
          <cell r="AC262">
            <v>1635.8175757575736</v>
          </cell>
          <cell r="AD262">
            <v>711</v>
          </cell>
          <cell r="AE262">
            <v>1041.8175757575755</v>
          </cell>
          <cell r="AF262">
            <v>4864.9509090909087</v>
          </cell>
          <cell r="AG262">
            <v>4394</v>
          </cell>
          <cell r="AH262">
            <v>470.95090909090914</v>
          </cell>
          <cell r="AJ262">
            <v>0</v>
          </cell>
          <cell r="AK262">
            <v>69776</v>
          </cell>
          <cell r="AM262">
            <v>140814.25</v>
          </cell>
        </row>
        <row r="263">
          <cell r="P263">
            <v>1810.5333333333328</v>
          </cell>
          <cell r="S263">
            <v>950.26666666666756</v>
          </cell>
          <cell r="T263">
            <v>4053.4899999999989</v>
          </cell>
          <cell r="U263">
            <v>582.7766666666671</v>
          </cell>
          <cell r="X263">
            <v>2340.3000000000006</v>
          </cell>
          <cell r="Y263">
            <v>1035</v>
          </cell>
          <cell r="Z263">
            <v>1427.2999999999972</v>
          </cell>
          <cell r="AC263">
            <v>228.86666666666451</v>
          </cell>
          <cell r="AD263">
            <v>290</v>
          </cell>
          <cell r="AE263">
            <v>425.86666666666639</v>
          </cell>
          <cell r="AF263">
            <v>1275.9999999999995</v>
          </cell>
          <cell r="AG263">
            <v>1800</v>
          </cell>
          <cell r="AH263">
            <v>-524</v>
          </cell>
          <cell r="AJ263">
            <v>-2455</v>
          </cell>
          <cell r="AK263">
            <v>11292</v>
          </cell>
          <cell r="AM263">
            <v>14398.82380952381</v>
          </cell>
        </row>
        <row r="264">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K264">
            <v>10092.257142857143</v>
          </cell>
        </row>
        <row r="265">
          <cell r="AK265">
            <v>498</v>
          </cell>
        </row>
        <row r="266">
          <cell r="AK266">
            <v>0</v>
          </cell>
        </row>
        <row r="267">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K267">
            <v>4104.2571428571437</v>
          </cell>
        </row>
        <row r="268">
          <cell r="AK268">
            <v>3500</v>
          </cell>
        </row>
        <row r="269">
          <cell r="AK269">
            <v>0</v>
          </cell>
        </row>
        <row r="270">
          <cell r="P270">
            <v>0</v>
          </cell>
          <cell r="S270">
            <v>0</v>
          </cell>
          <cell r="X270">
            <v>0</v>
          </cell>
          <cell r="AC270">
            <v>0</v>
          </cell>
          <cell r="AF270">
            <v>0</v>
          </cell>
          <cell r="AG270">
            <v>0</v>
          </cell>
          <cell r="AH270">
            <v>0</v>
          </cell>
          <cell r="AI270">
            <v>0</v>
          </cell>
          <cell r="AK270">
            <v>1990</v>
          </cell>
        </row>
        <row r="271">
          <cell r="AK271">
            <v>9242.6666666666661</v>
          </cell>
        </row>
        <row r="272">
          <cell r="P272">
            <v>0</v>
          </cell>
          <cell r="S272">
            <v>0</v>
          </cell>
          <cell r="X272">
            <v>0</v>
          </cell>
          <cell r="AC272">
            <v>0</v>
          </cell>
          <cell r="AF272">
            <v>0</v>
          </cell>
          <cell r="AG272">
            <v>0</v>
          </cell>
          <cell r="AH272">
            <v>0</v>
          </cell>
          <cell r="AI272">
            <v>0</v>
          </cell>
          <cell r="AK272">
            <v>105</v>
          </cell>
        </row>
        <row r="273">
          <cell r="P273">
            <v>2113</v>
          </cell>
          <cell r="Q273">
            <v>0</v>
          </cell>
          <cell r="R273">
            <v>0</v>
          </cell>
          <cell r="S273">
            <v>9843.2727272727279</v>
          </cell>
          <cell r="T273">
            <v>0</v>
          </cell>
          <cell r="U273">
            <v>0</v>
          </cell>
          <cell r="V273">
            <v>0</v>
          </cell>
          <cell r="W273">
            <v>0</v>
          </cell>
          <cell r="X273">
            <v>2228.8181818181802</v>
          </cell>
          <cell r="Y273">
            <v>0</v>
          </cell>
          <cell r="Z273">
            <v>0</v>
          </cell>
          <cell r="AA273">
            <v>0</v>
          </cell>
          <cell r="AB273">
            <v>0</v>
          </cell>
          <cell r="AC273">
            <v>1415</v>
          </cell>
          <cell r="AD273">
            <v>0</v>
          </cell>
          <cell r="AE273">
            <v>0</v>
          </cell>
          <cell r="AF273">
            <v>3580.2</v>
          </cell>
          <cell r="AG273">
            <v>2592.2999999999997</v>
          </cell>
          <cell r="AH273">
            <v>988.90000000000009</v>
          </cell>
          <cell r="AI273">
            <v>0</v>
          </cell>
          <cell r="AK273">
            <v>123957.21471861472</v>
          </cell>
        </row>
        <row r="274">
          <cell r="P274">
            <v>1139</v>
          </cell>
          <cell r="Q274">
            <v>0</v>
          </cell>
          <cell r="R274">
            <v>0</v>
          </cell>
          <cell r="S274">
            <v>6250.833333333333</v>
          </cell>
          <cell r="T274">
            <v>646.85363636363627</v>
          </cell>
          <cell r="U274">
            <v>650.41909090909098</v>
          </cell>
          <cell r="V274">
            <v>0</v>
          </cell>
          <cell r="W274">
            <v>0</v>
          </cell>
          <cell r="X274">
            <v>1324</v>
          </cell>
          <cell r="Y274">
            <v>265</v>
          </cell>
          <cell r="Z274">
            <v>586.81818181818176</v>
          </cell>
          <cell r="AA274">
            <v>0</v>
          </cell>
          <cell r="AB274">
            <v>0</v>
          </cell>
          <cell r="AC274">
            <v>752</v>
          </cell>
          <cell r="AD274">
            <v>117</v>
          </cell>
          <cell r="AE274">
            <v>240</v>
          </cell>
          <cell r="AF274">
            <v>3044.2</v>
          </cell>
          <cell r="AG274">
            <v>2103.1</v>
          </cell>
          <cell r="AH274">
            <v>941.1</v>
          </cell>
          <cell r="AI274">
            <v>279</v>
          </cell>
          <cell r="AK274">
            <v>14686.7</v>
          </cell>
        </row>
        <row r="275">
          <cell r="P275">
            <v>726</v>
          </cell>
          <cell r="S275">
            <v>1685</v>
          </cell>
          <cell r="T275">
            <v>625.85363636363627</v>
          </cell>
          <cell r="U275">
            <v>650.41909090909098</v>
          </cell>
          <cell r="X275">
            <v>653</v>
          </cell>
          <cell r="Y275">
            <v>117</v>
          </cell>
          <cell r="Z275">
            <v>257.81818181818181</v>
          </cell>
          <cell r="AC275">
            <v>542</v>
          </cell>
          <cell r="AD275">
            <v>112</v>
          </cell>
          <cell r="AE275">
            <v>231</v>
          </cell>
          <cell r="AF275">
            <v>1440</v>
          </cell>
          <cell r="AG275">
            <v>1281</v>
          </cell>
          <cell r="AH275">
            <v>159</v>
          </cell>
          <cell r="AI275">
            <v>279</v>
          </cell>
          <cell r="AK275">
            <v>5764</v>
          </cell>
        </row>
        <row r="276">
          <cell r="P276">
            <v>0</v>
          </cell>
          <cell r="Q276">
            <v>0</v>
          </cell>
          <cell r="R276">
            <v>0</v>
          </cell>
          <cell r="S276">
            <v>21</v>
          </cell>
          <cell r="T276">
            <v>21</v>
          </cell>
          <cell r="U276">
            <v>0</v>
          </cell>
          <cell r="V276">
            <v>0</v>
          </cell>
          <cell r="W276">
            <v>0</v>
          </cell>
          <cell r="X276">
            <v>477</v>
          </cell>
          <cell r="Y276">
            <v>148</v>
          </cell>
          <cell r="Z276">
            <v>329</v>
          </cell>
          <cell r="AA276">
            <v>0</v>
          </cell>
          <cell r="AB276">
            <v>0</v>
          </cell>
          <cell r="AC276">
            <v>0</v>
          </cell>
          <cell r="AD276">
            <v>5</v>
          </cell>
          <cell r="AE276">
            <v>9</v>
          </cell>
          <cell r="AF276">
            <v>0</v>
          </cell>
          <cell r="AG276">
            <v>0</v>
          </cell>
          <cell r="AH276">
            <v>0</v>
          </cell>
          <cell r="AI276">
            <v>0</v>
          </cell>
          <cell r="AK276">
            <v>498</v>
          </cell>
        </row>
        <row r="277">
          <cell r="P277">
            <v>321</v>
          </cell>
          <cell r="Q277">
            <v>0</v>
          </cell>
          <cell r="R277">
            <v>0</v>
          </cell>
          <cell r="S277">
            <v>1138.8333333333333</v>
          </cell>
          <cell r="T277">
            <v>0</v>
          </cell>
          <cell r="U277">
            <v>0</v>
          </cell>
          <cell r="V277">
            <v>0</v>
          </cell>
          <cell r="W277">
            <v>0</v>
          </cell>
          <cell r="X277">
            <v>176</v>
          </cell>
          <cell r="Y277">
            <v>0</v>
          </cell>
          <cell r="Z277">
            <v>0</v>
          </cell>
          <cell r="AA277">
            <v>0</v>
          </cell>
          <cell r="AB277">
            <v>0</v>
          </cell>
          <cell r="AC277">
            <v>163</v>
          </cell>
          <cell r="AD277">
            <v>0</v>
          </cell>
          <cell r="AE277">
            <v>0</v>
          </cell>
          <cell r="AF277">
            <v>450.2</v>
          </cell>
          <cell r="AG277">
            <v>418.2</v>
          </cell>
          <cell r="AH277">
            <v>32</v>
          </cell>
          <cell r="AI277">
            <v>0</v>
          </cell>
          <cell r="AK277">
            <v>3341.0333333333328</v>
          </cell>
        </row>
        <row r="278">
          <cell r="P278">
            <v>56</v>
          </cell>
          <cell r="S278">
            <v>400.83333333333331</v>
          </cell>
          <cell r="T278">
            <v>659.81780000000003</v>
          </cell>
          <cell r="U278">
            <v>686.40219999999999</v>
          </cell>
          <cell r="X278">
            <v>75</v>
          </cell>
          <cell r="Y278">
            <v>173</v>
          </cell>
          <cell r="Z278">
            <v>240.57554545454542</v>
          </cell>
          <cell r="AC278">
            <v>40</v>
          </cell>
          <cell r="AD278">
            <v>207</v>
          </cell>
          <cell r="AE278">
            <v>302.95090909090908</v>
          </cell>
          <cell r="AF278">
            <v>295</v>
          </cell>
          <cell r="AG278">
            <v>263</v>
          </cell>
          <cell r="AH278">
            <v>32</v>
          </cell>
          <cell r="AI278">
            <v>0</v>
          </cell>
          <cell r="AK278">
            <v>1058.8333333333333</v>
          </cell>
        </row>
        <row r="279">
          <cell r="P279">
            <v>10</v>
          </cell>
          <cell r="Q279">
            <v>0</v>
          </cell>
          <cell r="R279">
            <v>0</v>
          </cell>
          <cell r="S279">
            <v>0</v>
          </cell>
          <cell r="T279">
            <v>13.666666666666666</v>
          </cell>
          <cell r="U279">
            <v>0</v>
          </cell>
          <cell r="V279">
            <v>0</v>
          </cell>
          <cell r="W279">
            <v>0</v>
          </cell>
          <cell r="X279">
            <v>0</v>
          </cell>
          <cell r="Y279">
            <v>262</v>
          </cell>
          <cell r="Z279">
            <v>361</v>
          </cell>
          <cell r="AA279">
            <v>0</v>
          </cell>
          <cell r="AB279">
            <v>0</v>
          </cell>
          <cell r="AC279">
            <v>20</v>
          </cell>
          <cell r="AD279">
            <v>5</v>
          </cell>
          <cell r="AE279">
            <v>8.3333333333333339</v>
          </cell>
          <cell r="AF279">
            <v>32</v>
          </cell>
          <cell r="AG279">
            <v>32</v>
          </cell>
          <cell r="AH279">
            <v>0</v>
          </cell>
          <cell r="AI279">
            <v>0</v>
          </cell>
          <cell r="AK279">
            <v>360</v>
          </cell>
        </row>
        <row r="280">
          <cell r="P280">
            <v>190</v>
          </cell>
          <cell r="Q280">
            <v>0</v>
          </cell>
          <cell r="R280">
            <v>0</v>
          </cell>
          <cell r="S280">
            <v>690</v>
          </cell>
          <cell r="T280">
            <v>0</v>
          </cell>
          <cell r="U280">
            <v>0</v>
          </cell>
          <cell r="V280">
            <v>0</v>
          </cell>
          <cell r="W280">
            <v>0</v>
          </cell>
          <cell r="X280">
            <v>0</v>
          </cell>
          <cell r="Y280">
            <v>0</v>
          </cell>
          <cell r="Z280">
            <v>0</v>
          </cell>
          <cell r="AA280">
            <v>0</v>
          </cell>
          <cell r="AB280">
            <v>9</v>
          </cell>
          <cell r="AC280">
            <v>60</v>
          </cell>
          <cell r="AD280">
            <v>0</v>
          </cell>
          <cell r="AE280">
            <v>0</v>
          </cell>
          <cell r="AF280">
            <v>67.2</v>
          </cell>
          <cell r="AG280">
            <v>67.2</v>
          </cell>
          <cell r="AH280">
            <v>35</v>
          </cell>
          <cell r="AK280">
            <v>1067.2</v>
          </cell>
        </row>
        <row r="281">
          <cell r="P281">
            <v>65</v>
          </cell>
          <cell r="S281">
            <v>48</v>
          </cell>
          <cell r="X281">
            <v>101</v>
          </cell>
          <cell r="AC281">
            <v>43</v>
          </cell>
          <cell r="AF281">
            <v>56</v>
          </cell>
          <cell r="AG281">
            <v>56</v>
          </cell>
          <cell r="AH281">
            <v>0</v>
          </cell>
          <cell r="AK281">
            <v>855</v>
          </cell>
        </row>
        <row r="282">
          <cell r="P282">
            <v>92</v>
          </cell>
          <cell r="Q282">
            <v>0</v>
          </cell>
          <cell r="R282">
            <v>0</v>
          </cell>
          <cell r="S282">
            <v>3156</v>
          </cell>
          <cell r="T282">
            <v>0</v>
          </cell>
          <cell r="U282">
            <v>0</v>
          </cell>
          <cell r="V282">
            <v>0</v>
          </cell>
          <cell r="W282">
            <v>0</v>
          </cell>
          <cell r="X282">
            <v>18</v>
          </cell>
          <cell r="Y282">
            <v>0</v>
          </cell>
          <cell r="Z282">
            <v>0</v>
          </cell>
          <cell r="AA282">
            <v>0</v>
          </cell>
          <cell r="AB282">
            <v>0</v>
          </cell>
          <cell r="AC282">
            <v>47</v>
          </cell>
          <cell r="AD282">
            <v>0</v>
          </cell>
          <cell r="AE282">
            <v>0</v>
          </cell>
          <cell r="AF282">
            <v>1154</v>
          </cell>
          <cell r="AG282">
            <v>403.9</v>
          </cell>
          <cell r="AH282">
            <v>750.1</v>
          </cell>
          <cell r="AI282">
            <v>0</v>
          </cell>
          <cell r="AK282">
            <v>4833.6666666666661</v>
          </cell>
        </row>
        <row r="283">
          <cell r="P283">
            <v>1</v>
          </cell>
          <cell r="S283">
            <v>0</v>
          </cell>
          <cell r="X283">
            <v>18</v>
          </cell>
          <cell r="AC283">
            <v>47</v>
          </cell>
          <cell r="AF283">
            <v>0</v>
          </cell>
          <cell r="AG283">
            <v>0</v>
          </cell>
          <cell r="AH283">
            <v>0</v>
          </cell>
          <cell r="AI283">
            <v>0</v>
          </cell>
          <cell r="AK283">
            <v>66</v>
          </cell>
        </row>
        <row r="284">
          <cell r="P284">
            <v>91</v>
          </cell>
          <cell r="Q284">
            <v>0</v>
          </cell>
          <cell r="R284">
            <v>0</v>
          </cell>
          <cell r="S284">
            <v>3156</v>
          </cell>
          <cell r="T284">
            <v>0</v>
          </cell>
          <cell r="U284">
            <v>0</v>
          </cell>
          <cell r="V284">
            <v>0</v>
          </cell>
          <cell r="W284">
            <v>0</v>
          </cell>
          <cell r="X284">
            <v>0</v>
          </cell>
          <cell r="Y284">
            <v>0</v>
          </cell>
          <cell r="Z284">
            <v>0</v>
          </cell>
          <cell r="AA284">
            <v>0</v>
          </cell>
          <cell r="AB284">
            <v>9</v>
          </cell>
          <cell r="AC284">
            <v>0</v>
          </cell>
          <cell r="AD284">
            <v>0</v>
          </cell>
          <cell r="AE284">
            <v>0</v>
          </cell>
          <cell r="AF284">
            <v>1154</v>
          </cell>
          <cell r="AG284">
            <v>403.9</v>
          </cell>
          <cell r="AH284">
            <v>750.1</v>
          </cell>
          <cell r="AI284">
            <v>0</v>
          </cell>
          <cell r="AJ284">
            <v>0</v>
          </cell>
          <cell r="AK284">
            <v>4404</v>
          </cell>
        </row>
        <row r="285">
          <cell r="P285">
            <v>62.666666666666664</v>
          </cell>
          <cell r="Q285">
            <v>0</v>
          </cell>
          <cell r="R285">
            <v>0</v>
          </cell>
          <cell r="S285">
            <v>2524</v>
          </cell>
          <cell r="T285">
            <v>0</v>
          </cell>
          <cell r="U285">
            <v>0</v>
          </cell>
          <cell r="V285">
            <v>0</v>
          </cell>
          <cell r="W285">
            <v>0</v>
          </cell>
          <cell r="X285">
            <v>142</v>
          </cell>
          <cell r="Y285">
            <v>0</v>
          </cell>
          <cell r="Z285">
            <v>0</v>
          </cell>
          <cell r="AA285">
            <v>0</v>
          </cell>
          <cell r="AB285">
            <v>0</v>
          </cell>
          <cell r="AC285">
            <v>0</v>
          </cell>
          <cell r="AD285">
            <v>0</v>
          </cell>
          <cell r="AE285">
            <v>0</v>
          </cell>
          <cell r="AF285">
            <v>306</v>
          </cell>
          <cell r="AG285">
            <v>106</v>
          </cell>
          <cell r="AH285">
            <v>200</v>
          </cell>
          <cell r="AK285">
            <v>363.66666666666663</v>
          </cell>
        </row>
        <row r="286">
          <cell r="P286">
            <v>0</v>
          </cell>
          <cell r="S286">
            <v>250</v>
          </cell>
          <cell r="X286">
            <v>142</v>
          </cell>
          <cell r="AC286">
            <v>0</v>
          </cell>
          <cell r="AF286">
            <v>0</v>
          </cell>
          <cell r="AG286">
            <v>0</v>
          </cell>
          <cell r="AH286">
            <v>0</v>
          </cell>
          <cell r="AI286">
            <v>0</v>
          </cell>
          <cell r="AK286">
            <v>250</v>
          </cell>
        </row>
        <row r="287">
          <cell r="P287">
            <v>974</v>
          </cell>
          <cell r="Q287">
            <v>0</v>
          </cell>
          <cell r="R287">
            <v>0</v>
          </cell>
          <cell r="S287">
            <v>3592.4393939393949</v>
          </cell>
          <cell r="T287">
            <v>-646.85363636363627</v>
          </cell>
          <cell r="U287">
            <v>-650.41909090909098</v>
          </cell>
          <cell r="V287">
            <v>0</v>
          </cell>
          <cell r="W287">
            <v>0</v>
          </cell>
          <cell r="X287">
            <v>904.81818181818016</v>
          </cell>
          <cell r="Y287">
            <v>-265</v>
          </cell>
          <cell r="Z287">
            <v>-586.81818181818176</v>
          </cell>
          <cell r="AA287">
            <v>0</v>
          </cell>
          <cell r="AB287">
            <v>0</v>
          </cell>
          <cell r="AC287">
            <v>663</v>
          </cell>
          <cell r="AD287">
            <v>-117</v>
          </cell>
          <cell r="AE287">
            <v>-240</v>
          </cell>
          <cell r="AF287">
            <v>536</v>
          </cell>
          <cell r="AG287">
            <v>489.19999999999982</v>
          </cell>
          <cell r="AH287">
            <v>47.800000000000068</v>
          </cell>
          <cell r="AI287">
            <v>-279</v>
          </cell>
          <cell r="AK287">
            <v>109270.51471861471</v>
          </cell>
        </row>
        <row r="288">
          <cell r="AK288">
            <v>0</v>
          </cell>
        </row>
        <row r="289">
          <cell r="P289">
            <v>974</v>
          </cell>
          <cell r="Q289">
            <v>0</v>
          </cell>
          <cell r="R289">
            <v>0</v>
          </cell>
          <cell r="S289">
            <v>3592.439393939394</v>
          </cell>
          <cell r="T289">
            <v>0</v>
          </cell>
          <cell r="U289">
            <v>0</v>
          </cell>
          <cell r="V289">
            <v>0</v>
          </cell>
          <cell r="W289">
            <v>0</v>
          </cell>
          <cell r="X289">
            <v>904.81818181818176</v>
          </cell>
          <cell r="Y289">
            <v>0</v>
          </cell>
          <cell r="Z289">
            <v>0</v>
          </cell>
          <cell r="AA289">
            <v>0</v>
          </cell>
          <cell r="AB289">
            <v>0</v>
          </cell>
          <cell r="AC289">
            <v>663</v>
          </cell>
          <cell r="AD289">
            <v>0</v>
          </cell>
          <cell r="AE289">
            <v>0</v>
          </cell>
          <cell r="AF289">
            <v>537</v>
          </cell>
          <cell r="AG289">
            <v>489.2</v>
          </cell>
          <cell r="AH289">
            <v>47.800000000000011</v>
          </cell>
          <cell r="AI289">
            <v>752.06666666666661</v>
          </cell>
          <cell r="AK289">
            <v>9565.257575757576</v>
          </cell>
        </row>
        <row r="290">
          <cell r="P290">
            <v>94</v>
          </cell>
          <cell r="Q290">
            <v>0</v>
          </cell>
          <cell r="R290">
            <v>0</v>
          </cell>
          <cell r="S290">
            <v>2512</v>
          </cell>
          <cell r="T290">
            <v>-673.48446666666666</v>
          </cell>
          <cell r="U290">
            <v>-686.40219999999999</v>
          </cell>
          <cell r="V290">
            <v>0</v>
          </cell>
          <cell r="W290">
            <v>0</v>
          </cell>
          <cell r="X290">
            <v>219</v>
          </cell>
          <cell r="Y290">
            <v>-435</v>
          </cell>
          <cell r="Z290">
            <v>-601.57554545454536</v>
          </cell>
          <cell r="AA290">
            <v>0</v>
          </cell>
          <cell r="AB290">
            <v>-9</v>
          </cell>
          <cell r="AC290">
            <v>139</v>
          </cell>
          <cell r="AD290">
            <v>-212</v>
          </cell>
          <cell r="AE290">
            <v>-311.28424242424239</v>
          </cell>
          <cell r="AF290">
            <v>0</v>
          </cell>
          <cell r="AG290">
            <v>0</v>
          </cell>
          <cell r="AH290">
            <v>0</v>
          </cell>
          <cell r="AI290">
            <v>118.4</v>
          </cell>
          <cell r="AK290">
            <v>3410</v>
          </cell>
        </row>
        <row r="291">
          <cell r="P291">
            <v>218</v>
          </cell>
          <cell r="Q291">
            <v>0</v>
          </cell>
          <cell r="R291">
            <v>0</v>
          </cell>
          <cell r="S291">
            <v>416.27272727272725</v>
          </cell>
          <cell r="T291">
            <v>0</v>
          </cell>
          <cell r="U291">
            <v>0</v>
          </cell>
          <cell r="V291">
            <v>0</v>
          </cell>
          <cell r="W291">
            <v>0</v>
          </cell>
          <cell r="X291">
            <v>258.81818181818181</v>
          </cell>
          <cell r="Y291">
            <v>0</v>
          </cell>
          <cell r="Z291">
            <v>0</v>
          </cell>
          <cell r="AA291">
            <v>0</v>
          </cell>
          <cell r="AB291">
            <v>0</v>
          </cell>
          <cell r="AC291">
            <v>207</v>
          </cell>
          <cell r="AD291">
            <v>0</v>
          </cell>
          <cell r="AE291">
            <v>0</v>
          </cell>
          <cell r="AF291">
            <v>83</v>
          </cell>
          <cell r="AG291">
            <v>83</v>
          </cell>
          <cell r="AH291">
            <v>0</v>
          </cell>
          <cell r="AI291">
            <v>0</v>
          </cell>
          <cell r="AK291">
            <v>1725.090909090909</v>
          </cell>
        </row>
        <row r="292">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K292">
            <v>0</v>
          </cell>
        </row>
        <row r="293">
          <cell r="P293">
            <v>0</v>
          </cell>
          <cell r="S293">
            <v>0</v>
          </cell>
          <cell r="X293">
            <v>0</v>
          </cell>
          <cell r="AC293">
            <v>0</v>
          </cell>
          <cell r="AF293">
            <v>0</v>
          </cell>
          <cell r="AG293">
            <v>0</v>
          </cell>
          <cell r="AH293">
            <v>0</v>
          </cell>
          <cell r="AI293">
            <v>0</v>
          </cell>
          <cell r="AK293">
            <v>0</v>
          </cell>
        </row>
        <row r="294">
          <cell r="P294">
            <v>601</v>
          </cell>
          <cell r="Q294">
            <v>0</v>
          </cell>
          <cell r="R294">
            <v>0</v>
          </cell>
          <cell r="S294">
            <v>657.16666666666674</v>
          </cell>
          <cell r="T294" t="str">
            <v>Собівартість</v>
          </cell>
          <cell r="U294">
            <v>0</v>
          </cell>
          <cell r="V294">
            <v>0</v>
          </cell>
          <cell r="W294">
            <v>0</v>
          </cell>
          <cell r="X294">
            <v>410</v>
          </cell>
          <cell r="Y294">
            <v>0</v>
          </cell>
          <cell r="Z294">
            <v>0</v>
          </cell>
          <cell r="AA294">
            <v>0</v>
          </cell>
          <cell r="AB294">
            <v>0</v>
          </cell>
          <cell r="AC294">
            <v>290</v>
          </cell>
          <cell r="AD294">
            <v>0</v>
          </cell>
          <cell r="AE294">
            <v>0</v>
          </cell>
          <cell r="AF294">
            <v>439</v>
          </cell>
          <cell r="AG294">
            <v>392.2</v>
          </cell>
          <cell r="AH294">
            <v>46.800000000000011</v>
          </cell>
          <cell r="AI294">
            <v>633.66666666666663</v>
          </cell>
          <cell r="AK294">
            <v>4284.5</v>
          </cell>
        </row>
        <row r="295">
          <cell r="P295">
            <v>435</v>
          </cell>
          <cell r="S295">
            <v>12.166666666666686</v>
          </cell>
          <cell r="V295">
            <v>-25</v>
          </cell>
          <cell r="X295">
            <v>165</v>
          </cell>
          <cell r="AC295">
            <v>111</v>
          </cell>
          <cell r="AF295">
            <v>9</v>
          </cell>
          <cell r="AG295">
            <v>5</v>
          </cell>
          <cell r="AH295">
            <v>4</v>
          </cell>
          <cell r="AI295">
            <v>0</v>
          </cell>
          <cell r="AK295">
            <v>846.16666666666674</v>
          </cell>
        </row>
        <row r="296">
          <cell r="P296">
            <v>56</v>
          </cell>
          <cell r="S296">
            <v>363</v>
          </cell>
          <cell r="V296">
            <v>-1.375</v>
          </cell>
          <cell r="X296">
            <v>130</v>
          </cell>
          <cell r="AC296">
            <v>95</v>
          </cell>
          <cell r="AF296">
            <v>205</v>
          </cell>
          <cell r="AG296">
            <v>201</v>
          </cell>
          <cell r="AH296">
            <v>4</v>
          </cell>
          <cell r="AI296">
            <v>0</v>
          </cell>
          <cell r="AK296">
            <v>864.33333333333326</v>
          </cell>
        </row>
        <row r="297">
          <cell r="P297">
            <v>110</v>
          </cell>
          <cell r="Q297">
            <v>0</v>
          </cell>
          <cell r="R297">
            <v>0</v>
          </cell>
          <cell r="S297">
            <v>282</v>
          </cell>
          <cell r="T297">
            <v>0</v>
          </cell>
          <cell r="U297">
            <v>0</v>
          </cell>
          <cell r="V297">
            <v>-8</v>
          </cell>
          <cell r="W297">
            <v>0</v>
          </cell>
          <cell r="X297">
            <v>115</v>
          </cell>
          <cell r="Y297">
            <v>0</v>
          </cell>
          <cell r="Z297">
            <v>0</v>
          </cell>
          <cell r="AA297">
            <v>0</v>
          </cell>
          <cell r="AB297">
            <v>0</v>
          </cell>
          <cell r="AC297">
            <v>84</v>
          </cell>
          <cell r="AD297">
            <v>0</v>
          </cell>
          <cell r="AE297">
            <v>0</v>
          </cell>
          <cell r="AF297">
            <v>225</v>
          </cell>
          <cell r="AG297">
            <v>186.2</v>
          </cell>
          <cell r="AH297">
            <v>38.800000000000011</v>
          </cell>
          <cell r="AI297">
            <v>633.66666666666663</v>
          </cell>
          <cell r="AK297">
            <v>2574</v>
          </cell>
        </row>
        <row r="298">
          <cell r="P298">
            <v>0</v>
          </cell>
          <cell r="S298">
            <v>581</v>
          </cell>
          <cell r="V298">
            <v>-2.1590909090909096</v>
          </cell>
          <cell r="X298">
            <v>296</v>
          </cell>
          <cell r="AC298">
            <v>44</v>
          </cell>
          <cell r="AF298">
            <v>0</v>
          </cell>
          <cell r="AG298">
            <v>0</v>
          </cell>
          <cell r="AH298">
            <v>0</v>
          </cell>
          <cell r="AI298">
            <v>0</v>
          </cell>
          <cell r="AK298">
            <v>0</v>
          </cell>
        </row>
        <row r="299">
          <cell r="P299">
            <v>61</v>
          </cell>
          <cell r="S299">
            <v>7</v>
          </cell>
          <cell r="X299">
            <v>17</v>
          </cell>
          <cell r="AC299">
            <v>27</v>
          </cell>
          <cell r="AF299">
            <v>15</v>
          </cell>
          <cell r="AG299">
            <v>14</v>
          </cell>
          <cell r="AH299">
            <v>1</v>
          </cell>
          <cell r="AI299">
            <v>0</v>
          </cell>
          <cell r="AK299">
            <v>145.66666666666666</v>
          </cell>
        </row>
        <row r="300">
          <cell r="P300">
            <v>974</v>
          </cell>
          <cell r="Q300">
            <v>0</v>
          </cell>
          <cell r="R300">
            <v>0</v>
          </cell>
          <cell r="S300">
            <v>3592.4393939393949</v>
          </cell>
          <cell r="T300">
            <v>-646.85363636363627</v>
          </cell>
          <cell r="U300">
            <v>-650.41909090909098</v>
          </cell>
          <cell r="V300">
            <v>0</v>
          </cell>
          <cell r="W300">
            <v>0</v>
          </cell>
          <cell r="X300">
            <v>904.81818181818016</v>
          </cell>
          <cell r="Y300">
            <v>-265</v>
          </cell>
          <cell r="Z300">
            <v>-586.81818181818176</v>
          </cell>
          <cell r="AA300">
            <v>0</v>
          </cell>
          <cell r="AB300">
            <v>0</v>
          </cell>
          <cell r="AC300">
            <v>663</v>
          </cell>
          <cell r="AD300">
            <v>-117</v>
          </cell>
          <cell r="AE300">
            <v>-240</v>
          </cell>
          <cell r="AF300">
            <v>536</v>
          </cell>
          <cell r="AG300">
            <v>489.19999999999982</v>
          </cell>
          <cell r="AH300">
            <v>47.800000000000068</v>
          </cell>
          <cell r="AI300">
            <v>-279</v>
          </cell>
          <cell r="AK300">
            <v>109270.51471861471</v>
          </cell>
        </row>
        <row r="301">
          <cell r="P301">
            <v>0</v>
          </cell>
          <cell r="AF301">
            <v>0</v>
          </cell>
          <cell r="AG301">
            <v>0</v>
          </cell>
          <cell r="AH301">
            <v>191</v>
          </cell>
          <cell r="AK301">
            <v>0</v>
          </cell>
        </row>
        <row r="302">
          <cell r="P302">
            <v>-107</v>
          </cell>
          <cell r="S302">
            <v>-90</v>
          </cell>
          <cell r="X302">
            <v>0</v>
          </cell>
          <cell r="AC302">
            <v>0</v>
          </cell>
          <cell r="AF302">
            <v>1</v>
          </cell>
          <cell r="AG302">
            <v>1</v>
          </cell>
          <cell r="AH302">
            <v>0</v>
          </cell>
          <cell r="AK302">
            <v>-196</v>
          </cell>
        </row>
        <row r="303">
          <cell r="P303">
            <v>974</v>
          </cell>
          <cell r="Q303">
            <v>0</v>
          </cell>
          <cell r="R303">
            <v>0</v>
          </cell>
          <cell r="S303">
            <v>3592.4393939393949</v>
          </cell>
          <cell r="T303">
            <v>-646.85363636363627</v>
          </cell>
          <cell r="U303">
            <v>-650.41909090909098</v>
          </cell>
          <cell r="V303">
            <v>0</v>
          </cell>
          <cell r="W303">
            <v>0</v>
          </cell>
          <cell r="X303">
            <v>904.81818181818016</v>
          </cell>
          <cell r="Y303">
            <v>-265</v>
          </cell>
          <cell r="Z303">
            <v>-586.81818181818176</v>
          </cell>
          <cell r="AA303">
            <v>0</v>
          </cell>
          <cell r="AB303">
            <v>0</v>
          </cell>
          <cell r="AC303">
            <v>663</v>
          </cell>
          <cell r="AD303">
            <v>-212</v>
          </cell>
          <cell r="AE303">
            <v>-311.28424242424239</v>
          </cell>
          <cell r="AF303">
            <v>536</v>
          </cell>
          <cell r="AG303">
            <v>297.19999999999993</v>
          </cell>
          <cell r="AH303">
            <v>238.80000000000007</v>
          </cell>
          <cell r="AK303">
            <v>109270.51471861471</v>
          </cell>
        </row>
        <row r="304">
          <cell r="T304" t="str">
            <v>ФМЗ ( з відрахуван)</v>
          </cell>
          <cell r="V304">
            <v>25</v>
          </cell>
          <cell r="AH304">
            <v>191</v>
          </cell>
          <cell r="AK304">
            <v>0</v>
          </cell>
        </row>
        <row r="305">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K305">
            <v>0</v>
          </cell>
        </row>
        <row r="306">
          <cell r="P306">
            <v>0</v>
          </cell>
          <cell r="Q306">
            <v>0</v>
          </cell>
          <cell r="R306">
            <v>0</v>
          </cell>
          <cell r="S306">
            <v>0</v>
          </cell>
          <cell r="T306">
            <v>-673.48446666666666</v>
          </cell>
          <cell r="U306">
            <v>-686.40219999999999</v>
          </cell>
          <cell r="V306">
            <v>0</v>
          </cell>
          <cell r="W306">
            <v>0</v>
          </cell>
          <cell r="X306">
            <v>0</v>
          </cell>
          <cell r="Y306">
            <v>-435</v>
          </cell>
          <cell r="Z306">
            <v>-601.57554545454536</v>
          </cell>
          <cell r="AA306">
            <v>0</v>
          </cell>
          <cell r="AB306">
            <v>-9</v>
          </cell>
          <cell r="AC306">
            <v>0</v>
          </cell>
          <cell r="AF306">
            <v>0</v>
          </cell>
          <cell r="AG306">
            <v>0</v>
          </cell>
          <cell r="AH306">
            <v>0</v>
          </cell>
          <cell r="AI306">
            <v>0</v>
          </cell>
          <cell r="AK306">
            <v>0</v>
          </cell>
        </row>
        <row r="307">
          <cell r="AK307">
            <v>0</v>
          </cell>
        </row>
        <row r="308">
          <cell r="P308">
            <v>974</v>
          </cell>
          <cell r="Q308">
            <v>0</v>
          </cell>
          <cell r="R308">
            <v>0</v>
          </cell>
          <cell r="S308">
            <v>3592.4393939393949</v>
          </cell>
          <cell r="T308">
            <v>-646.85363636363627</v>
          </cell>
          <cell r="U308">
            <v>-650.41909090909098</v>
          </cell>
          <cell r="V308">
            <v>0</v>
          </cell>
          <cell r="W308">
            <v>0</v>
          </cell>
          <cell r="X308">
            <v>904.81818181818016</v>
          </cell>
          <cell r="Y308">
            <v>-265</v>
          </cell>
          <cell r="Z308">
            <v>-586.81818181818176</v>
          </cell>
          <cell r="AA308">
            <v>0</v>
          </cell>
          <cell r="AB308">
            <v>0</v>
          </cell>
          <cell r="AC308">
            <v>663</v>
          </cell>
          <cell r="AD308">
            <v>-117</v>
          </cell>
          <cell r="AE308">
            <v>-240</v>
          </cell>
          <cell r="AF308">
            <v>536</v>
          </cell>
          <cell r="AG308">
            <v>297.19999999999993</v>
          </cell>
          <cell r="AH308">
            <v>238.80000000000007</v>
          </cell>
          <cell r="AI308">
            <v>-279</v>
          </cell>
          <cell r="AK308">
            <v>109270.51471861471</v>
          </cell>
        </row>
        <row r="309">
          <cell r="P309">
            <v>0</v>
          </cell>
          <cell r="S309">
            <v>0</v>
          </cell>
          <cell r="X309">
            <v>0</v>
          </cell>
          <cell r="AC309">
            <v>0</v>
          </cell>
          <cell r="AF309">
            <v>0</v>
          </cell>
          <cell r="AG309">
            <v>0</v>
          </cell>
          <cell r="AH309">
            <v>0</v>
          </cell>
          <cell r="AK309">
            <v>0</v>
          </cell>
        </row>
        <row r="310">
          <cell r="P310">
            <v>0</v>
          </cell>
          <cell r="AK310">
            <v>0</v>
          </cell>
        </row>
        <row r="311">
          <cell r="P311">
            <v>2339.5333333333333</v>
          </cell>
          <cell r="Q311">
            <v>0</v>
          </cell>
          <cell r="R311">
            <v>0</v>
          </cell>
          <cell r="S311">
            <v>0</v>
          </cell>
          <cell r="T311">
            <v>-673.48446666666666</v>
          </cell>
          <cell r="U311">
            <v>-686.40219999999999</v>
          </cell>
          <cell r="V311">
            <v>0</v>
          </cell>
          <cell r="W311">
            <v>0</v>
          </cell>
          <cell r="X311">
            <v>2453.7545454545461</v>
          </cell>
          <cell r="Y311">
            <v>-435</v>
          </cell>
          <cell r="Z311">
            <v>-601.57554545454536</v>
          </cell>
          <cell r="AA311">
            <v>0</v>
          </cell>
          <cell r="AB311">
            <v>-9</v>
          </cell>
          <cell r="AC311">
            <v>607.62424242424026</v>
          </cell>
          <cell r="AD311">
            <v>-212</v>
          </cell>
          <cell r="AE311">
            <v>-311.28424242424239</v>
          </cell>
          <cell r="AF311">
            <v>2161.0909090909086</v>
          </cell>
          <cell r="AG311">
            <v>1821.0909090909086</v>
          </cell>
          <cell r="AH311">
            <v>340</v>
          </cell>
          <cell r="AK311">
            <v>0</v>
          </cell>
        </row>
        <row r="312">
          <cell r="AK312">
            <v>8992</v>
          </cell>
        </row>
        <row r="313">
          <cell r="P313">
            <v>0</v>
          </cell>
          <cell r="S313">
            <v>0</v>
          </cell>
          <cell r="AK313">
            <v>0</v>
          </cell>
        </row>
        <row r="314">
          <cell r="S314">
            <v>0</v>
          </cell>
          <cell r="AK314">
            <v>0</v>
          </cell>
        </row>
        <row r="315">
          <cell r="AK315">
            <v>0</v>
          </cell>
        </row>
        <row r="316">
          <cell r="S316">
            <v>0</v>
          </cell>
        </row>
        <row r="317">
          <cell r="AK317">
            <v>0</v>
          </cell>
        </row>
        <row r="318">
          <cell r="S318">
            <v>0</v>
          </cell>
          <cell r="AK318">
            <v>0</v>
          </cell>
        </row>
        <row r="319">
          <cell r="P319">
            <v>974</v>
          </cell>
          <cell r="Q319">
            <v>0</v>
          </cell>
          <cell r="R319">
            <v>0</v>
          </cell>
          <cell r="S319">
            <v>3592.4393939393949</v>
          </cell>
          <cell r="T319">
            <v>-646.85363636363627</v>
          </cell>
          <cell r="U319">
            <v>-650.41909090909098</v>
          </cell>
          <cell r="V319">
            <v>0</v>
          </cell>
          <cell r="W319">
            <v>0</v>
          </cell>
          <cell r="X319">
            <v>904.81818181818016</v>
          </cell>
          <cell r="Y319">
            <v>-265</v>
          </cell>
          <cell r="Z319">
            <v>-586.81818181818176</v>
          </cell>
          <cell r="AA319">
            <v>0</v>
          </cell>
          <cell r="AB319">
            <v>0</v>
          </cell>
          <cell r="AC319">
            <v>663</v>
          </cell>
          <cell r="AD319">
            <v>-117</v>
          </cell>
          <cell r="AE319">
            <v>-240</v>
          </cell>
          <cell r="AF319">
            <v>536</v>
          </cell>
          <cell r="AG319">
            <v>297.19999999999993</v>
          </cell>
          <cell r="AH319">
            <v>238.80000000000007</v>
          </cell>
          <cell r="AI319">
            <v>-279</v>
          </cell>
          <cell r="AK319">
            <v>109270.51471861471</v>
          </cell>
        </row>
        <row r="320">
          <cell r="AK320">
            <v>0</v>
          </cell>
        </row>
        <row r="321">
          <cell r="S321">
            <v>0</v>
          </cell>
        </row>
        <row r="322">
          <cell r="P322">
            <v>2339.5333333333333</v>
          </cell>
          <cell r="Q322">
            <v>0</v>
          </cell>
          <cell r="R322">
            <v>0</v>
          </cell>
          <cell r="S322">
            <v>1199.1000000000004</v>
          </cell>
          <cell r="T322">
            <v>-673.48446666666666</v>
          </cell>
          <cell r="U322">
            <v>-686.40219999999999</v>
          </cell>
          <cell r="V322">
            <v>0</v>
          </cell>
          <cell r="W322">
            <v>0</v>
          </cell>
          <cell r="X322">
            <v>2453.7545454545461</v>
          </cell>
          <cell r="Y322">
            <v>-435</v>
          </cell>
          <cell r="Z322">
            <v>-601.57554545454536</v>
          </cell>
          <cell r="AA322">
            <v>0</v>
          </cell>
          <cell r="AB322">
            <v>-9</v>
          </cell>
          <cell r="AC322">
            <v>607.62424242424026</v>
          </cell>
          <cell r="AD322">
            <v>-212</v>
          </cell>
          <cell r="AE322">
            <v>-311.28424242424239</v>
          </cell>
          <cell r="AF322">
            <v>2161.0909090909086</v>
          </cell>
          <cell r="AG322">
            <v>1821.0909090909086</v>
          </cell>
          <cell r="AH322">
            <v>340</v>
          </cell>
          <cell r="AK322">
            <v>107973.96017316019</v>
          </cell>
        </row>
        <row r="328">
          <cell r="AJ328">
            <v>2455</v>
          </cell>
          <cell r="AK328">
            <v>5764</v>
          </cell>
          <cell r="AM328">
            <v>4603</v>
          </cell>
        </row>
        <row r="329">
          <cell r="P329">
            <v>198</v>
          </cell>
          <cell r="S329">
            <v>460</v>
          </cell>
          <cell r="X329">
            <v>178</v>
          </cell>
          <cell r="AC329">
            <v>149</v>
          </cell>
          <cell r="AF329">
            <v>393</v>
          </cell>
          <cell r="AG329">
            <v>349</v>
          </cell>
          <cell r="AH329">
            <v>44</v>
          </cell>
          <cell r="AI329">
            <v>0</v>
          </cell>
          <cell r="AK329">
            <v>1573</v>
          </cell>
          <cell r="AM329">
            <v>1180</v>
          </cell>
        </row>
        <row r="330">
          <cell r="AJ330">
            <v>36</v>
          </cell>
          <cell r="AK330">
            <v>10092.257142857143</v>
          </cell>
          <cell r="AM330">
            <v>10092.257142857143</v>
          </cell>
        </row>
        <row r="331">
          <cell r="AJ331">
            <v>2455</v>
          </cell>
          <cell r="AK331">
            <v>498</v>
          </cell>
          <cell r="AM331">
            <v>498</v>
          </cell>
        </row>
        <row r="332">
          <cell r="P332">
            <v>623</v>
          </cell>
          <cell r="S332">
            <v>555</v>
          </cell>
          <cell r="X332">
            <v>227</v>
          </cell>
          <cell r="AC332">
            <v>188</v>
          </cell>
          <cell r="AF332">
            <v>487</v>
          </cell>
          <cell r="AG332">
            <v>463</v>
          </cell>
          <cell r="AH332">
            <v>24</v>
          </cell>
          <cell r="AJ332">
            <v>36</v>
          </cell>
          <cell r="AK332">
            <v>145.66666666666666</v>
          </cell>
          <cell r="AM332">
            <v>130.66666666666666</v>
          </cell>
        </row>
        <row r="333">
          <cell r="AJ333">
            <v>36</v>
          </cell>
          <cell r="AK333">
            <v>4104.2571428571437</v>
          </cell>
          <cell r="AM333">
            <v>4104.2571428571437</v>
          </cell>
        </row>
        <row r="334">
          <cell r="AK334">
            <v>3500</v>
          </cell>
          <cell r="AM334">
            <v>3500</v>
          </cell>
        </row>
        <row r="335">
          <cell r="AJ335">
            <v>36</v>
          </cell>
          <cell r="AK335">
            <v>0</v>
          </cell>
          <cell r="AM335">
            <v>-197</v>
          </cell>
        </row>
        <row r="336">
          <cell r="AK336">
            <v>1990</v>
          </cell>
          <cell r="AM336">
            <v>1990</v>
          </cell>
        </row>
        <row r="337">
          <cell r="AK337">
            <v>9242.6666666666661</v>
          </cell>
          <cell r="AM337">
            <v>3500</v>
          </cell>
        </row>
        <row r="338">
          <cell r="AK338">
            <v>0</v>
          </cell>
          <cell r="AM338">
            <v>0</v>
          </cell>
        </row>
        <row r="339">
          <cell r="AK339">
            <v>3410</v>
          </cell>
          <cell r="AM339">
            <v>3528.4</v>
          </cell>
        </row>
        <row r="340">
          <cell r="AK340">
            <v>1725.090909090909</v>
          </cell>
          <cell r="AM340">
            <v>1642.090909090909</v>
          </cell>
        </row>
        <row r="341">
          <cell r="AK341">
            <v>0</v>
          </cell>
          <cell r="AM341">
            <v>0</v>
          </cell>
        </row>
        <row r="342">
          <cell r="AK342">
            <v>0</v>
          </cell>
          <cell r="AM342">
            <v>0</v>
          </cell>
        </row>
        <row r="343">
          <cell r="AK343">
            <v>0</v>
          </cell>
          <cell r="AM343">
            <v>0</v>
          </cell>
        </row>
        <row r="344">
          <cell r="AK344">
            <v>3341.0333333333328</v>
          </cell>
          <cell r="AM344">
            <v>2890.833333333333</v>
          </cell>
        </row>
        <row r="345">
          <cell r="AK345">
            <v>1058.8333333333333</v>
          </cell>
          <cell r="AM345">
            <v>763.83333333333326</v>
          </cell>
        </row>
        <row r="346">
          <cell r="AK346">
            <v>360</v>
          </cell>
          <cell r="AM346">
            <v>328</v>
          </cell>
        </row>
        <row r="347">
          <cell r="AK347">
            <v>1067.2</v>
          </cell>
          <cell r="AM347">
            <v>3979</v>
          </cell>
        </row>
        <row r="348">
          <cell r="AK348">
            <v>855</v>
          </cell>
          <cell r="AM348">
            <v>1352</v>
          </cell>
        </row>
        <row r="349">
          <cell r="AK349">
            <v>0</v>
          </cell>
          <cell r="AM349">
            <v>0</v>
          </cell>
        </row>
        <row r="350">
          <cell r="AK350">
            <v>66</v>
          </cell>
          <cell r="AM350">
            <v>66</v>
          </cell>
        </row>
        <row r="351">
          <cell r="AK351">
            <v>4404</v>
          </cell>
          <cell r="AM351">
            <v>3250</v>
          </cell>
        </row>
        <row r="352">
          <cell r="P352">
            <v>225</v>
          </cell>
          <cell r="S352">
            <v>296</v>
          </cell>
          <cell r="X352">
            <v>56</v>
          </cell>
          <cell r="AC352">
            <v>19</v>
          </cell>
          <cell r="AF352">
            <v>71.800000000000011</v>
          </cell>
          <cell r="AG352">
            <v>71.800000000000011</v>
          </cell>
          <cell r="AH352">
            <v>0</v>
          </cell>
          <cell r="AK352">
            <v>667.8</v>
          </cell>
          <cell r="AM352">
            <v>0</v>
          </cell>
        </row>
        <row r="353">
          <cell r="AK353">
            <v>0</v>
          </cell>
          <cell r="AM353">
            <v>142</v>
          </cell>
        </row>
        <row r="354">
          <cell r="P354">
            <v>0</v>
          </cell>
          <cell r="S354">
            <v>0</v>
          </cell>
          <cell r="X354">
            <v>0</v>
          </cell>
          <cell r="AC354">
            <v>0</v>
          </cell>
          <cell r="AF354">
            <v>0</v>
          </cell>
          <cell r="AG354">
            <v>0</v>
          </cell>
          <cell r="AH354">
            <v>0</v>
          </cell>
          <cell r="AI354">
            <v>0</v>
          </cell>
          <cell r="AK354">
            <v>363.66666666666663</v>
          </cell>
          <cell r="AM354">
            <v>363.66666666666663</v>
          </cell>
        </row>
        <row r="355">
          <cell r="P355">
            <v>225</v>
          </cell>
          <cell r="S355">
            <v>296</v>
          </cell>
          <cell r="X355">
            <v>56</v>
          </cell>
          <cell r="AC355">
            <v>-536.90909090909088</v>
          </cell>
          <cell r="AF355">
            <v>485.09090909090912</v>
          </cell>
          <cell r="AG355">
            <v>-127.90909090909091</v>
          </cell>
          <cell r="AH355">
            <v>613</v>
          </cell>
          <cell r="AK355">
            <v>105</v>
          </cell>
          <cell r="AM355">
            <v>105</v>
          </cell>
        </row>
        <row r="356">
          <cell r="AK356">
            <v>0</v>
          </cell>
          <cell r="AM356">
            <v>0</v>
          </cell>
        </row>
        <row r="357">
          <cell r="P357">
            <v>0</v>
          </cell>
          <cell r="S357">
            <v>0</v>
          </cell>
          <cell r="X357">
            <v>0</v>
          </cell>
          <cell r="AC357">
            <v>0</v>
          </cell>
          <cell r="AF357">
            <v>0</v>
          </cell>
          <cell r="AG357">
            <v>0</v>
          </cell>
          <cell r="AH357">
            <v>0</v>
          </cell>
          <cell r="AK357">
            <v>0</v>
          </cell>
          <cell r="AM357">
            <v>0</v>
          </cell>
        </row>
        <row r="358">
          <cell r="AJ358">
            <v>-2491</v>
          </cell>
          <cell r="AK358">
            <v>4284.5</v>
          </cell>
          <cell r="AM358" t="e">
            <v>#REF!</v>
          </cell>
        </row>
        <row r="359">
          <cell r="AK359">
            <v>846.16666666666674</v>
          </cell>
          <cell r="AM359">
            <v>0</v>
          </cell>
        </row>
        <row r="360">
          <cell r="AK360">
            <v>864.33333333333326</v>
          </cell>
          <cell r="AM360">
            <v>0</v>
          </cell>
        </row>
        <row r="361">
          <cell r="AJ361">
            <v>-2491</v>
          </cell>
          <cell r="AK361">
            <v>2574</v>
          </cell>
          <cell r="AM361" t="e">
            <v>#REF!</v>
          </cell>
        </row>
        <row r="362">
          <cell r="P362">
            <v>302</v>
          </cell>
          <cell r="S362">
            <v>-1610</v>
          </cell>
          <cell r="T362">
            <v>207.20000000000002</v>
          </cell>
          <cell r="U362">
            <v>1087.8</v>
          </cell>
          <cell r="X362">
            <v>396</v>
          </cell>
          <cell r="Y362">
            <v>191</v>
          </cell>
          <cell r="Z362">
            <v>424</v>
          </cell>
          <cell r="AC362">
            <v>535</v>
          </cell>
          <cell r="AD362">
            <v>240</v>
          </cell>
          <cell r="AE362">
            <v>494</v>
          </cell>
          <cell r="AF362">
            <v>485.8</v>
          </cell>
          <cell r="AG362">
            <v>470.8</v>
          </cell>
          <cell r="AH362">
            <v>15</v>
          </cell>
          <cell r="AI362">
            <v>0</v>
          </cell>
          <cell r="AK362">
            <v>96.800000000000011</v>
          </cell>
          <cell r="AM362">
            <v>-389</v>
          </cell>
        </row>
        <row r="363">
          <cell r="AK363">
            <v>1769</v>
          </cell>
        </row>
        <row r="364">
          <cell r="AK364">
            <v>4603.3</v>
          </cell>
        </row>
        <row r="365">
          <cell r="P365">
            <v>37</v>
          </cell>
          <cell r="S365">
            <v>2402</v>
          </cell>
          <cell r="T365">
            <v>308.48</v>
          </cell>
          <cell r="U365">
            <v>1619.52</v>
          </cell>
          <cell r="X365">
            <v>-549</v>
          </cell>
          <cell r="Y365">
            <v>202</v>
          </cell>
          <cell r="Z365">
            <v>278</v>
          </cell>
          <cell r="AC365">
            <v>644</v>
          </cell>
          <cell r="AD365">
            <v>214</v>
          </cell>
          <cell r="AE365">
            <v>313</v>
          </cell>
          <cell r="AF365">
            <v>387</v>
          </cell>
          <cell r="AG365">
            <v>387</v>
          </cell>
          <cell r="AH365">
            <v>0</v>
          </cell>
          <cell r="AK365">
            <v>2921</v>
          </cell>
          <cell r="AM365">
            <v>2534</v>
          </cell>
        </row>
        <row r="383">
          <cell r="P383" t="str">
            <v>лютий</v>
          </cell>
          <cell r="X383" t="str">
            <v>лютий</v>
          </cell>
          <cell r="AC383" t="str">
            <v>лютий</v>
          </cell>
        </row>
        <row r="384">
          <cell r="P384" t="str">
            <v>ККМ</v>
          </cell>
          <cell r="X384" t="str">
            <v>ТЕЦ5</v>
          </cell>
          <cell r="AC384" t="str">
            <v>ТЕЦ6</v>
          </cell>
          <cell r="AK384" t="str">
            <v>АК "КЕ"</v>
          </cell>
          <cell r="AL384" t="str">
            <v>Е/Е</v>
          </cell>
        </row>
        <row r="385">
          <cell r="P385" t="str">
            <v>ПЛАН</v>
          </cell>
          <cell r="X385" t="str">
            <v>ПЛАН</v>
          </cell>
          <cell r="AC385" t="str">
            <v>ПЛАН</v>
          </cell>
          <cell r="AK385" t="str">
            <v>ПЛАН</v>
          </cell>
          <cell r="AL385" t="str">
            <v>ПЛАН</v>
          </cell>
        </row>
        <row r="386">
          <cell r="P386">
            <v>14.333333333333332</v>
          </cell>
          <cell r="S386">
            <v>14.333333333333332</v>
          </cell>
          <cell r="X386">
            <v>182</v>
          </cell>
          <cell r="Y386">
            <v>56</v>
          </cell>
          <cell r="Z386">
            <v>56</v>
          </cell>
          <cell r="AC386">
            <v>323.66666666666674</v>
          </cell>
          <cell r="AD386">
            <v>106</v>
          </cell>
          <cell r="AE386">
            <v>105</v>
          </cell>
          <cell r="AK386">
            <v>735.30000000000018</v>
          </cell>
          <cell r="AL386">
            <v>329.33333333333337</v>
          </cell>
          <cell r="AM386">
            <v>226.33333333333334</v>
          </cell>
        </row>
        <row r="387">
          <cell r="P387">
            <v>0</v>
          </cell>
          <cell r="X387">
            <v>0</v>
          </cell>
          <cell r="Y387">
            <v>0</v>
          </cell>
          <cell r="AC387">
            <v>3.6666666666666665</v>
          </cell>
          <cell r="AD387">
            <v>1</v>
          </cell>
          <cell r="AK387">
            <v>46</v>
          </cell>
          <cell r="AL387">
            <v>10</v>
          </cell>
        </row>
        <row r="388">
          <cell r="P388">
            <v>0.66666666666666663</v>
          </cell>
          <cell r="X388">
            <v>146.66666666666666</v>
          </cell>
          <cell r="Y388">
            <v>45</v>
          </cell>
          <cell r="AC388">
            <v>280.66666666666669</v>
          </cell>
          <cell r="AD388">
            <v>92</v>
          </cell>
          <cell r="AK388">
            <v>428</v>
          </cell>
          <cell r="AL388">
            <v>137.66666666666666</v>
          </cell>
        </row>
        <row r="389">
          <cell r="P389">
            <v>2</v>
          </cell>
          <cell r="S389">
            <v>14.333333333333332</v>
          </cell>
          <cell r="X389">
            <v>0</v>
          </cell>
          <cell r="Y389">
            <v>0</v>
          </cell>
          <cell r="Z389">
            <v>77</v>
          </cell>
          <cell r="AC389">
            <v>25</v>
          </cell>
          <cell r="AD389">
            <v>8</v>
          </cell>
          <cell r="AE389">
            <v>131</v>
          </cell>
          <cell r="AK389">
            <v>33.666666666666671</v>
          </cell>
          <cell r="AL389">
            <v>13</v>
          </cell>
          <cell r="AM389">
            <v>285.33333333333331</v>
          </cell>
        </row>
        <row r="390">
          <cell r="P390">
            <v>0</v>
          </cell>
          <cell r="X390">
            <v>25.333333333333332</v>
          </cell>
          <cell r="Y390">
            <v>8</v>
          </cell>
          <cell r="AC390">
            <v>0.66666666666666663</v>
          </cell>
          <cell r="AD390">
            <v>0</v>
          </cell>
          <cell r="AK390">
            <v>26</v>
          </cell>
          <cell r="AL390">
            <v>8</v>
          </cell>
        </row>
        <row r="391">
          <cell r="P391">
            <v>0</v>
          </cell>
          <cell r="X391">
            <v>0</v>
          </cell>
          <cell r="Y391">
            <v>0</v>
          </cell>
          <cell r="AC391">
            <v>0</v>
          </cell>
          <cell r="AD391">
            <v>0</v>
          </cell>
          <cell r="AK391">
            <v>120.63333333333333</v>
          </cell>
          <cell r="AL391">
            <v>28</v>
          </cell>
        </row>
        <row r="392">
          <cell r="P392">
            <v>0</v>
          </cell>
          <cell r="X392">
            <v>0</v>
          </cell>
          <cell r="Y392">
            <v>0</v>
          </cell>
          <cell r="AC392">
            <v>0</v>
          </cell>
          <cell r="AD392">
            <v>0</v>
          </cell>
          <cell r="AK392">
            <v>8.6666666666666661</v>
          </cell>
          <cell r="AL392">
            <v>0</v>
          </cell>
        </row>
        <row r="393">
          <cell r="P393">
            <v>5.333333333333333</v>
          </cell>
          <cell r="X393">
            <v>0</v>
          </cell>
          <cell r="Y393">
            <v>0</v>
          </cell>
          <cell r="AC393">
            <v>0</v>
          </cell>
          <cell r="AD393">
            <v>0</v>
          </cell>
          <cell r="AK393">
            <v>22</v>
          </cell>
          <cell r="AL393">
            <v>15.333333333333332</v>
          </cell>
        </row>
        <row r="394">
          <cell r="P394">
            <v>0</v>
          </cell>
          <cell r="X394">
            <v>0</v>
          </cell>
          <cell r="Y394">
            <v>0</v>
          </cell>
          <cell r="AC394">
            <v>0</v>
          </cell>
          <cell r="AD394">
            <v>0</v>
          </cell>
          <cell r="AK394">
            <v>5.333333333333333</v>
          </cell>
          <cell r="AL394">
            <v>1</v>
          </cell>
        </row>
        <row r="395">
          <cell r="P395">
            <v>4.333333333333333</v>
          </cell>
          <cell r="X395">
            <v>0</v>
          </cell>
          <cell r="Y395">
            <v>0</v>
          </cell>
          <cell r="AC395">
            <v>0</v>
          </cell>
          <cell r="AD395">
            <v>0</v>
          </cell>
          <cell r="AK395">
            <v>4.6666666666666661</v>
          </cell>
          <cell r="AL395">
            <v>4.333333333333333</v>
          </cell>
        </row>
        <row r="396">
          <cell r="P396">
            <v>2</v>
          </cell>
          <cell r="X396">
            <v>10</v>
          </cell>
          <cell r="Y396">
            <v>3</v>
          </cell>
          <cell r="AC396">
            <v>13.666666666666666</v>
          </cell>
          <cell r="AD396">
            <v>4</v>
          </cell>
          <cell r="AK396">
            <v>26</v>
          </cell>
          <cell r="AL396">
            <v>9</v>
          </cell>
        </row>
        <row r="397">
          <cell r="P397">
            <v>0</v>
          </cell>
          <cell r="X397">
            <v>0</v>
          </cell>
          <cell r="Y397">
            <v>0</v>
          </cell>
          <cell r="AC397">
            <v>0</v>
          </cell>
          <cell r="AD397">
            <v>0</v>
          </cell>
          <cell r="AK397">
            <v>0</v>
          </cell>
          <cell r="AL397">
            <v>2</v>
          </cell>
        </row>
        <row r="398">
          <cell r="P398">
            <v>20.5</v>
          </cell>
          <cell r="X398">
            <v>522.33333333333337</v>
          </cell>
          <cell r="Y398">
            <v>162</v>
          </cell>
          <cell r="AC398">
            <v>43</v>
          </cell>
          <cell r="AD398">
            <v>14</v>
          </cell>
          <cell r="AK398">
            <v>587.33333333333337</v>
          </cell>
          <cell r="AL398">
            <v>196.5</v>
          </cell>
          <cell r="AM398">
            <v>196.83333333333334</v>
          </cell>
        </row>
        <row r="399">
          <cell r="P399">
            <v>0</v>
          </cell>
          <cell r="X399">
            <v>0</v>
          </cell>
          <cell r="Y399">
            <v>0</v>
          </cell>
          <cell r="AC399">
            <v>0</v>
          </cell>
          <cell r="AD399">
            <v>0</v>
          </cell>
          <cell r="AK399">
            <v>0</v>
          </cell>
          <cell r="AL399">
            <v>0</v>
          </cell>
        </row>
        <row r="400">
          <cell r="P400">
            <v>0</v>
          </cell>
          <cell r="X400">
            <v>480.66666666666669</v>
          </cell>
          <cell r="Y400">
            <v>149</v>
          </cell>
          <cell r="AC400">
            <v>11</v>
          </cell>
          <cell r="AD400">
            <v>4</v>
          </cell>
          <cell r="AK400">
            <v>491.66666666666669</v>
          </cell>
          <cell r="AL400">
            <v>153</v>
          </cell>
        </row>
        <row r="401">
          <cell r="P401">
            <v>0</v>
          </cell>
          <cell r="X401">
            <v>0</v>
          </cell>
          <cell r="Y401">
            <v>0</v>
          </cell>
          <cell r="AC401">
            <v>0</v>
          </cell>
          <cell r="AD401">
            <v>0</v>
          </cell>
          <cell r="AK401">
            <v>0</v>
          </cell>
          <cell r="AL401">
            <v>0</v>
          </cell>
          <cell r="AM401">
            <v>257.83333333333331</v>
          </cell>
        </row>
        <row r="402">
          <cell r="P402">
            <v>15.833333333333334</v>
          </cell>
          <cell r="X402">
            <v>41.666666666666664</v>
          </cell>
          <cell r="Y402">
            <v>13</v>
          </cell>
          <cell r="AC402">
            <v>32</v>
          </cell>
          <cell r="AD402">
            <v>10</v>
          </cell>
          <cell r="AK402">
            <v>91</v>
          </cell>
          <cell r="AL402">
            <v>43.833333333333336</v>
          </cell>
        </row>
        <row r="403">
          <cell r="P403">
            <v>4.666666666666667</v>
          </cell>
          <cell r="X403">
            <v>0</v>
          </cell>
          <cell r="Y403">
            <v>0</v>
          </cell>
          <cell r="AC403">
            <v>0</v>
          </cell>
          <cell r="AD403">
            <v>0</v>
          </cell>
          <cell r="AK403">
            <v>4.666666666666667</v>
          </cell>
          <cell r="AL403">
            <v>0</v>
          </cell>
        </row>
        <row r="404">
          <cell r="P404">
            <v>0</v>
          </cell>
          <cell r="X404">
            <v>0</v>
          </cell>
          <cell r="Y404">
            <v>0</v>
          </cell>
          <cell r="AC404">
            <v>0</v>
          </cell>
          <cell r="AD404">
            <v>0</v>
          </cell>
          <cell r="AK404">
            <v>0</v>
          </cell>
          <cell r="AL404">
            <v>0</v>
          </cell>
        </row>
        <row r="405">
          <cell r="P405">
            <v>39</v>
          </cell>
          <cell r="X405">
            <v>0</v>
          </cell>
          <cell r="Y405">
            <v>0</v>
          </cell>
          <cell r="AC405">
            <v>0</v>
          </cell>
          <cell r="AD405">
            <v>0</v>
          </cell>
          <cell r="AK405">
            <v>49</v>
          </cell>
          <cell r="AL405">
            <v>41</v>
          </cell>
          <cell r="AM405">
            <v>42</v>
          </cell>
        </row>
        <row r="406">
          <cell r="P406">
            <v>3.3333333333333335</v>
          </cell>
          <cell r="X406">
            <v>0</v>
          </cell>
          <cell r="Y406">
            <v>0</v>
          </cell>
          <cell r="AC406">
            <v>0</v>
          </cell>
          <cell r="AD406">
            <v>0</v>
          </cell>
          <cell r="AK406">
            <v>6</v>
          </cell>
          <cell r="AL406">
            <v>4.3333333333333339</v>
          </cell>
        </row>
        <row r="407">
          <cell r="P407">
            <v>35.666666666666664</v>
          </cell>
          <cell r="X407">
            <v>0</v>
          </cell>
          <cell r="Y407">
            <v>0</v>
          </cell>
          <cell r="AC407">
            <v>0</v>
          </cell>
          <cell r="AD407">
            <v>0</v>
          </cell>
          <cell r="AK407">
            <v>43</v>
          </cell>
          <cell r="AL407">
            <v>37.666666666666664</v>
          </cell>
        </row>
        <row r="408">
          <cell r="P408">
            <v>0</v>
          </cell>
          <cell r="X408">
            <v>0</v>
          </cell>
          <cell r="Y408">
            <v>0</v>
          </cell>
          <cell r="AC408">
            <v>0</v>
          </cell>
          <cell r="AD408">
            <v>0</v>
          </cell>
          <cell r="AK408">
            <v>0</v>
          </cell>
          <cell r="AL408">
            <v>42</v>
          </cell>
          <cell r="AM408">
            <v>42</v>
          </cell>
        </row>
        <row r="409">
          <cell r="P409">
            <v>50.166666666666671</v>
          </cell>
          <cell r="S409">
            <v>50.166666666666671</v>
          </cell>
          <cell r="X409">
            <v>37.833333333333343</v>
          </cell>
          <cell r="Y409">
            <v>12</v>
          </cell>
          <cell r="AC409">
            <v>26.000000000000004</v>
          </cell>
          <cell r="AD409">
            <v>9</v>
          </cell>
          <cell r="AK409">
            <v>1965.0000000000002</v>
          </cell>
          <cell r="AL409">
            <v>373.16666666666663</v>
          </cell>
          <cell r="AM409">
            <v>373.16666666666663</v>
          </cell>
        </row>
        <row r="410">
          <cell r="P410">
            <v>0</v>
          </cell>
          <cell r="X410">
            <v>0</v>
          </cell>
          <cell r="Y410">
            <v>0</v>
          </cell>
          <cell r="AC410">
            <v>0</v>
          </cell>
          <cell r="AD410">
            <v>0</v>
          </cell>
          <cell r="AK410">
            <v>1350</v>
          </cell>
          <cell r="AL410">
            <v>0</v>
          </cell>
        </row>
        <row r="411">
          <cell r="P411">
            <v>0</v>
          </cell>
          <cell r="X411">
            <v>0</v>
          </cell>
          <cell r="Y411">
            <v>0</v>
          </cell>
          <cell r="AC411">
            <v>0</v>
          </cell>
          <cell r="AD411">
            <v>0</v>
          </cell>
          <cell r="AK411">
            <v>95</v>
          </cell>
          <cell r="AL411">
            <v>95</v>
          </cell>
        </row>
        <row r="412">
          <cell r="P412">
            <v>0</v>
          </cell>
          <cell r="S412">
            <v>50.166666666666671</v>
          </cell>
          <cell r="X412">
            <v>0</v>
          </cell>
          <cell r="Y412">
            <v>0</v>
          </cell>
          <cell r="AC412">
            <v>0</v>
          </cell>
          <cell r="AD412">
            <v>0</v>
          </cell>
          <cell r="AK412">
            <v>0</v>
          </cell>
          <cell r="AL412">
            <v>0</v>
          </cell>
          <cell r="AM412">
            <v>395.16666666666663</v>
          </cell>
        </row>
        <row r="413">
          <cell r="P413">
            <v>12.333333333333334</v>
          </cell>
          <cell r="X413">
            <v>0</v>
          </cell>
          <cell r="Y413">
            <v>0</v>
          </cell>
          <cell r="AC413">
            <v>0</v>
          </cell>
          <cell r="AD413">
            <v>0</v>
          </cell>
          <cell r="AK413">
            <v>12.333333333333334</v>
          </cell>
          <cell r="AL413">
            <v>12.333333333333334</v>
          </cell>
        </row>
        <row r="414">
          <cell r="P414">
            <v>0</v>
          </cell>
          <cell r="X414">
            <v>0</v>
          </cell>
          <cell r="Y414">
            <v>0</v>
          </cell>
          <cell r="AC414">
            <v>0</v>
          </cell>
          <cell r="AD414">
            <v>0</v>
          </cell>
          <cell r="AK414">
            <v>0</v>
          </cell>
          <cell r="AL414">
            <v>0</v>
          </cell>
        </row>
        <row r="415">
          <cell r="P415">
            <v>5</v>
          </cell>
          <cell r="X415">
            <v>3</v>
          </cell>
          <cell r="Y415">
            <v>1</v>
          </cell>
          <cell r="AC415">
            <v>3</v>
          </cell>
          <cell r="AD415">
            <v>1</v>
          </cell>
          <cell r="AK415">
            <v>57.666666666666664</v>
          </cell>
          <cell r="AL415">
            <v>47</v>
          </cell>
        </row>
        <row r="416">
          <cell r="P416">
            <v>0</v>
          </cell>
          <cell r="X416">
            <v>0</v>
          </cell>
          <cell r="Y416">
            <v>0</v>
          </cell>
          <cell r="AC416">
            <v>0</v>
          </cell>
          <cell r="AD416">
            <v>0</v>
          </cell>
          <cell r="AK416">
            <v>4</v>
          </cell>
          <cell r="AL416">
            <v>0</v>
          </cell>
        </row>
        <row r="417">
          <cell r="P417">
            <v>0</v>
          </cell>
          <cell r="X417">
            <v>0</v>
          </cell>
          <cell r="Y417">
            <v>0</v>
          </cell>
          <cell r="AC417">
            <v>0</v>
          </cell>
          <cell r="AD417">
            <v>0</v>
          </cell>
          <cell r="AK417">
            <v>0</v>
          </cell>
          <cell r="AL417">
            <v>0</v>
          </cell>
        </row>
        <row r="418">
          <cell r="P418">
            <v>18.5</v>
          </cell>
          <cell r="X418">
            <v>4.5</v>
          </cell>
          <cell r="Y418">
            <v>1</v>
          </cell>
          <cell r="AC418">
            <v>1.3333333333333333</v>
          </cell>
          <cell r="AD418">
            <v>0</v>
          </cell>
          <cell r="AK418">
            <v>28.5</v>
          </cell>
          <cell r="AL418">
            <v>23.5</v>
          </cell>
        </row>
        <row r="419">
          <cell r="P419">
            <v>1.3333333333333333</v>
          </cell>
          <cell r="X419">
            <v>0</v>
          </cell>
          <cell r="Y419">
            <v>0</v>
          </cell>
          <cell r="AC419">
            <v>1.6666666666666667</v>
          </cell>
          <cell r="AD419">
            <v>1</v>
          </cell>
          <cell r="AK419">
            <v>69</v>
          </cell>
          <cell r="AL419">
            <v>52.333333333333336</v>
          </cell>
        </row>
        <row r="420">
          <cell r="P420">
            <v>0</v>
          </cell>
          <cell r="X420">
            <v>0</v>
          </cell>
          <cell r="Y420">
            <v>0</v>
          </cell>
          <cell r="AC420">
            <v>0</v>
          </cell>
          <cell r="AD420">
            <v>0</v>
          </cell>
          <cell r="AK420">
            <v>177</v>
          </cell>
          <cell r="AL420">
            <v>38</v>
          </cell>
        </row>
        <row r="421">
          <cell r="P421">
            <v>0</v>
          </cell>
          <cell r="X421">
            <v>10</v>
          </cell>
          <cell r="Y421">
            <v>3</v>
          </cell>
          <cell r="AC421">
            <v>7.666666666666667</v>
          </cell>
          <cell r="AD421">
            <v>3</v>
          </cell>
          <cell r="AK421">
            <v>17.666666666666668</v>
          </cell>
          <cell r="AL421">
            <v>6</v>
          </cell>
        </row>
        <row r="422">
          <cell r="P422">
            <v>2</v>
          </cell>
          <cell r="X422">
            <v>1.3333333333333333</v>
          </cell>
          <cell r="Y422">
            <v>0</v>
          </cell>
          <cell r="AC422">
            <v>1</v>
          </cell>
          <cell r="AD422">
            <v>0</v>
          </cell>
          <cell r="AK422">
            <v>6</v>
          </cell>
          <cell r="AL422">
            <v>2</v>
          </cell>
        </row>
        <row r="423">
          <cell r="P423">
            <v>0.33333333333333331</v>
          </cell>
          <cell r="X423">
            <v>1</v>
          </cell>
          <cell r="Y423">
            <v>0</v>
          </cell>
          <cell r="AC423">
            <v>0.66666666666666663</v>
          </cell>
          <cell r="AD423">
            <v>0</v>
          </cell>
          <cell r="AK423">
            <v>9.3333333333333339</v>
          </cell>
          <cell r="AL423">
            <v>3.3333333333333335</v>
          </cell>
        </row>
        <row r="424">
          <cell r="P424">
            <v>2.3333333333333335</v>
          </cell>
          <cell r="X424">
            <v>6</v>
          </cell>
          <cell r="Y424">
            <v>2</v>
          </cell>
          <cell r="AC424">
            <v>5</v>
          </cell>
          <cell r="AD424">
            <v>2</v>
          </cell>
          <cell r="AK424">
            <v>13.333333333333334</v>
          </cell>
          <cell r="AL424">
            <v>6.3333333333333339</v>
          </cell>
        </row>
        <row r="425">
          <cell r="P425">
            <v>0</v>
          </cell>
          <cell r="X425">
            <v>0</v>
          </cell>
          <cell r="Y425">
            <v>0</v>
          </cell>
          <cell r="AC425">
            <v>0</v>
          </cell>
          <cell r="AD425">
            <v>0</v>
          </cell>
          <cell r="AK425">
            <v>0</v>
          </cell>
          <cell r="AL425">
            <v>0</v>
          </cell>
        </row>
        <row r="426">
          <cell r="P426">
            <v>0</v>
          </cell>
          <cell r="X426">
            <v>0</v>
          </cell>
          <cell r="Y426">
            <v>0</v>
          </cell>
          <cell r="AC426">
            <v>0</v>
          </cell>
          <cell r="AD426">
            <v>0</v>
          </cell>
          <cell r="AK426">
            <v>0</v>
          </cell>
          <cell r="AL426">
            <v>0</v>
          </cell>
        </row>
        <row r="427">
          <cell r="P427">
            <v>1</v>
          </cell>
          <cell r="X427">
            <v>0</v>
          </cell>
          <cell r="Y427">
            <v>0</v>
          </cell>
          <cell r="AC427">
            <v>0</v>
          </cell>
          <cell r="AD427">
            <v>0</v>
          </cell>
          <cell r="AK427">
            <v>12</v>
          </cell>
          <cell r="AL427">
            <v>4</v>
          </cell>
        </row>
        <row r="428">
          <cell r="P428">
            <v>0</v>
          </cell>
          <cell r="X428">
            <v>0</v>
          </cell>
          <cell r="Y428">
            <v>0</v>
          </cell>
          <cell r="AC428">
            <v>0</v>
          </cell>
          <cell r="AD428">
            <v>0</v>
          </cell>
          <cell r="AK428">
            <v>0</v>
          </cell>
          <cell r="AL428">
            <v>0</v>
          </cell>
        </row>
        <row r="429">
          <cell r="P429">
            <v>0.66666666666666663</v>
          </cell>
          <cell r="X429">
            <v>0.66666666666666663</v>
          </cell>
          <cell r="Y429">
            <v>0</v>
          </cell>
          <cell r="AC429">
            <v>0.66666666666666663</v>
          </cell>
          <cell r="AD429">
            <v>0</v>
          </cell>
          <cell r="AK429">
            <v>4.333333333333333</v>
          </cell>
          <cell r="AL429">
            <v>0.66666666666666663</v>
          </cell>
        </row>
        <row r="430">
          <cell r="P430">
            <v>0.66666666666666663</v>
          </cell>
          <cell r="X430">
            <v>0.66666666666666663</v>
          </cell>
          <cell r="Y430">
            <v>0</v>
          </cell>
          <cell r="AC430">
            <v>0.66666666666666663</v>
          </cell>
          <cell r="AD430">
            <v>0</v>
          </cell>
          <cell r="AK430">
            <v>3.6666666666666665</v>
          </cell>
          <cell r="AL430">
            <v>0.66666666666666663</v>
          </cell>
        </row>
        <row r="431">
          <cell r="P431">
            <v>4.666666666666667</v>
          </cell>
          <cell r="X431">
            <v>3</v>
          </cell>
          <cell r="Y431">
            <v>1</v>
          </cell>
          <cell r="AC431">
            <v>2</v>
          </cell>
          <cell r="AD431">
            <v>1</v>
          </cell>
          <cell r="AK431">
            <v>33</v>
          </cell>
          <cell r="AL431">
            <v>17.666666666666668</v>
          </cell>
        </row>
        <row r="432">
          <cell r="P432">
            <v>0</v>
          </cell>
          <cell r="X432">
            <v>0</v>
          </cell>
          <cell r="Y432">
            <v>0</v>
          </cell>
          <cell r="AC432">
            <v>0</v>
          </cell>
          <cell r="AD432">
            <v>0</v>
          </cell>
          <cell r="AK432">
            <v>0</v>
          </cell>
          <cell r="AL432">
            <v>0</v>
          </cell>
        </row>
        <row r="433">
          <cell r="P433">
            <v>0</v>
          </cell>
          <cell r="X433">
            <v>0</v>
          </cell>
          <cell r="Y433">
            <v>0</v>
          </cell>
          <cell r="AC433">
            <v>0</v>
          </cell>
          <cell r="AD433">
            <v>0</v>
          </cell>
          <cell r="AK433">
            <v>0</v>
          </cell>
          <cell r="AL433">
            <v>53</v>
          </cell>
        </row>
        <row r="434">
          <cell r="P434">
            <v>0</v>
          </cell>
          <cell r="X434">
            <v>0</v>
          </cell>
          <cell r="Y434">
            <v>0</v>
          </cell>
          <cell r="AC434">
            <v>0</v>
          </cell>
          <cell r="AD434">
            <v>0</v>
          </cell>
          <cell r="AK434">
            <v>1</v>
          </cell>
          <cell r="AL434">
            <v>1</v>
          </cell>
        </row>
        <row r="435">
          <cell r="P435">
            <v>0</v>
          </cell>
          <cell r="X435">
            <v>0</v>
          </cell>
          <cell r="Y435">
            <v>0</v>
          </cell>
          <cell r="AC435">
            <v>0</v>
          </cell>
          <cell r="AD435">
            <v>0</v>
          </cell>
          <cell r="AK435">
            <v>0</v>
          </cell>
          <cell r="AL435">
            <v>0</v>
          </cell>
        </row>
        <row r="436">
          <cell r="P436">
            <v>0</v>
          </cell>
          <cell r="X436">
            <v>0</v>
          </cell>
          <cell r="Y436">
            <v>0</v>
          </cell>
          <cell r="AC436">
            <v>0</v>
          </cell>
          <cell r="AD436">
            <v>0</v>
          </cell>
          <cell r="AK436">
            <v>0</v>
          </cell>
          <cell r="AL436">
            <v>0</v>
          </cell>
        </row>
        <row r="437">
          <cell r="P437">
            <v>1</v>
          </cell>
          <cell r="X437">
            <v>4</v>
          </cell>
          <cell r="Y437">
            <v>1</v>
          </cell>
          <cell r="AC437">
            <v>2</v>
          </cell>
          <cell r="AD437">
            <v>1</v>
          </cell>
          <cell r="AK437">
            <v>15.666666666666666</v>
          </cell>
          <cell r="AL437">
            <v>7</v>
          </cell>
        </row>
        <row r="438">
          <cell r="P438">
            <v>0</v>
          </cell>
          <cell r="X438">
            <v>0</v>
          </cell>
          <cell r="Y438">
            <v>0</v>
          </cell>
          <cell r="AC438">
            <v>0</v>
          </cell>
          <cell r="AD438">
            <v>0</v>
          </cell>
          <cell r="AK438">
            <v>0</v>
          </cell>
          <cell r="AL438">
            <v>0</v>
          </cell>
        </row>
        <row r="439">
          <cell r="P439">
            <v>0</v>
          </cell>
          <cell r="X439">
            <v>3.3333333333333335</v>
          </cell>
          <cell r="Y439">
            <v>1</v>
          </cell>
          <cell r="AC439">
            <v>0</v>
          </cell>
          <cell r="AD439">
            <v>0</v>
          </cell>
          <cell r="AK439">
            <v>3.3333333333333335</v>
          </cell>
          <cell r="AL439">
            <v>1</v>
          </cell>
        </row>
        <row r="440">
          <cell r="P440">
            <v>0.33333333333333331</v>
          </cell>
          <cell r="X440">
            <v>0.33333333333333331</v>
          </cell>
          <cell r="Y440">
            <v>0</v>
          </cell>
          <cell r="AC440">
            <v>0.33333333333333331</v>
          </cell>
          <cell r="AD440">
            <v>0</v>
          </cell>
          <cell r="AK440">
            <v>1.9999999999999998</v>
          </cell>
          <cell r="AL440">
            <v>0.33333333333333331</v>
          </cell>
        </row>
        <row r="441">
          <cell r="P441">
            <v>0</v>
          </cell>
          <cell r="X441">
            <v>0</v>
          </cell>
          <cell r="Y441">
            <v>0</v>
          </cell>
          <cell r="AC441">
            <v>0</v>
          </cell>
          <cell r="AD441">
            <v>0</v>
          </cell>
          <cell r="AK441">
            <v>0</v>
          </cell>
          <cell r="AL441">
            <v>0</v>
          </cell>
        </row>
        <row r="442">
          <cell r="P442">
            <v>0</v>
          </cell>
          <cell r="X442">
            <v>0</v>
          </cell>
          <cell r="Y442">
            <v>0</v>
          </cell>
          <cell r="AC442">
            <v>0</v>
          </cell>
          <cell r="AD442">
            <v>0</v>
          </cell>
          <cell r="AK442">
            <v>0</v>
          </cell>
          <cell r="AL442">
            <v>0</v>
          </cell>
        </row>
        <row r="443">
          <cell r="P443">
            <v>0</v>
          </cell>
          <cell r="X443">
            <v>0</v>
          </cell>
          <cell r="Y443">
            <v>0</v>
          </cell>
          <cell r="AC443">
            <v>0</v>
          </cell>
          <cell r="AD443">
            <v>0</v>
          </cell>
          <cell r="AK443">
            <v>0</v>
          </cell>
          <cell r="AL443">
            <v>0</v>
          </cell>
        </row>
        <row r="444">
          <cell r="P444">
            <v>0</v>
          </cell>
          <cell r="X444">
            <v>0</v>
          </cell>
          <cell r="Y444">
            <v>0</v>
          </cell>
          <cell r="AC444">
            <v>0</v>
          </cell>
          <cell r="AD444">
            <v>0</v>
          </cell>
          <cell r="AK444">
            <v>0</v>
          </cell>
          <cell r="AL444">
            <v>0</v>
          </cell>
        </row>
        <row r="445">
          <cell r="P445">
            <v>0</v>
          </cell>
          <cell r="X445">
            <v>0</v>
          </cell>
          <cell r="Y445">
            <v>0</v>
          </cell>
          <cell r="AC445">
            <v>0</v>
          </cell>
          <cell r="AD445">
            <v>0</v>
          </cell>
          <cell r="AK445">
            <v>0</v>
          </cell>
          <cell r="AL445">
            <v>0</v>
          </cell>
        </row>
        <row r="446">
          <cell r="P446">
            <v>0</v>
          </cell>
          <cell r="X446">
            <v>0</v>
          </cell>
          <cell r="Y446">
            <v>0</v>
          </cell>
          <cell r="AC446">
            <v>0</v>
          </cell>
          <cell r="AD446">
            <v>0</v>
          </cell>
          <cell r="AK446">
            <v>0</v>
          </cell>
          <cell r="AL446">
            <v>0</v>
          </cell>
        </row>
        <row r="447">
          <cell r="P447">
            <v>0</v>
          </cell>
          <cell r="X447">
            <v>0</v>
          </cell>
          <cell r="Y447">
            <v>0</v>
          </cell>
          <cell r="AC447">
            <v>0</v>
          </cell>
          <cell r="AD447">
            <v>0</v>
          </cell>
          <cell r="AK447">
            <v>0</v>
          </cell>
          <cell r="AL447">
            <v>2</v>
          </cell>
        </row>
        <row r="448">
          <cell r="P448">
            <v>0</v>
          </cell>
          <cell r="X448">
            <v>0</v>
          </cell>
          <cell r="Y448">
            <v>0</v>
          </cell>
          <cell r="AC448">
            <v>0</v>
          </cell>
          <cell r="AD448">
            <v>0</v>
          </cell>
          <cell r="AK448">
            <v>0</v>
          </cell>
          <cell r="AL448">
            <v>0</v>
          </cell>
        </row>
        <row r="449">
          <cell r="P449">
            <v>0</v>
          </cell>
          <cell r="X449">
            <v>0</v>
          </cell>
          <cell r="Y449">
            <v>0</v>
          </cell>
          <cell r="AC449">
            <v>0</v>
          </cell>
          <cell r="AD449">
            <v>0</v>
          </cell>
          <cell r="AK449">
            <v>0</v>
          </cell>
          <cell r="AL449">
            <v>0</v>
          </cell>
        </row>
        <row r="450">
          <cell r="P450">
            <v>0</v>
          </cell>
          <cell r="X450">
            <v>0</v>
          </cell>
          <cell r="Y450">
            <v>0</v>
          </cell>
          <cell r="AC450">
            <v>0</v>
          </cell>
          <cell r="AD450">
            <v>0</v>
          </cell>
          <cell r="AK450">
            <v>0</v>
          </cell>
          <cell r="AL450">
            <v>2</v>
          </cell>
        </row>
        <row r="451">
          <cell r="P451">
            <v>0</v>
          </cell>
          <cell r="X451">
            <v>0</v>
          </cell>
          <cell r="Y451">
            <v>0</v>
          </cell>
          <cell r="AC451">
            <v>0</v>
          </cell>
          <cell r="AD451">
            <v>0</v>
          </cell>
          <cell r="AK451">
            <v>0</v>
          </cell>
          <cell r="AL451">
            <v>0</v>
          </cell>
        </row>
      </sheetData>
      <sheetData sheetId="34" refreshError="1">
        <row r="13">
          <cell r="C13" t="str">
            <v>І.В.ПЛАЧКОВ</v>
          </cell>
        </row>
        <row r="16">
          <cell r="AO16" t="str">
            <v>ЗАТВЕРДЖУЮ</v>
          </cell>
        </row>
        <row r="17">
          <cell r="C17" t="str">
            <v>І.В.ПЛАЧКОВ</v>
          </cell>
          <cell r="AO17" t="str">
            <v>ГОЛОВА ПРАЛІННЯ АК КЕ</v>
          </cell>
        </row>
        <row r="22">
          <cell r="AU22" t="str">
            <v>І.В.ПЛАЧКОВ</v>
          </cell>
        </row>
        <row r="25">
          <cell r="X25" t="str">
            <v>ЗАТВЕРДЖУЮ</v>
          </cell>
        </row>
        <row r="26">
          <cell r="X26" t="str">
            <v>В.О. ГЕНЕРАЛЬНОГО ДИРЕКТОРА  КЕ</v>
          </cell>
        </row>
        <row r="27">
          <cell r="Y27" t="str">
            <v>ЯЩЕНКО Б.В.</v>
          </cell>
        </row>
        <row r="30">
          <cell r="C30" t="str">
            <v>ВИКОН.ДИР.ПЛАН</v>
          </cell>
          <cell r="D30" t="str">
            <v>Е/Е</v>
          </cell>
          <cell r="E30" t="str">
            <v xml:space="preserve"> Т/Е</v>
          </cell>
          <cell r="M30" t="str">
            <v xml:space="preserve">ККМ ПЛАН </v>
          </cell>
          <cell r="N30" t="str">
            <v>ЗВІТ</v>
          </cell>
          <cell r="O30" t="str">
            <v>ВІДХ.</v>
          </cell>
          <cell r="P30" t="str">
            <v>КТМ ПЛАН</v>
          </cell>
          <cell r="Q30" t="str">
            <v>ЗВІТ</v>
          </cell>
          <cell r="R30" t="str">
            <v>ВІДХ.</v>
          </cell>
          <cell r="S30" t="str">
            <v>ТЕЦ-5   ПЛАН</v>
          </cell>
          <cell r="T30" t="str">
            <v>Е/Е</v>
          </cell>
          <cell r="U30" t="str">
            <v xml:space="preserve"> Т/Е</v>
          </cell>
          <cell r="W30" t="str">
            <v>ЗВІТ</v>
          </cell>
          <cell r="X30" t="str">
            <v>ТЕЦ-6  ПЛАН</v>
          </cell>
          <cell r="Y30" t="str">
            <v>Е/Е</v>
          </cell>
          <cell r="Z30" t="str">
            <v xml:space="preserve"> Т/Е</v>
          </cell>
          <cell r="AC30" t="str">
            <v>ТРМ ВСЬОГО ПЛАН</v>
          </cell>
          <cell r="AD30" t="str">
            <v>ТРМ АК ПЛАН</v>
          </cell>
          <cell r="AE30" t="str">
            <v>ТРМ СТОР  ПЛАН</v>
          </cell>
          <cell r="AF30" t="str">
            <v>ТРМ ВСЬОГО ЗВІТ</v>
          </cell>
          <cell r="AG30" t="str">
            <v>ТРМ АК ЗВІТ</v>
          </cell>
          <cell r="AH30" t="str">
            <v>ТРМ СТОР  ЗВІТ</v>
          </cell>
          <cell r="AI30" t="str">
            <v>відх всього</v>
          </cell>
          <cell r="AJ30" t="str">
            <v>Е/Е</v>
          </cell>
          <cell r="AK30" t="str">
            <v xml:space="preserve"> Т/Е</v>
          </cell>
          <cell r="AM30" t="str">
            <v>ДОП.ВИР. ПЛАН</v>
          </cell>
          <cell r="AN30" t="str">
            <v>ЗВІТ</v>
          </cell>
          <cell r="AO30" t="str">
            <v>АК КЕ  ПЛАН</v>
          </cell>
          <cell r="AP30" t="str">
            <v xml:space="preserve"> Е/Е</v>
          </cell>
          <cell r="AQ30" t="str">
            <v xml:space="preserve"> Т/Е</v>
          </cell>
          <cell r="AR30" t="str">
            <v>ЗВІТ</v>
          </cell>
          <cell r="AS30" t="str">
            <v>відх</v>
          </cell>
          <cell r="AT30" t="str">
            <v>СТАНЦІї ЕЛЕКТРО</v>
          </cell>
          <cell r="AU30" t="str">
            <v>СТАНЦІІ ТЕПЛОВІ</v>
          </cell>
          <cell r="AV30" t="str">
            <v>МЕРЕЖІ ЕЛЕКТРО</v>
          </cell>
          <cell r="AW30" t="str">
            <v>МЕРЕЖІ ТЕПЛОВІ</v>
          </cell>
        </row>
        <row r="31">
          <cell r="C31" t="str">
            <v>ВИКОН.ДИР.</v>
          </cell>
          <cell r="D31" t="str">
            <v>Е/Е</v>
          </cell>
          <cell r="E31" t="str">
            <v xml:space="preserve"> Т/Е</v>
          </cell>
          <cell r="M31" t="str">
            <v>ПЕРЕД</v>
          </cell>
          <cell r="N31" t="str">
            <v>КТМ розп. коштів</v>
          </cell>
          <cell r="O31" t="str">
            <v>ТЕЦ-5 ВСЬОГО розр.</v>
          </cell>
          <cell r="P31" t="str">
            <v>Е/Е</v>
          </cell>
          <cell r="Q31" t="str">
            <v xml:space="preserve"> Т/Е</v>
          </cell>
          <cell r="R31" t="str">
            <v>ТЕЦ-5 розп. коштів</v>
          </cell>
          <cell r="S31" t="str">
            <v>ТЕЦ-6 ВСЬОГО розр.</v>
          </cell>
          <cell r="T31" t="str">
            <v>Е/Е</v>
          </cell>
          <cell r="U31" t="str">
            <v xml:space="preserve"> Т/Е</v>
          </cell>
          <cell r="V31" t="str">
            <v>ТЕЦ-6 розп. коштів</v>
          </cell>
          <cell r="W31" t="str">
            <v>ТРМ всього</v>
          </cell>
          <cell r="X31" t="str">
            <v>ТРМ АК розр.</v>
          </cell>
          <cell r="Y31">
            <v>298</v>
          </cell>
          <cell r="AA31" t="str">
            <v>ТРМ АК розп.кошт.</v>
          </cell>
          <cell r="AB31" t="str">
            <v>ТРМ  СТОР.роз.кошт.</v>
          </cell>
          <cell r="AC31" t="str">
            <v>ТРМ всього розп.кошт.</v>
          </cell>
          <cell r="AD31" t="str">
            <v>РЕЗЕРВ</v>
          </cell>
          <cell r="AE31" t="str">
            <v>Е/Е</v>
          </cell>
          <cell r="AF31" t="str">
            <v xml:space="preserve"> Т/Е</v>
          </cell>
          <cell r="AG31" t="str">
            <v>ДОП.ВИР.</v>
          </cell>
          <cell r="AH31" t="str">
            <v>АК КЕ ВСЬОГО</v>
          </cell>
          <cell r="AI31" t="str">
            <v>АК КЕ ВСЬОГО</v>
          </cell>
          <cell r="AJ31" t="str">
            <v>Е/Е</v>
          </cell>
          <cell r="AK31" t="str">
            <v xml:space="preserve"> Т/Е</v>
          </cell>
          <cell r="AL31" t="str">
            <v>СТАНЦІї ЕЛЕКТРО</v>
          </cell>
          <cell r="AM31" t="str">
            <v>СТАНЦІІ ТЕПЛОВІ</v>
          </cell>
          <cell r="AN31" t="str">
            <v>МЕРЕЖІ ЕЛЕКТРО</v>
          </cell>
          <cell r="AO31" t="str">
            <v>МЕРЕЖІ ТЕПЛОВІ</v>
          </cell>
          <cell r="AP31">
            <v>298</v>
          </cell>
        </row>
        <row r="32">
          <cell r="P32">
            <v>313</v>
          </cell>
          <cell r="T32">
            <v>166</v>
          </cell>
          <cell r="Y32">
            <v>268.14999999999998</v>
          </cell>
          <cell r="AJ32">
            <v>479</v>
          </cell>
          <cell r="AP32">
            <v>268.14999999999998</v>
          </cell>
        </row>
        <row r="33">
          <cell r="P33">
            <v>283.95999999999998</v>
          </cell>
          <cell r="T33">
            <v>143.30000000000001</v>
          </cell>
          <cell r="AJ33">
            <v>427.26</v>
          </cell>
          <cell r="AP33">
            <v>0</v>
          </cell>
        </row>
        <row r="34">
          <cell r="AJ34">
            <v>0</v>
          </cell>
          <cell r="AP34">
            <v>0</v>
          </cell>
        </row>
        <row r="35">
          <cell r="AJ35">
            <v>75</v>
          </cell>
          <cell r="AP35">
            <v>32</v>
          </cell>
        </row>
        <row r="36">
          <cell r="AJ36">
            <v>0</v>
          </cell>
          <cell r="AP36">
            <v>0</v>
          </cell>
        </row>
        <row r="37">
          <cell r="AJ37">
            <v>0</v>
          </cell>
          <cell r="AP37">
            <v>500</v>
          </cell>
        </row>
        <row r="38">
          <cell r="M38">
            <v>0</v>
          </cell>
          <cell r="AJ38">
            <v>451.8</v>
          </cell>
          <cell r="AP38">
            <v>468</v>
          </cell>
        </row>
        <row r="39">
          <cell r="C39">
            <v>24088.5</v>
          </cell>
          <cell r="M39">
            <v>7874.5400000000009</v>
          </cell>
          <cell r="N39">
            <v>51</v>
          </cell>
          <cell r="O39">
            <v>-7823.5400000000009</v>
          </cell>
          <cell r="P39">
            <v>21526.597121212119</v>
          </cell>
          <cell r="Q39">
            <v>1921</v>
          </cell>
          <cell r="R39">
            <v>-7874.5400000000009</v>
          </cell>
          <cell r="S39">
            <v>10402.377272727274</v>
          </cell>
          <cell r="T39">
            <v>6339</v>
          </cell>
          <cell r="U39">
            <v>3764.8772727272735</v>
          </cell>
          <cell r="W39">
            <v>504</v>
          </cell>
          <cell r="X39">
            <v>6353.0733333333337</v>
          </cell>
          <cell r="Y39">
            <v>3563</v>
          </cell>
          <cell r="Z39">
            <v>2327.5733333333337</v>
          </cell>
          <cell r="AC39">
            <v>12680.606666666667</v>
          </cell>
          <cell r="AF39">
            <v>8023</v>
          </cell>
          <cell r="AG39">
            <v>5924</v>
          </cell>
          <cell r="AH39">
            <v>2099</v>
          </cell>
          <cell r="AI39">
            <v>-4657.6066666666666</v>
          </cell>
          <cell r="AJ39">
            <v>451.8</v>
          </cell>
          <cell r="AM39">
            <v>9793.2999999999993</v>
          </cell>
        </row>
        <row r="40">
          <cell r="C40">
            <v>12795.5</v>
          </cell>
          <cell r="Q40">
            <v>519</v>
          </cell>
          <cell r="U40">
            <v>415</v>
          </cell>
          <cell r="AE40">
            <v>12680.606666666667</v>
          </cell>
          <cell r="AH40">
            <v>2099</v>
          </cell>
          <cell r="AK40">
            <v>1722</v>
          </cell>
        </row>
        <row r="41">
          <cell r="C41">
            <v>1607.1</v>
          </cell>
          <cell r="D41">
            <v>588</v>
          </cell>
          <cell r="E41">
            <v>1019.1</v>
          </cell>
          <cell r="M41">
            <v>2532.4400000000005</v>
          </cell>
          <cell r="P41">
            <v>5547.8736363636363</v>
          </cell>
          <cell r="S41">
            <v>2164.1499999999996</v>
          </cell>
          <cell r="T41">
            <v>1334</v>
          </cell>
          <cell r="U41">
            <v>830.15</v>
          </cell>
          <cell r="X41">
            <v>1710.74</v>
          </cell>
          <cell r="Y41">
            <v>1043</v>
          </cell>
          <cell r="Z41">
            <v>705.74</v>
          </cell>
          <cell r="AD41">
            <v>4465</v>
          </cell>
          <cell r="AF41">
            <v>3689.3636363636365</v>
          </cell>
          <cell r="AG41">
            <v>3202</v>
          </cell>
          <cell r="AK41">
            <v>0</v>
          </cell>
          <cell r="AM41">
            <v>545</v>
          </cell>
          <cell r="AQ41">
            <v>1535.8899999999999</v>
          </cell>
        </row>
        <row r="42">
          <cell r="P42">
            <v>970</v>
          </cell>
          <cell r="Q42">
            <v>519</v>
          </cell>
          <cell r="U42">
            <v>415</v>
          </cell>
          <cell r="Z42">
            <v>590</v>
          </cell>
          <cell r="AK42">
            <v>1519</v>
          </cell>
          <cell r="AQ42">
            <v>2095</v>
          </cell>
        </row>
        <row r="43">
          <cell r="C43">
            <v>14292.169805900916</v>
          </cell>
          <cell r="M43">
            <v>3413.840909090909</v>
          </cell>
          <cell r="N43">
            <v>0</v>
          </cell>
          <cell r="O43">
            <v>2444.7272727272721</v>
          </cell>
          <cell r="P43">
            <v>752</v>
          </cell>
          <cell r="Q43">
            <v>1667.8272727272724</v>
          </cell>
          <cell r="R43">
            <v>123</v>
          </cell>
          <cell r="S43">
            <v>1391.636363636364</v>
          </cell>
          <cell r="T43">
            <v>447</v>
          </cell>
          <cell r="U43">
            <v>919.33636363636469</v>
          </cell>
          <cell r="V43">
            <v>0</v>
          </cell>
          <cell r="X43">
            <v>2771.9636363636364</v>
          </cell>
          <cell r="Y43">
            <v>1109.5818181818181</v>
          </cell>
          <cell r="Z43">
            <v>3881.545454545454</v>
          </cell>
          <cell r="AA43">
            <v>222.875</v>
          </cell>
          <cell r="AB43">
            <v>71.125</v>
          </cell>
          <cell r="AC43">
            <v>294</v>
          </cell>
          <cell r="AH43" t="str">
            <v>розрах.</v>
          </cell>
          <cell r="AI43" t="str">
            <v>розп.коштів</v>
          </cell>
        </row>
        <row r="45">
          <cell r="C45">
            <v>410.54545454545456</v>
          </cell>
          <cell r="M45">
            <v>957.19636363636369</v>
          </cell>
          <cell r="N45">
            <v>0</v>
          </cell>
          <cell r="O45">
            <v>652.90909090909099</v>
          </cell>
          <cell r="P45">
            <v>203</v>
          </cell>
          <cell r="Q45">
            <v>449.90909090909093</v>
          </cell>
          <cell r="R45">
            <v>91</v>
          </cell>
          <cell r="S45">
            <v>541.63636363636363</v>
          </cell>
          <cell r="T45">
            <v>177</v>
          </cell>
          <cell r="U45">
            <v>364.63636363636363</v>
          </cell>
          <cell r="V45">
            <v>0</v>
          </cell>
          <cell r="X45">
            <v>1120.7636363636364</v>
          </cell>
          <cell r="Y45">
            <v>318.78181818181815</v>
          </cell>
          <cell r="Z45">
            <v>1439.5454545454545</v>
          </cell>
          <cell r="AA45">
            <v>127.875</v>
          </cell>
          <cell r="AB45">
            <v>64.125</v>
          </cell>
          <cell r="AC45">
            <v>192</v>
          </cell>
        </row>
        <row r="46">
          <cell r="C46">
            <v>2306</v>
          </cell>
          <cell r="D46">
            <v>837</v>
          </cell>
          <cell r="E46">
            <v>1469</v>
          </cell>
          <cell r="M46">
            <v>1075.5999999999999</v>
          </cell>
          <cell r="O46">
            <v>-1075.5999999999999</v>
          </cell>
          <cell r="P46">
            <v>2738</v>
          </cell>
          <cell r="R46">
            <v>-1075.5999999999999</v>
          </cell>
          <cell r="S46">
            <v>631.4</v>
          </cell>
          <cell r="T46">
            <v>388</v>
          </cell>
          <cell r="U46">
            <v>243.4</v>
          </cell>
          <cell r="X46">
            <v>1054.6500000000001</v>
          </cell>
          <cell r="Y46">
            <v>672</v>
          </cell>
          <cell r="Z46">
            <v>382.65000000000009</v>
          </cell>
          <cell r="AC46">
            <v>1441.25</v>
          </cell>
          <cell r="AD46">
            <v>874.25</v>
          </cell>
          <cell r="AE46">
            <v>567</v>
          </cell>
          <cell r="AF46">
            <v>399</v>
          </cell>
          <cell r="AG46">
            <v>292</v>
          </cell>
          <cell r="AH46">
            <v>107</v>
          </cell>
          <cell r="AI46">
            <v>-1042.25</v>
          </cell>
          <cell r="AM46">
            <v>0</v>
          </cell>
          <cell r="AO46">
            <v>9239.9</v>
          </cell>
          <cell r="AP46">
            <v>3131.6</v>
          </cell>
          <cell r="AQ46">
            <v>6108.2999999999993</v>
          </cell>
          <cell r="AR46" t="e">
            <v>#REF!</v>
          </cell>
          <cell r="AS46" t="e">
            <v>#REF!</v>
          </cell>
          <cell r="AT46">
            <v>1060</v>
          </cell>
          <cell r="AU46">
            <v>1557</v>
          </cell>
          <cell r="AV46">
            <v>2071.6</v>
          </cell>
          <cell r="AW46">
            <v>4551.2999999999993</v>
          </cell>
        </row>
        <row r="47">
          <cell r="C47">
            <v>617</v>
          </cell>
          <cell r="D47">
            <v>229</v>
          </cell>
          <cell r="E47">
            <v>270</v>
          </cell>
          <cell r="M47">
            <v>624</v>
          </cell>
          <cell r="O47">
            <v>258</v>
          </cell>
          <cell r="P47">
            <v>1853.8333333333333</v>
          </cell>
          <cell r="Q47">
            <v>178</v>
          </cell>
          <cell r="S47">
            <v>290</v>
          </cell>
          <cell r="T47">
            <v>187</v>
          </cell>
          <cell r="U47">
            <v>103</v>
          </cell>
          <cell r="W47">
            <v>340</v>
          </cell>
          <cell r="X47">
            <v>226</v>
          </cell>
          <cell r="Y47">
            <v>140</v>
          </cell>
          <cell r="Z47">
            <v>86</v>
          </cell>
          <cell r="AC47">
            <v>1299</v>
          </cell>
          <cell r="AD47">
            <v>1235</v>
          </cell>
          <cell r="AE47">
            <v>64</v>
          </cell>
          <cell r="AG47">
            <v>0</v>
          </cell>
          <cell r="AH47">
            <v>2517</v>
          </cell>
          <cell r="AJ47">
            <v>820</v>
          </cell>
          <cell r="AK47">
            <v>1697</v>
          </cell>
          <cell r="AL47">
            <v>151</v>
          </cell>
          <cell r="AM47">
            <v>589</v>
          </cell>
          <cell r="AN47">
            <v>669</v>
          </cell>
          <cell r="AO47">
            <v>4945.833333333333</v>
          </cell>
        </row>
        <row r="48">
          <cell r="C48">
            <v>0</v>
          </cell>
          <cell r="D48">
            <v>0</v>
          </cell>
          <cell r="E48">
            <v>0</v>
          </cell>
          <cell r="M48">
            <v>1</v>
          </cell>
          <cell r="O48">
            <v>75</v>
          </cell>
          <cell r="P48">
            <v>0</v>
          </cell>
          <cell r="S48">
            <v>18.55</v>
          </cell>
          <cell r="T48">
            <v>9</v>
          </cell>
          <cell r="U48">
            <v>9.5500000000000007</v>
          </cell>
          <cell r="X48">
            <v>47</v>
          </cell>
          <cell r="Y48">
            <v>22</v>
          </cell>
          <cell r="Z48">
            <v>25</v>
          </cell>
          <cell r="AC48">
            <v>0</v>
          </cell>
          <cell r="AD48">
            <v>0</v>
          </cell>
          <cell r="AE48">
            <v>0</v>
          </cell>
          <cell r="AH48">
            <v>942</v>
          </cell>
          <cell r="AO48">
            <v>66.55</v>
          </cell>
        </row>
        <row r="49">
          <cell r="C49">
            <v>1639</v>
          </cell>
          <cell r="D49">
            <v>592</v>
          </cell>
          <cell r="E49">
            <v>595</v>
          </cell>
          <cell r="M49">
            <v>60</v>
          </cell>
          <cell r="O49">
            <v>110</v>
          </cell>
          <cell r="P49">
            <v>167</v>
          </cell>
          <cell r="S49">
            <v>164</v>
          </cell>
          <cell r="T49">
            <v>107</v>
          </cell>
          <cell r="U49">
            <v>57</v>
          </cell>
          <cell r="X49">
            <v>141</v>
          </cell>
          <cell r="Y49">
            <v>87</v>
          </cell>
          <cell r="Z49">
            <v>54</v>
          </cell>
          <cell r="AC49">
            <v>55.6</v>
          </cell>
          <cell r="AD49">
            <v>28.6</v>
          </cell>
          <cell r="AE49">
            <v>26</v>
          </cell>
          <cell r="AH49">
            <v>111</v>
          </cell>
          <cell r="AO49">
            <v>2356.6</v>
          </cell>
        </row>
        <row r="50">
          <cell r="C50">
            <v>23</v>
          </cell>
          <cell r="D50">
            <v>9</v>
          </cell>
          <cell r="E50">
            <v>14</v>
          </cell>
          <cell r="M50">
            <v>135.1</v>
          </cell>
          <cell r="O50">
            <v>-135.1</v>
          </cell>
          <cell r="P50">
            <v>1350.3333333333335</v>
          </cell>
          <cell r="R50">
            <v>-135.1</v>
          </cell>
          <cell r="S50">
            <v>2382.333333333333</v>
          </cell>
          <cell r="T50">
            <v>1408</v>
          </cell>
          <cell r="U50">
            <v>974.33333333333326</v>
          </cell>
          <cell r="X50">
            <v>240.35000000000002</v>
          </cell>
          <cell r="Y50">
            <v>141</v>
          </cell>
          <cell r="Z50">
            <v>99.350000000000009</v>
          </cell>
          <cell r="AC50">
            <v>539.59999999999991</v>
          </cell>
          <cell r="AD50">
            <v>370</v>
          </cell>
          <cell r="AE50">
            <v>169.59999999999997</v>
          </cell>
          <cell r="AF50">
            <v>751</v>
          </cell>
          <cell r="AG50">
            <v>601</v>
          </cell>
          <cell r="AH50">
            <v>150</v>
          </cell>
          <cell r="AI50">
            <v>211.40000000000009</v>
          </cell>
          <cell r="AM50">
            <v>0</v>
          </cell>
          <cell r="AO50">
            <v>4454.1166666666668</v>
          </cell>
          <cell r="AP50">
            <v>1694.1</v>
          </cell>
          <cell r="AQ50">
            <v>2760.0166666666669</v>
          </cell>
          <cell r="AR50" t="e">
            <v>#REF!</v>
          </cell>
          <cell r="AS50" t="e">
            <v>#REF!</v>
          </cell>
          <cell r="AT50">
            <v>1549</v>
          </cell>
          <cell r="AU50">
            <v>1533</v>
          </cell>
          <cell r="AV50">
            <v>145.09999999999991</v>
          </cell>
          <cell r="AW50">
            <v>1227.0166666666669</v>
          </cell>
        </row>
        <row r="51">
          <cell r="C51">
            <v>0</v>
          </cell>
          <cell r="D51">
            <v>0</v>
          </cell>
          <cell r="E51">
            <v>0</v>
          </cell>
          <cell r="M51">
            <v>0</v>
          </cell>
          <cell r="O51">
            <v>0</v>
          </cell>
          <cell r="P51">
            <v>41</v>
          </cell>
          <cell r="Q51">
            <v>536</v>
          </cell>
          <cell r="R51">
            <v>0</v>
          </cell>
          <cell r="S51">
            <v>1791</v>
          </cell>
          <cell r="T51">
            <v>1047</v>
          </cell>
          <cell r="U51">
            <v>744</v>
          </cell>
          <cell r="W51">
            <v>251</v>
          </cell>
          <cell r="X51">
            <v>40</v>
          </cell>
          <cell r="Y51">
            <v>23</v>
          </cell>
          <cell r="Z51">
            <v>17</v>
          </cell>
          <cell r="AC51">
            <v>1</v>
          </cell>
          <cell r="AD51">
            <v>0</v>
          </cell>
          <cell r="AE51">
            <v>1</v>
          </cell>
          <cell r="AG51">
            <v>0</v>
          </cell>
          <cell r="AH51">
            <v>0</v>
          </cell>
          <cell r="AI51">
            <v>-1</v>
          </cell>
          <cell r="AJ51">
            <v>337</v>
          </cell>
          <cell r="AK51">
            <v>1461</v>
          </cell>
          <cell r="AL51">
            <v>272</v>
          </cell>
          <cell r="AM51">
            <v>826</v>
          </cell>
          <cell r="AN51">
            <v>65</v>
          </cell>
          <cell r="AO51">
            <v>1872</v>
          </cell>
          <cell r="AP51">
            <v>1070</v>
          </cell>
          <cell r="AQ51">
            <v>802</v>
          </cell>
          <cell r="AR51" t="e">
            <v>#REF!</v>
          </cell>
          <cell r="AS51" t="e">
            <v>#REF!</v>
          </cell>
          <cell r="AT51">
            <v>1070</v>
          </cell>
          <cell r="AU51">
            <v>775</v>
          </cell>
          <cell r="AV51">
            <v>0</v>
          </cell>
          <cell r="AW51">
            <v>27</v>
          </cell>
        </row>
        <row r="52">
          <cell r="C52">
            <v>0</v>
          </cell>
          <cell r="D52">
            <v>0</v>
          </cell>
          <cell r="E52">
            <v>0</v>
          </cell>
          <cell r="M52">
            <v>0</v>
          </cell>
          <cell r="O52">
            <v>0</v>
          </cell>
          <cell r="P52">
            <v>15053</v>
          </cell>
          <cell r="Q52">
            <v>446</v>
          </cell>
          <cell r="R52">
            <v>0</v>
          </cell>
          <cell r="S52">
            <v>39538</v>
          </cell>
          <cell r="T52">
            <v>23885</v>
          </cell>
          <cell r="U52">
            <v>15653</v>
          </cell>
          <cell r="X52">
            <v>33899</v>
          </cell>
          <cell r="Y52">
            <v>19743</v>
          </cell>
          <cell r="Z52">
            <v>14156</v>
          </cell>
          <cell r="AC52">
            <v>0</v>
          </cell>
          <cell r="AD52">
            <v>0</v>
          </cell>
          <cell r="AE52">
            <v>0</v>
          </cell>
          <cell r="AH52">
            <v>0</v>
          </cell>
          <cell r="AI52">
            <v>0</v>
          </cell>
          <cell r="AJ52">
            <v>206</v>
          </cell>
          <cell r="AK52">
            <v>477</v>
          </cell>
          <cell r="AL52">
            <v>206</v>
          </cell>
          <cell r="AM52">
            <v>0</v>
          </cell>
          <cell r="AN52">
            <v>0</v>
          </cell>
          <cell r="AO52">
            <v>88491</v>
          </cell>
          <cell r="AP52">
            <v>43629</v>
          </cell>
          <cell r="AQ52">
            <v>44862</v>
          </cell>
          <cell r="AR52" t="e">
            <v>#REF!</v>
          </cell>
          <cell r="AS52" t="e">
            <v>#REF!</v>
          </cell>
          <cell r="AT52">
            <v>43628</v>
          </cell>
          <cell r="AU52">
            <v>44862</v>
          </cell>
          <cell r="AV52">
            <v>1</v>
          </cell>
          <cell r="AW52">
            <v>0</v>
          </cell>
        </row>
        <row r="53">
          <cell r="C53">
            <v>0</v>
          </cell>
          <cell r="D53">
            <v>0</v>
          </cell>
          <cell r="E53">
            <v>0</v>
          </cell>
          <cell r="M53">
            <v>0</v>
          </cell>
          <cell r="O53">
            <v>0</v>
          </cell>
          <cell r="P53">
            <v>15053</v>
          </cell>
          <cell r="Q53">
            <v>14133.087804878049</v>
          </cell>
          <cell r="R53">
            <v>0</v>
          </cell>
          <cell r="S53">
            <v>39538</v>
          </cell>
          <cell r="T53">
            <v>23885</v>
          </cell>
          <cell r="U53">
            <v>15653</v>
          </cell>
          <cell r="X53">
            <v>33899</v>
          </cell>
          <cell r="Y53">
            <v>19743</v>
          </cell>
          <cell r="Z53">
            <v>14156</v>
          </cell>
          <cell r="AC53">
            <v>0</v>
          </cell>
          <cell r="AD53">
            <v>0</v>
          </cell>
          <cell r="AE53">
            <v>0</v>
          </cell>
          <cell r="AG53">
            <v>0</v>
          </cell>
          <cell r="AH53">
            <v>0</v>
          </cell>
          <cell r="AI53">
            <v>0</v>
          </cell>
          <cell r="AJ53">
            <v>16704.389629801284</v>
          </cell>
          <cell r="AK53">
            <v>45165.610370198716</v>
          </cell>
          <cell r="AL53">
            <v>16704.389629801284</v>
          </cell>
          <cell r="AM53">
            <v>45166</v>
          </cell>
          <cell r="AN53">
            <v>0</v>
          </cell>
          <cell r="AO53">
            <v>88490</v>
          </cell>
          <cell r="AP53">
            <v>43628</v>
          </cell>
          <cell r="AQ53">
            <v>44862</v>
          </cell>
          <cell r="AR53" t="e">
            <v>#REF!</v>
          </cell>
          <cell r="AS53" t="e">
            <v>#REF!</v>
          </cell>
          <cell r="AT53">
            <v>43628</v>
          </cell>
          <cell r="AU53">
            <v>44862</v>
          </cell>
          <cell r="AV53">
            <v>0</v>
          </cell>
          <cell r="AW53">
            <v>0</v>
          </cell>
        </row>
        <row r="54">
          <cell r="C54">
            <v>0</v>
          </cell>
          <cell r="D54">
            <v>0</v>
          </cell>
          <cell r="E54">
            <v>0</v>
          </cell>
          <cell r="M54">
            <v>0</v>
          </cell>
          <cell r="O54">
            <v>0</v>
          </cell>
          <cell r="P54">
            <v>0</v>
          </cell>
          <cell r="Q54">
            <v>14133.087804878049</v>
          </cell>
          <cell r="R54">
            <v>0</v>
          </cell>
          <cell r="S54">
            <v>0</v>
          </cell>
          <cell r="T54">
            <v>0</v>
          </cell>
          <cell r="U54">
            <v>0</v>
          </cell>
          <cell r="W54">
            <v>0</v>
          </cell>
          <cell r="X54">
            <v>0</v>
          </cell>
          <cell r="Y54">
            <v>0</v>
          </cell>
          <cell r="Z54">
            <v>0</v>
          </cell>
          <cell r="AC54">
            <v>0</v>
          </cell>
          <cell r="AD54">
            <v>0</v>
          </cell>
          <cell r="AE54">
            <v>0</v>
          </cell>
          <cell r="AH54">
            <v>61870</v>
          </cell>
          <cell r="AJ54">
            <v>16704.389629801284</v>
          </cell>
          <cell r="AK54">
            <v>45165.610370198716</v>
          </cell>
          <cell r="AL54">
            <v>16704.389629801284</v>
          </cell>
          <cell r="AM54">
            <v>45166</v>
          </cell>
          <cell r="AN54">
            <v>0</v>
          </cell>
          <cell r="AO54">
            <v>-0.38962980128417257</v>
          </cell>
          <cell r="AR54" t="e">
            <v>#REF!</v>
          </cell>
          <cell r="AS54" t="e">
            <v>#REF!</v>
          </cell>
          <cell r="AU54">
            <v>0</v>
          </cell>
        </row>
        <row r="55">
          <cell r="C55">
            <v>22</v>
          </cell>
          <cell r="D55">
            <v>8</v>
          </cell>
          <cell r="E55">
            <v>14</v>
          </cell>
          <cell r="M55">
            <v>61.75</v>
          </cell>
          <cell r="O55">
            <v>-61.75</v>
          </cell>
          <cell r="P55">
            <v>2078.6666666666665</v>
          </cell>
          <cell r="R55">
            <v>-61.75</v>
          </cell>
          <cell r="S55">
            <v>0</v>
          </cell>
          <cell r="T55">
            <v>0</v>
          </cell>
          <cell r="U55">
            <v>0</v>
          </cell>
          <cell r="W55">
            <v>0</v>
          </cell>
          <cell r="X55">
            <v>0</v>
          </cell>
          <cell r="Y55">
            <v>0</v>
          </cell>
          <cell r="Z55">
            <v>0</v>
          </cell>
          <cell r="AC55">
            <v>2052.15</v>
          </cell>
          <cell r="AD55">
            <v>820</v>
          </cell>
          <cell r="AE55">
            <v>1232.1499999999999</v>
          </cell>
          <cell r="AF55">
            <v>1829</v>
          </cell>
          <cell r="AG55">
            <v>810</v>
          </cell>
          <cell r="AH55">
            <v>1019</v>
          </cell>
          <cell r="AI55">
            <v>-223.15000000000009</v>
          </cell>
          <cell r="AJ55">
            <v>0</v>
          </cell>
          <cell r="AK55">
            <v>0</v>
          </cell>
          <cell r="AM55">
            <v>0</v>
          </cell>
          <cell r="AO55">
            <v>2982.4166666666665</v>
          </cell>
          <cell r="AP55">
            <v>69.75</v>
          </cell>
          <cell r="AQ55">
            <v>2912.6666666666665</v>
          </cell>
          <cell r="AR55" t="e">
            <v>#REF!</v>
          </cell>
          <cell r="AS55" t="e">
            <v>#REF!</v>
          </cell>
          <cell r="AT55">
            <v>0</v>
          </cell>
          <cell r="AU55">
            <v>707</v>
          </cell>
          <cell r="AV55">
            <v>69.75</v>
          </cell>
          <cell r="AW55">
            <v>2205.6666666666665</v>
          </cell>
        </row>
        <row r="56">
          <cell r="C56">
            <v>1169.0999999999999</v>
          </cell>
          <cell r="D56">
            <v>427</v>
          </cell>
          <cell r="E56">
            <v>742.1</v>
          </cell>
          <cell r="M56">
            <v>1596.106666666667</v>
          </cell>
          <cell r="O56">
            <v>-1596.106666666667</v>
          </cell>
          <cell r="P56">
            <v>2758.0554545454543</v>
          </cell>
          <cell r="Q56">
            <v>0</v>
          </cell>
          <cell r="R56">
            <v>-1596.106666666667</v>
          </cell>
          <cell r="S56">
            <v>892.87727272727273</v>
          </cell>
          <cell r="T56">
            <v>551</v>
          </cell>
          <cell r="U56">
            <v>341.87727272727273</v>
          </cell>
          <cell r="W56">
            <v>1374</v>
          </cell>
          <cell r="X56">
            <v>822.74</v>
          </cell>
          <cell r="Y56">
            <v>491</v>
          </cell>
          <cell r="Z56">
            <v>331.74</v>
          </cell>
          <cell r="AC56">
            <v>2970.8900000000003</v>
          </cell>
          <cell r="AD56">
            <v>2688</v>
          </cell>
          <cell r="AE56">
            <v>282.89000000000033</v>
          </cell>
          <cell r="AF56">
            <v>2091</v>
          </cell>
          <cell r="AG56">
            <v>1747</v>
          </cell>
          <cell r="AH56">
            <v>344</v>
          </cell>
          <cell r="AI56">
            <v>-879.89000000000033</v>
          </cell>
          <cell r="AJ56">
            <v>92</v>
          </cell>
          <cell r="AK56">
            <v>3881</v>
          </cell>
          <cell r="AL56">
            <v>0</v>
          </cell>
          <cell r="AM56">
            <v>0</v>
          </cell>
          <cell r="AN56">
            <v>92</v>
          </cell>
          <cell r="AO56">
            <v>10657.879393939395</v>
          </cell>
          <cell r="AP56">
            <v>3560.106666666667</v>
          </cell>
          <cell r="AQ56">
            <v>7097.7727272727279</v>
          </cell>
          <cell r="AR56" t="e">
            <v>#REF!</v>
          </cell>
          <cell r="AS56" t="e">
            <v>#REF!</v>
          </cell>
          <cell r="AT56">
            <v>1042</v>
          </cell>
          <cell r="AU56">
            <v>1611</v>
          </cell>
          <cell r="AV56">
            <v>2518.106666666667</v>
          </cell>
          <cell r="AW56">
            <v>5486.7727272727279</v>
          </cell>
        </row>
        <row r="57">
          <cell r="C57">
            <v>64</v>
          </cell>
          <cell r="D57">
            <v>24</v>
          </cell>
          <cell r="E57">
            <v>40</v>
          </cell>
          <cell r="M57">
            <v>88</v>
          </cell>
          <cell r="O57">
            <v>-88</v>
          </cell>
          <cell r="P57">
            <v>152</v>
          </cell>
          <cell r="Q57">
            <v>187.72727272727275</v>
          </cell>
          <cell r="R57">
            <v>-88</v>
          </cell>
          <cell r="S57">
            <v>48</v>
          </cell>
          <cell r="T57">
            <v>29</v>
          </cell>
          <cell r="U57">
            <v>19</v>
          </cell>
          <cell r="W57">
            <v>958.5454545454545</v>
          </cell>
          <cell r="X57">
            <v>45</v>
          </cell>
          <cell r="Y57">
            <v>27</v>
          </cell>
          <cell r="Z57">
            <v>18</v>
          </cell>
          <cell r="AC57">
            <v>164</v>
          </cell>
          <cell r="AD57">
            <v>147</v>
          </cell>
          <cell r="AE57">
            <v>17</v>
          </cell>
          <cell r="AF57">
            <v>117</v>
          </cell>
          <cell r="AG57">
            <v>96</v>
          </cell>
          <cell r="AH57">
            <v>21</v>
          </cell>
          <cell r="AI57">
            <v>-47</v>
          </cell>
          <cell r="AJ57">
            <v>854.72727272727275</v>
          </cell>
          <cell r="AK57">
            <v>2410.3999999999996</v>
          </cell>
          <cell r="AL57">
            <v>166</v>
          </cell>
          <cell r="AM57">
            <v>0</v>
          </cell>
          <cell r="AN57">
            <v>688.72727272727275</v>
          </cell>
          <cell r="AO57">
            <v>583</v>
          </cell>
          <cell r="AP57">
            <v>195</v>
          </cell>
          <cell r="AQ57">
            <v>388</v>
          </cell>
          <cell r="AR57" t="e">
            <v>#REF!</v>
          </cell>
          <cell r="AS57" t="e">
            <v>#REF!</v>
          </cell>
          <cell r="AT57">
            <v>56</v>
          </cell>
          <cell r="AU57">
            <v>67</v>
          </cell>
          <cell r="AV57">
            <v>139</v>
          </cell>
          <cell r="AW57">
            <v>321</v>
          </cell>
        </row>
        <row r="58">
          <cell r="C58">
            <v>374</v>
          </cell>
          <cell r="D58">
            <v>137</v>
          </cell>
          <cell r="E58">
            <v>237</v>
          </cell>
          <cell r="M58">
            <v>511</v>
          </cell>
          <cell r="O58">
            <v>-511</v>
          </cell>
          <cell r="P58">
            <v>883</v>
          </cell>
          <cell r="Q58">
            <v>10</v>
          </cell>
          <cell r="R58">
            <v>-511</v>
          </cell>
          <cell r="S58">
            <v>286</v>
          </cell>
          <cell r="T58">
            <v>176</v>
          </cell>
          <cell r="U58">
            <v>110</v>
          </cell>
          <cell r="W58">
            <v>53</v>
          </cell>
          <cell r="X58">
            <v>263</v>
          </cell>
          <cell r="Y58">
            <v>157</v>
          </cell>
          <cell r="Z58">
            <v>106</v>
          </cell>
          <cell r="AC58">
            <v>951</v>
          </cell>
          <cell r="AD58">
            <v>860</v>
          </cell>
          <cell r="AE58">
            <v>91</v>
          </cell>
          <cell r="AF58">
            <v>676</v>
          </cell>
          <cell r="AG58">
            <v>559</v>
          </cell>
          <cell r="AH58">
            <v>117</v>
          </cell>
          <cell r="AI58">
            <v>-275</v>
          </cell>
          <cell r="AJ58">
            <v>47</v>
          </cell>
          <cell r="AK58">
            <v>132</v>
          </cell>
          <cell r="AL58">
            <v>10</v>
          </cell>
          <cell r="AM58">
            <v>0</v>
          </cell>
          <cell r="AN58">
            <v>37</v>
          </cell>
          <cell r="AO58">
            <v>3411</v>
          </cell>
          <cell r="AP58">
            <v>1138</v>
          </cell>
          <cell r="AQ58">
            <v>2273</v>
          </cell>
          <cell r="AR58" t="e">
            <v>#REF!</v>
          </cell>
          <cell r="AS58" t="e">
            <v>#REF!</v>
          </cell>
          <cell r="AT58">
            <v>0</v>
          </cell>
          <cell r="AU58">
            <v>0</v>
          </cell>
          <cell r="AV58">
            <v>0</v>
          </cell>
          <cell r="AW58">
            <v>0</v>
          </cell>
        </row>
        <row r="59">
          <cell r="C59">
            <v>0</v>
          </cell>
          <cell r="D59">
            <v>0</v>
          </cell>
          <cell r="E59">
            <v>0</v>
          </cell>
          <cell r="M59">
            <v>0</v>
          </cell>
          <cell r="O59">
            <v>0</v>
          </cell>
          <cell r="P59">
            <v>0</v>
          </cell>
          <cell r="Q59">
            <v>60</v>
          </cell>
          <cell r="R59">
            <v>0</v>
          </cell>
          <cell r="S59">
            <v>0</v>
          </cell>
          <cell r="T59">
            <v>0</v>
          </cell>
          <cell r="U59">
            <v>0</v>
          </cell>
          <cell r="W59">
            <v>307</v>
          </cell>
          <cell r="X59">
            <v>0</v>
          </cell>
          <cell r="Y59">
            <v>0</v>
          </cell>
          <cell r="Z59">
            <v>0</v>
          </cell>
          <cell r="AC59">
            <v>0</v>
          </cell>
          <cell r="AD59">
            <v>0</v>
          </cell>
          <cell r="AE59">
            <v>0</v>
          </cell>
          <cell r="AG59">
            <v>0</v>
          </cell>
          <cell r="AH59">
            <v>0</v>
          </cell>
          <cell r="AI59">
            <v>0</v>
          </cell>
          <cell r="AJ59">
            <v>253</v>
          </cell>
          <cell r="AK59">
            <v>793</v>
          </cell>
          <cell r="AL59">
            <v>0</v>
          </cell>
          <cell r="AM59">
            <v>37</v>
          </cell>
          <cell r="AN59">
            <v>0</v>
          </cell>
          <cell r="AO59">
            <v>0</v>
          </cell>
          <cell r="AP59">
            <v>0</v>
          </cell>
          <cell r="AQ59">
            <v>0</v>
          </cell>
          <cell r="AR59" t="e">
            <v>#REF!</v>
          </cell>
          <cell r="AS59" t="e">
            <v>#REF!</v>
          </cell>
          <cell r="AT59">
            <v>0</v>
          </cell>
          <cell r="AU59">
            <v>0</v>
          </cell>
          <cell r="AV59">
            <v>0</v>
          </cell>
          <cell r="AW59">
            <v>0</v>
          </cell>
        </row>
        <row r="60">
          <cell r="C60">
            <v>238</v>
          </cell>
          <cell r="D60">
            <v>90</v>
          </cell>
          <cell r="E60">
            <v>148</v>
          </cell>
          <cell r="M60">
            <v>1392</v>
          </cell>
          <cell r="O60">
            <v>-1392</v>
          </cell>
          <cell r="P60">
            <v>2801</v>
          </cell>
          <cell r="Q60">
            <v>0</v>
          </cell>
          <cell r="R60">
            <v>-1392</v>
          </cell>
          <cell r="S60">
            <v>1593</v>
          </cell>
          <cell r="T60">
            <v>974</v>
          </cell>
          <cell r="U60">
            <v>619</v>
          </cell>
          <cell r="X60">
            <v>1689</v>
          </cell>
          <cell r="Y60">
            <v>980</v>
          </cell>
          <cell r="Z60">
            <v>709</v>
          </cell>
          <cell r="AC60">
            <v>1578</v>
          </cell>
          <cell r="AD60">
            <v>1578</v>
          </cell>
          <cell r="AE60">
            <v>0</v>
          </cell>
          <cell r="AF60">
            <v>1739</v>
          </cell>
          <cell r="AG60">
            <v>1265</v>
          </cell>
          <cell r="AH60">
            <v>474</v>
          </cell>
          <cell r="AI60">
            <v>161</v>
          </cell>
          <cell r="AJ60">
            <v>0</v>
          </cell>
          <cell r="AK60">
            <v>0</v>
          </cell>
          <cell r="AL60">
            <v>0</v>
          </cell>
          <cell r="AM60">
            <v>0</v>
          </cell>
          <cell r="AN60">
            <v>0</v>
          </cell>
          <cell r="AO60">
            <v>9252</v>
          </cell>
          <cell r="AP60">
            <v>3451</v>
          </cell>
          <cell r="AQ60">
            <v>5801</v>
          </cell>
          <cell r="AR60" t="e">
            <v>#REF!</v>
          </cell>
          <cell r="AS60" t="e">
            <v>#REF!</v>
          </cell>
          <cell r="AT60">
            <v>1954</v>
          </cell>
          <cell r="AU60">
            <v>2280</v>
          </cell>
          <cell r="AV60">
            <v>1497</v>
          </cell>
          <cell r="AW60">
            <v>3521</v>
          </cell>
        </row>
        <row r="61">
          <cell r="C61">
            <v>0</v>
          </cell>
          <cell r="D61">
            <v>0</v>
          </cell>
          <cell r="E61">
            <v>0</v>
          </cell>
          <cell r="M61">
            <v>0</v>
          </cell>
          <cell r="O61">
            <v>0</v>
          </cell>
          <cell r="P61">
            <v>0</v>
          </cell>
          <cell r="Q61">
            <v>475</v>
          </cell>
          <cell r="R61">
            <v>0</v>
          </cell>
          <cell r="S61">
            <v>0</v>
          </cell>
          <cell r="T61">
            <v>0</v>
          </cell>
          <cell r="U61">
            <v>0</v>
          </cell>
          <cell r="W61">
            <v>574</v>
          </cell>
          <cell r="X61">
            <v>0</v>
          </cell>
          <cell r="Y61">
            <v>0</v>
          </cell>
          <cell r="Z61">
            <v>0</v>
          </cell>
          <cell r="AC61">
            <v>0</v>
          </cell>
          <cell r="AD61">
            <v>0</v>
          </cell>
          <cell r="AE61">
            <v>0</v>
          </cell>
          <cell r="AF61">
            <v>174</v>
          </cell>
          <cell r="AG61">
            <v>126</v>
          </cell>
          <cell r="AH61">
            <v>48</v>
          </cell>
          <cell r="AI61">
            <v>174</v>
          </cell>
          <cell r="AJ61">
            <v>1078</v>
          </cell>
          <cell r="AK61">
            <v>2828.3333333333335</v>
          </cell>
          <cell r="AL61">
            <v>453</v>
          </cell>
          <cell r="AM61">
            <v>1409</v>
          </cell>
          <cell r="AN61">
            <v>625</v>
          </cell>
          <cell r="AO61">
            <v>0</v>
          </cell>
          <cell r="AR61" t="e">
            <v>#REF!</v>
          </cell>
          <cell r="AS61" t="e">
            <v>#REF!</v>
          </cell>
        </row>
        <row r="62">
          <cell r="C62">
            <v>168</v>
          </cell>
          <cell r="D62">
            <v>59</v>
          </cell>
          <cell r="E62">
            <v>109</v>
          </cell>
          <cell r="M62">
            <v>1680</v>
          </cell>
          <cell r="O62">
            <v>-1680</v>
          </cell>
          <cell r="P62">
            <v>4255</v>
          </cell>
          <cell r="R62">
            <v>-1680</v>
          </cell>
          <cell r="S62">
            <v>326.5</v>
          </cell>
          <cell r="T62">
            <v>0</v>
          </cell>
          <cell r="U62">
            <v>0</v>
          </cell>
          <cell r="W62">
            <v>57</v>
          </cell>
          <cell r="X62">
            <v>554.5</v>
          </cell>
          <cell r="Y62">
            <v>0</v>
          </cell>
          <cell r="Z62">
            <v>0</v>
          </cell>
          <cell r="AC62">
            <v>1110</v>
          </cell>
          <cell r="AD62">
            <v>1027</v>
          </cell>
          <cell r="AE62">
            <v>83</v>
          </cell>
          <cell r="AH62">
            <v>0</v>
          </cell>
          <cell r="AI62">
            <v>-1110</v>
          </cell>
          <cell r="AJ62">
            <v>0</v>
          </cell>
          <cell r="AO62">
            <v>8031</v>
          </cell>
          <cell r="AP62">
            <v>1754</v>
          </cell>
          <cell r="AQ62">
            <v>6277</v>
          </cell>
          <cell r="AR62" t="e">
            <v>#REF!</v>
          </cell>
          <cell r="AS62" t="e">
            <v>#REF!</v>
          </cell>
          <cell r="AU62">
            <v>1170</v>
          </cell>
        </row>
        <row r="63">
          <cell r="C63">
            <v>0</v>
          </cell>
          <cell r="D63">
            <v>0</v>
          </cell>
          <cell r="E63">
            <v>0</v>
          </cell>
          <cell r="M63">
            <v>0</v>
          </cell>
          <cell r="O63">
            <v>0</v>
          </cell>
          <cell r="P63">
            <v>0</v>
          </cell>
          <cell r="Q63">
            <v>151</v>
          </cell>
          <cell r="R63">
            <v>0</v>
          </cell>
          <cell r="S63">
            <v>0</v>
          </cell>
          <cell r="T63">
            <v>0</v>
          </cell>
          <cell r="U63">
            <v>0</v>
          </cell>
          <cell r="W63">
            <v>84</v>
          </cell>
          <cell r="X63">
            <v>0</v>
          </cell>
          <cell r="Y63">
            <v>0</v>
          </cell>
          <cell r="Z63">
            <v>0</v>
          </cell>
          <cell r="AC63">
            <v>0</v>
          </cell>
          <cell r="AD63">
            <v>0</v>
          </cell>
          <cell r="AE63">
            <v>0</v>
          </cell>
          <cell r="AH63">
            <v>0</v>
          </cell>
          <cell r="AI63">
            <v>0</v>
          </cell>
          <cell r="AJ63">
            <v>771</v>
          </cell>
          <cell r="AK63">
            <v>2223.3333333333335</v>
          </cell>
          <cell r="AM63">
            <v>765</v>
          </cell>
          <cell r="AO63">
            <v>0</v>
          </cell>
          <cell r="AP63">
            <v>0</v>
          </cell>
          <cell r="AQ63">
            <v>0</v>
          </cell>
          <cell r="AR63" t="e">
            <v>#REF!</v>
          </cell>
          <cell r="AS63" t="e">
            <v>#REF!</v>
          </cell>
          <cell r="AU63">
            <v>0</v>
          </cell>
        </row>
        <row r="64">
          <cell r="C64">
            <v>79</v>
          </cell>
          <cell r="D64">
            <v>31</v>
          </cell>
          <cell r="E64">
            <v>39</v>
          </cell>
          <cell r="M64">
            <v>-288</v>
          </cell>
          <cell r="O64">
            <v>288</v>
          </cell>
          <cell r="P64">
            <v>-1454</v>
          </cell>
          <cell r="Q64">
            <v>0</v>
          </cell>
          <cell r="R64">
            <v>288</v>
          </cell>
          <cell r="S64">
            <v>1266.5</v>
          </cell>
          <cell r="T64">
            <v>974</v>
          </cell>
          <cell r="U64">
            <v>619</v>
          </cell>
          <cell r="X64">
            <v>1134.5</v>
          </cell>
          <cell r="Y64">
            <v>980</v>
          </cell>
          <cell r="Z64">
            <v>709</v>
          </cell>
          <cell r="AC64">
            <v>468</v>
          </cell>
          <cell r="AD64">
            <v>468</v>
          </cell>
          <cell r="AE64">
            <v>0</v>
          </cell>
          <cell r="AF64">
            <v>1565</v>
          </cell>
          <cell r="AG64">
            <v>1139</v>
          </cell>
          <cell r="AH64">
            <v>426</v>
          </cell>
          <cell r="AI64">
            <v>1097</v>
          </cell>
          <cell r="AJ64">
            <v>0</v>
          </cell>
          <cell r="AK64">
            <v>0</v>
          </cell>
          <cell r="AM64">
            <v>0</v>
          </cell>
          <cell r="AO64">
            <v>1191</v>
          </cell>
          <cell r="AR64" t="e">
            <v>#REF!</v>
          </cell>
          <cell r="AS64" t="e">
            <v>#REF!</v>
          </cell>
        </row>
        <row r="65">
          <cell r="C65">
            <v>794</v>
          </cell>
          <cell r="D65">
            <v>289</v>
          </cell>
          <cell r="E65">
            <v>505</v>
          </cell>
          <cell r="M65">
            <v>2031.6</v>
          </cell>
          <cell r="O65">
            <v>-2031.6</v>
          </cell>
          <cell r="P65">
            <v>4808.75</v>
          </cell>
          <cell r="Q65">
            <v>324</v>
          </cell>
          <cell r="R65">
            <v>-2031.6</v>
          </cell>
          <cell r="S65">
            <v>5359.15</v>
          </cell>
          <cell r="T65">
            <v>3460</v>
          </cell>
          <cell r="U65">
            <v>1899.1499999999999</v>
          </cell>
          <cell r="W65">
            <v>433</v>
          </cell>
          <cell r="X65">
            <v>2915.7</v>
          </cell>
          <cell r="Y65">
            <v>1724</v>
          </cell>
          <cell r="Z65">
            <v>1191.7</v>
          </cell>
          <cell r="AC65">
            <v>2724</v>
          </cell>
          <cell r="AD65">
            <v>2651</v>
          </cell>
          <cell r="AE65">
            <v>73</v>
          </cell>
          <cell r="AF65">
            <v>1023</v>
          </cell>
          <cell r="AG65">
            <v>938</v>
          </cell>
          <cell r="AH65">
            <v>85</v>
          </cell>
          <cell r="AI65">
            <v>-1701</v>
          </cell>
          <cell r="AJ65">
            <v>307</v>
          </cell>
          <cell r="AO65">
            <v>18448.2</v>
          </cell>
          <cell r="AP65">
            <v>7477.6</v>
          </cell>
          <cell r="AQ65">
            <v>10970.6</v>
          </cell>
          <cell r="AR65" t="e">
            <v>#REF!</v>
          </cell>
          <cell r="AS65" t="e">
            <v>#REF!</v>
          </cell>
          <cell r="AT65">
            <v>5184</v>
          </cell>
          <cell r="AU65">
            <v>4726</v>
          </cell>
          <cell r="AV65">
            <v>2293.6000000000004</v>
          </cell>
          <cell r="AW65">
            <v>6244.6</v>
          </cell>
        </row>
        <row r="66">
          <cell r="C66">
            <v>0</v>
          </cell>
          <cell r="D66">
            <v>0</v>
          </cell>
          <cell r="E66">
            <v>0</v>
          </cell>
          <cell r="M66">
            <v>244.33333333333331</v>
          </cell>
          <cell r="O66">
            <v>-244.33333333333331</v>
          </cell>
          <cell r="P66">
            <v>1277.818181818182</v>
          </cell>
          <cell r="Q66">
            <v>440</v>
          </cell>
          <cell r="R66">
            <v>-244.33333333333331</v>
          </cell>
          <cell r="S66">
            <v>681.27272727272725</v>
          </cell>
          <cell r="T66">
            <v>420</v>
          </cell>
          <cell r="U66">
            <v>261.27272727272725</v>
          </cell>
          <cell r="W66">
            <v>272</v>
          </cell>
          <cell r="X66">
            <v>448</v>
          </cell>
          <cell r="Y66">
            <v>266</v>
          </cell>
          <cell r="Z66">
            <v>182</v>
          </cell>
          <cell r="AC66">
            <v>560</v>
          </cell>
          <cell r="AD66">
            <v>560</v>
          </cell>
          <cell r="AE66">
            <v>0</v>
          </cell>
          <cell r="AF66">
            <v>196.36363636363637</v>
          </cell>
          <cell r="AG66">
            <v>237</v>
          </cell>
          <cell r="AH66">
            <v>-40.636363636363626</v>
          </cell>
          <cell r="AI66">
            <v>-363.63636363636363</v>
          </cell>
          <cell r="AJ66">
            <v>729</v>
          </cell>
          <cell r="AK66">
            <v>1887</v>
          </cell>
          <cell r="AL66">
            <v>345</v>
          </cell>
          <cell r="AM66">
            <v>1039</v>
          </cell>
          <cell r="AN66">
            <v>384</v>
          </cell>
          <cell r="AO66">
            <v>3211.4242424242425</v>
          </cell>
          <cell r="AP66">
            <v>930.33333333333326</v>
          </cell>
          <cell r="AQ66">
            <v>2281.090909090909</v>
          </cell>
          <cell r="AR66" t="e">
            <v>#REF!</v>
          </cell>
          <cell r="AS66" t="e">
            <v>#REF!</v>
          </cell>
        </row>
        <row r="67">
          <cell r="C67">
            <v>0</v>
          </cell>
          <cell r="D67">
            <v>0</v>
          </cell>
          <cell r="E67">
            <v>0</v>
          </cell>
          <cell r="M67">
            <v>14</v>
          </cell>
          <cell r="O67">
            <v>-14</v>
          </cell>
          <cell r="P67">
            <v>70</v>
          </cell>
          <cell r="Q67">
            <v>139.18181818181819</v>
          </cell>
          <cell r="R67">
            <v>-14</v>
          </cell>
          <cell r="S67">
            <v>37</v>
          </cell>
          <cell r="T67">
            <v>23</v>
          </cell>
          <cell r="U67">
            <v>14</v>
          </cell>
          <cell r="W67">
            <v>88</v>
          </cell>
          <cell r="X67">
            <v>24</v>
          </cell>
          <cell r="Y67">
            <v>15</v>
          </cell>
          <cell r="Z67">
            <v>9</v>
          </cell>
          <cell r="AC67">
            <v>30</v>
          </cell>
          <cell r="AD67">
            <v>30</v>
          </cell>
          <cell r="AE67">
            <v>0</v>
          </cell>
          <cell r="AF67">
            <v>11</v>
          </cell>
          <cell r="AG67">
            <v>12</v>
          </cell>
          <cell r="AH67">
            <v>-1</v>
          </cell>
          <cell r="AI67">
            <v>-19</v>
          </cell>
          <cell r="AJ67">
            <v>160</v>
          </cell>
          <cell r="AK67">
            <v>532.90909090909099</v>
          </cell>
          <cell r="AO67">
            <v>175</v>
          </cell>
          <cell r="AP67">
            <v>52</v>
          </cell>
          <cell r="AQ67">
            <v>123</v>
          </cell>
          <cell r="AR67" t="e">
            <v>#REF!</v>
          </cell>
          <cell r="AS67" t="e">
            <v>#REF!</v>
          </cell>
        </row>
        <row r="68">
          <cell r="C68">
            <v>0</v>
          </cell>
          <cell r="D68">
            <v>0</v>
          </cell>
          <cell r="E68">
            <v>0</v>
          </cell>
          <cell r="M68">
            <v>79</v>
          </cell>
          <cell r="O68">
            <v>-79</v>
          </cell>
          <cell r="P68">
            <v>407</v>
          </cell>
          <cell r="Q68">
            <v>8</v>
          </cell>
          <cell r="R68">
            <v>-79</v>
          </cell>
          <cell r="S68">
            <v>219</v>
          </cell>
          <cell r="T68">
            <v>135</v>
          </cell>
          <cell r="U68">
            <v>84</v>
          </cell>
          <cell r="W68">
            <v>5</v>
          </cell>
          <cell r="X68">
            <v>146</v>
          </cell>
          <cell r="Y68">
            <v>87</v>
          </cell>
          <cell r="Z68">
            <v>59</v>
          </cell>
          <cell r="AC68">
            <v>180</v>
          </cell>
          <cell r="AD68">
            <v>180</v>
          </cell>
          <cell r="AE68">
            <v>0</v>
          </cell>
          <cell r="AF68">
            <v>63</v>
          </cell>
          <cell r="AG68">
            <v>16</v>
          </cell>
          <cell r="AH68">
            <v>47</v>
          </cell>
          <cell r="AI68">
            <v>-117</v>
          </cell>
          <cell r="AJ68">
            <v>9</v>
          </cell>
          <cell r="AK68">
            <v>30</v>
          </cell>
          <cell r="AO68">
            <v>1031</v>
          </cell>
          <cell r="AP68">
            <v>301</v>
          </cell>
          <cell r="AQ68">
            <v>730</v>
          </cell>
          <cell r="AR68">
            <v>620</v>
          </cell>
          <cell r="AS68">
            <v>-411</v>
          </cell>
        </row>
        <row r="69">
          <cell r="C69">
            <v>0</v>
          </cell>
          <cell r="D69">
            <v>0</v>
          </cell>
          <cell r="E69">
            <v>0</v>
          </cell>
          <cell r="M69">
            <v>0</v>
          </cell>
          <cell r="O69">
            <v>0</v>
          </cell>
          <cell r="P69">
            <v>0</v>
          </cell>
          <cell r="Q69">
            <v>45</v>
          </cell>
          <cell r="R69">
            <v>0</v>
          </cell>
          <cell r="S69">
            <v>0</v>
          </cell>
          <cell r="T69">
            <v>0</v>
          </cell>
          <cell r="U69">
            <v>0</v>
          </cell>
          <cell r="W69">
            <v>28</v>
          </cell>
          <cell r="X69">
            <v>0</v>
          </cell>
          <cell r="Y69">
            <v>0</v>
          </cell>
          <cell r="Z69">
            <v>0</v>
          </cell>
          <cell r="AC69">
            <v>0</v>
          </cell>
          <cell r="AD69">
            <v>0</v>
          </cell>
          <cell r="AE69">
            <v>0</v>
          </cell>
          <cell r="AH69">
            <v>0</v>
          </cell>
          <cell r="AI69">
            <v>0</v>
          </cell>
          <cell r="AJ69">
            <v>51</v>
          </cell>
          <cell r="AK69">
            <v>172</v>
          </cell>
          <cell r="AO69">
            <v>0</v>
          </cell>
          <cell r="AP69">
            <v>0</v>
          </cell>
          <cell r="AQ69">
            <v>0</v>
          </cell>
          <cell r="AR69" t="e">
            <v>#REF!</v>
          </cell>
          <cell r="AS69" t="e">
            <v>#REF!</v>
          </cell>
        </row>
        <row r="70">
          <cell r="C70">
            <v>0</v>
          </cell>
          <cell r="D70">
            <v>0</v>
          </cell>
          <cell r="E70">
            <v>0</v>
          </cell>
          <cell r="M70">
            <v>654.75</v>
          </cell>
          <cell r="O70">
            <v>-654.75</v>
          </cell>
          <cell r="P70">
            <v>198</v>
          </cell>
          <cell r="Q70">
            <v>0</v>
          </cell>
          <cell r="R70">
            <v>-654.75</v>
          </cell>
          <cell r="S70">
            <v>302</v>
          </cell>
          <cell r="T70">
            <v>0</v>
          </cell>
          <cell r="U70">
            <v>1110</v>
          </cell>
          <cell r="W70">
            <v>0</v>
          </cell>
          <cell r="X70">
            <v>0</v>
          </cell>
          <cell r="Y70">
            <v>0</v>
          </cell>
          <cell r="Z70">
            <v>783</v>
          </cell>
          <cell r="AC70">
            <v>368</v>
          </cell>
          <cell r="AD70">
            <v>415</v>
          </cell>
          <cell r="AE70">
            <v>652</v>
          </cell>
          <cell r="AH70">
            <v>0</v>
          </cell>
          <cell r="AI70">
            <v>-368</v>
          </cell>
          <cell r="AJ70">
            <v>0</v>
          </cell>
          <cell r="AK70">
            <v>0</v>
          </cell>
          <cell r="AO70">
            <v>1569.75</v>
          </cell>
          <cell r="AP70">
            <v>1038.75</v>
          </cell>
          <cell r="AR70" t="e">
            <v>#REF!</v>
          </cell>
          <cell r="AS70" t="e">
            <v>#REF!</v>
          </cell>
        </row>
        <row r="71">
          <cell r="C71">
            <v>0</v>
          </cell>
          <cell r="D71">
            <v>0</v>
          </cell>
          <cell r="E71">
            <v>0</v>
          </cell>
          <cell r="M71">
            <v>0</v>
          </cell>
          <cell r="O71">
            <v>0</v>
          </cell>
          <cell r="P71">
            <v>0</v>
          </cell>
          <cell r="Q71">
            <v>440</v>
          </cell>
          <cell r="R71">
            <v>0</v>
          </cell>
          <cell r="S71">
            <v>0</v>
          </cell>
          <cell r="T71">
            <v>0</v>
          </cell>
          <cell r="U71">
            <v>218</v>
          </cell>
          <cell r="W71">
            <v>272</v>
          </cell>
          <cell r="X71">
            <v>0</v>
          </cell>
          <cell r="Y71">
            <v>0</v>
          </cell>
          <cell r="Z71">
            <v>148.36363636363637</v>
          </cell>
          <cell r="AC71">
            <v>70</v>
          </cell>
          <cell r="AD71">
            <v>78.363636363636374</v>
          </cell>
          <cell r="AE71">
            <v>199.27272727272728</v>
          </cell>
          <cell r="AH71">
            <v>0</v>
          </cell>
          <cell r="AI71">
            <v>-70</v>
          </cell>
          <cell r="AJ71">
            <v>729</v>
          </cell>
          <cell r="AK71">
            <v>1887</v>
          </cell>
          <cell r="AO71">
            <v>78.363636363636374</v>
          </cell>
          <cell r="AP71">
            <v>0</v>
          </cell>
          <cell r="AR71" t="e">
            <v>#REF!</v>
          </cell>
          <cell r="AS71" t="e">
            <v>#REF!</v>
          </cell>
        </row>
        <row r="72">
          <cell r="C72">
            <v>6870.4</v>
          </cell>
          <cell r="D72">
            <v>2955</v>
          </cell>
          <cell r="E72">
            <v>3915.4</v>
          </cell>
          <cell r="M72">
            <v>282.55</v>
          </cell>
          <cell r="O72">
            <v>-282.55</v>
          </cell>
          <cell r="P72">
            <v>922.5916666666667</v>
          </cell>
          <cell r="Q72">
            <v>0</v>
          </cell>
          <cell r="R72">
            <v>-282.55</v>
          </cell>
          <cell r="S72">
            <v>275.45</v>
          </cell>
          <cell r="T72">
            <v>171</v>
          </cell>
          <cell r="U72">
            <v>104.45</v>
          </cell>
          <cell r="X72">
            <v>233.8</v>
          </cell>
          <cell r="Y72">
            <v>136</v>
          </cell>
          <cell r="Z72">
            <v>97.800000000000011</v>
          </cell>
          <cell r="AC72">
            <v>646.04999999999995</v>
          </cell>
          <cell r="AD72">
            <v>521.8900000000001</v>
          </cell>
          <cell r="AE72">
            <v>124.15999999999997</v>
          </cell>
          <cell r="AF72">
            <v>423</v>
          </cell>
          <cell r="AG72">
            <v>173</v>
          </cell>
          <cell r="AH72">
            <v>250</v>
          </cell>
          <cell r="AI72">
            <v>-223.04999999999995</v>
          </cell>
          <cell r="AJ72">
            <v>0</v>
          </cell>
          <cell r="AK72">
            <v>0</v>
          </cell>
          <cell r="AM72">
            <v>0</v>
          </cell>
          <cell r="AO72">
            <v>10548.681666666665</v>
          </cell>
          <cell r="AP72" t="e">
            <v>#REF!</v>
          </cell>
          <cell r="AQ72" t="e">
            <v>#REF!</v>
          </cell>
          <cell r="AR72" t="e">
            <v>#REF!</v>
          </cell>
          <cell r="AS72" t="e">
            <v>#REF!</v>
          </cell>
          <cell r="AT72">
            <v>307</v>
          </cell>
          <cell r="AU72">
            <v>516</v>
          </cell>
          <cell r="AV72">
            <v>3517.05</v>
          </cell>
          <cell r="AW72" t="e">
            <v>#REF!</v>
          </cell>
        </row>
        <row r="73">
          <cell r="C73">
            <v>348</v>
          </cell>
          <cell r="D73">
            <v>131</v>
          </cell>
          <cell r="E73">
            <v>217</v>
          </cell>
          <cell r="M73">
            <v>0</v>
          </cell>
          <cell r="O73">
            <v>0</v>
          </cell>
          <cell r="P73">
            <v>0</v>
          </cell>
          <cell r="Q73">
            <v>80.099999999999994</v>
          </cell>
          <cell r="R73">
            <v>0</v>
          </cell>
          <cell r="S73">
            <v>0</v>
          </cell>
          <cell r="T73">
            <v>0</v>
          </cell>
          <cell r="U73">
            <v>0</v>
          </cell>
          <cell r="W73">
            <v>225</v>
          </cell>
          <cell r="X73">
            <v>0</v>
          </cell>
          <cell r="Y73">
            <v>0</v>
          </cell>
          <cell r="Z73">
            <v>0</v>
          </cell>
          <cell r="AC73">
            <v>0</v>
          </cell>
          <cell r="AD73">
            <v>0</v>
          </cell>
          <cell r="AE73">
            <v>0</v>
          </cell>
          <cell r="AG73">
            <v>0</v>
          </cell>
          <cell r="AH73">
            <v>0</v>
          </cell>
          <cell r="AI73">
            <v>0</v>
          </cell>
          <cell r="AJ73">
            <v>832</v>
          </cell>
          <cell r="AK73">
            <v>2254.8666666666663</v>
          </cell>
          <cell r="AL73">
            <v>65</v>
          </cell>
          <cell r="AM73">
            <v>234</v>
          </cell>
          <cell r="AN73">
            <v>767</v>
          </cell>
          <cell r="AO73">
            <v>348</v>
          </cell>
          <cell r="AP73">
            <v>131</v>
          </cell>
          <cell r="AQ73">
            <v>217</v>
          </cell>
          <cell r="AR73" t="e">
            <v>#REF!</v>
          </cell>
          <cell r="AS73" t="e">
            <v>#REF!</v>
          </cell>
          <cell r="AT73">
            <v>0</v>
          </cell>
          <cell r="AU73">
            <v>0</v>
          </cell>
          <cell r="AV73">
            <v>131</v>
          </cell>
          <cell r="AW73">
            <v>217</v>
          </cell>
        </row>
        <row r="74">
          <cell r="C74">
            <v>6522.4</v>
          </cell>
          <cell r="D74">
            <v>2432</v>
          </cell>
          <cell r="E74">
            <v>4090.4</v>
          </cell>
          <cell r="M74">
            <v>282.55</v>
          </cell>
          <cell r="O74">
            <v>-282.55</v>
          </cell>
          <cell r="P74">
            <v>922.5916666666667</v>
          </cell>
          <cell r="Q74">
            <v>0</v>
          </cell>
          <cell r="R74">
            <v>-282.55</v>
          </cell>
          <cell r="S74">
            <v>275.45</v>
          </cell>
          <cell r="T74">
            <v>171</v>
          </cell>
          <cell r="U74">
            <v>104.45</v>
          </cell>
          <cell r="X74">
            <v>233.8</v>
          </cell>
          <cell r="Y74">
            <v>136</v>
          </cell>
          <cell r="Z74">
            <v>97.800000000000011</v>
          </cell>
          <cell r="AC74">
            <v>646.04999999999995</v>
          </cell>
          <cell r="AD74">
            <v>521.29</v>
          </cell>
          <cell r="AE74">
            <v>124.75999999999996</v>
          </cell>
          <cell r="AF74">
            <v>423</v>
          </cell>
          <cell r="AG74">
            <v>173</v>
          </cell>
          <cell r="AH74">
            <v>250</v>
          </cell>
          <cell r="AI74">
            <v>-223.04999999999995</v>
          </cell>
          <cell r="AJ74">
            <v>22</v>
          </cell>
          <cell r="AK74">
            <v>83</v>
          </cell>
          <cell r="AL74">
            <v>0</v>
          </cell>
          <cell r="AM74">
            <v>0</v>
          </cell>
          <cell r="AN74">
            <v>22</v>
          </cell>
          <cell r="AO74">
            <v>10200.081666666665</v>
          </cell>
          <cell r="AP74">
            <v>3693.05</v>
          </cell>
          <cell r="AQ74">
            <v>6507.0316666666649</v>
          </cell>
          <cell r="AR74" t="e">
            <v>#REF!</v>
          </cell>
          <cell r="AS74" t="e">
            <v>#REF!</v>
          </cell>
          <cell r="AT74">
            <v>307</v>
          </cell>
          <cell r="AU74">
            <v>516</v>
          </cell>
          <cell r="AV74">
            <v>3386.05</v>
          </cell>
          <cell r="AW74">
            <v>5991.0316666666649</v>
          </cell>
        </row>
        <row r="75">
          <cell r="C75">
            <v>1873</v>
          </cell>
          <cell r="D75">
            <v>676</v>
          </cell>
          <cell r="E75">
            <v>1197</v>
          </cell>
          <cell r="M75">
            <v>195.75</v>
          </cell>
          <cell r="O75">
            <v>-195.75</v>
          </cell>
          <cell r="P75">
            <v>434.15</v>
          </cell>
          <cell r="Q75">
            <v>80.099999999999994</v>
          </cell>
          <cell r="R75">
            <v>-195.75</v>
          </cell>
          <cell r="S75">
            <v>151</v>
          </cell>
          <cell r="T75">
            <v>96</v>
          </cell>
          <cell r="U75">
            <v>55</v>
          </cell>
          <cell r="W75">
            <v>225</v>
          </cell>
          <cell r="X75">
            <v>104.65</v>
          </cell>
          <cell r="Y75">
            <v>105</v>
          </cell>
          <cell r="Z75">
            <v>-0.35000000000000142</v>
          </cell>
          <cell r="AC75">
            <v>401.85</v>
          </cell>
          <cell r="AD75">
            <v>365.2</v>
          </cell>
          <cell r="AE75">
            <v>36.649999999999991</v>
          </cell>
          <cell r="AG75">
            <v>0</v>
          </cell>
          <cell r="AH75">
            <v>2981.8666666666663</v>
          </cell>
          <cell r="AI75">
            <v>-401.85</v>
          </cell>
          <cell r="AJ75">
            <v>810</v>
          </cell>
          <cell r="AK75">
            <v>2171.8666666666663</v>
          </cell>
          <cell r="AL75">
            <v>65</v>
          </cell>
          <cell r="AM75">
            <v>234</v>
          </cell>
          <cell r="AN75">
            <v>745</v>
          </cell>
          <cell r="AO75">
            <v>3308.75</v>
          </cell>
          <cell r="AP75">
            <v>1236.75</v>
          </cell>
          <cell r="AQ75">
            <v>2072</v>
          </cell>
          <cell r="AR75" t="e">
            <v>#REF!</v>
          </cell>
          <cell r="AS75" t="e">
            <v>#REF!</v>
          </cell>
          <cell r="AW75">
            <v>2072</v>
          </cell>
        </row>
        <row r="76">
          <cell r="C76">
            <v>33</v>
          </cell>
          <cell r="D76">
            <v>15</v>
          </cell>
          <cell r="E76">
            <v>18</v>
          </cell>
          <cell r="M76">
            <v>0</v>
          </cell>
          <cell r="O76">
            <v>0</v>
          </cell>
          <cell r="P76">
            <v>0</v>
          </cell>
          <cell r="Q76">
            <v>51</v>
          </cell>
          <cell r="R76">
            <v>0</v>
          </cell>
          <cell r="S76">
            <v>0</v>
          </cell>
          <cell r="T76">
            <v>0</v>
          </cell>
          <cell r="U76">
            <v>0</v>
          </cell>
          <cell r="W76">
            <v>163</v>
          </cell>
          <cell r="X76">
            <v>0</v>
          </cell>
          <cell r="Y76">
            <v>0</v>
          </cell>
          <cell r="Z76">
            <v>0</v>
          </cell>
          <cell r="AC76">
            <v>0</v>
          </cell>
          <cell r="AD76">
            <v>0</v>
          </cell>
          <cell r="AE76">
            <v>0</v>
          </cell>
          <cell r="AH76">
            <v>1230</v>
          </cell>
          <cell r="AI76">
            <v>0</v>
          </cell>
          <cell r="AJ76">
            <v>295</v>
          </cell>
          <cell r="AK76">
            <v>935</v>
          </cell>
          <cell r="AO76">
            <v>1051</v>
          </cell>
          <cell r="AP76">
            <v>512</v>
          </cell>
          <cell r="AQ76">
            <v>539</v>
          </cell>
          <cell r="AR76" t="e">
            <v>#REF!</v>
          </cell>
          <cell r="AS76" t="e">
            <v>#REF!</v>
          </cell>
          <cell r="AW76">
            <v>539</v>
          </cell>
        </row>
        <row r="77">
          <cell r="C77">
            <v>1130</v>
          </cell>
          <cell r="D77">
            <v>350</v>
          </cell>
          <cell r="E77">
            <v>780</v>
          </cell>
          <cell r="M77">
            <v>24.75</v>
          </cell>
          <cell r="P77">
            <v>334.66666666666669</v>
          </cell>
          <cell r="Q77">
            <v>0</v>
          </cell>
          <cell r="S77">
            <v>53.199999999999996</v>
          </cell>
          <cell r="T77">
            <v>0</v>
          </cell>
          <cell r="U77">
            <v>0</v>
          </cell>
          <cell r="X77">
            <v>37.950000000000003</v>
          </cell>
          <cell r="Y77">
            <v>0</v>
          </cell>
          <cell r="Z77">
            <v>0</v>
          </cell>
          <cell r="AC77">
            <v>130.15</v>
          </cell>
          <cell r="AD77">
            <v>78.09</v>
          </cell>
          <cell r="AE77">
            <v>52.06</v>
          </cell>
          <cell r="AH77">
            <v>363.66666666666663</v>
          </cell>
          <cell r="AJ77">
            <v>158</v>
          </cell>
          <cell r="AK77">
            <v>205.66666666666663</v>
          </cell>
          <cell r="AO77">
            <v>205.66666666666663</v>
          </cell>
        </row>
        <row r="78">
          <cell r="C78">
            <v>2086</v>
          </cell>
          <cell r="D78">
            <v>775</v>
          </cell>
          <cell r="E78">
            <v>1311</v>
          </cell>
          <cell r="M78">
            <v>62.05</v>
          </cell>
          <cell r="O78">
            <v>12</v>
          </cell>
          <cell r="P78">
            <v>153.77500000000001</v>
          </cell>
          <cell r="Q78">
            <v>8</v>
          </cell>
          <cell r="S78">
            <v>71.25</v>
          </cell>
          <cell r="T78">
            <v>0</v>
          </cell>
          <cell r="U78">
            <v>0</v>
          </cell>
          <cell r="W78">
            <v>12</v>
          </cell>
          <cell r="X78">
            <v>91.2</v>
          </cell>
          <cell r="Y78">
            <v>0</v>
          </cell>
          <cell r="Z78">
            <v>0</v>
          </cell>
          <cell r="AC78">
            <v>113.05000000000001</v>
          </cell>
          <cell r="AD78">
            <v>78</v>
          </cell>
          <cell r="AE78">
            <v>35.050000000000004</v>
          </cell>
          <cell r="AH78">
            <v>540.20000000000005</v>
          </cell>
          <cell r="AJ78">
            <v>123</v>
          </cell>
          <cell r="AK78">
            <v>417.20000000000005</v>
          </cell>
        </row>
        <row r="79">
          <cell r="C79">
            <v>610</v>
          </cell>
          <cell r="D79">
            <v>130</v>
          </cell>
          <cell r="E79">
            <v>480</v>
          </cell>
          <cell r="O79">
            <v>0</v>
          </cell>
          <cell r="P79">
            <v>9</v>
          </cell>
          <cell r="Q79">
            <v>19</v>
          </cell>
          <cell r="R79">
            <v>0</v>
          </cell>
          <cell r="S79">
            <v>32</v>
          </cell>
          <cell r="T79">
            <v>10</v>
          </cell>
          <cell r="U79">
            <v>22</v>
          </cell>
          <cell r="W79">
            <v>50</v>
          </cell>
          <cell r="X79">
            <v>30</v>
          </cell>
          <cell r="Y79">
            <v>20</v>
          </cell>
          <cell r="AH79">
            <v>848</v>
          </cell>
          <cell r="AI79">
            <v>0</v>
          </cell>
          <cell r="AO79">
            <v>0</v>
          </cell>
          <cell r="AP79">
            <v>0</v>
          </cell>
          <cell r="AR79" t="e">
            <v>#REF!</v>
          </cell>
          <cell r="AS79" t="e">
            <v>#REF!</v>
          </cell>
        </row>
        <row r="80">
          <cell r="C80">
            <v>11860.5</v>
          </cell>
          <cell r="D80">
            <v>4776</v>
          </cell>
          <cell r="E80">
            <v>7084.5</v>
          </cell>
          <cell r="M80">
            <v>7173.7066666666669</v>
          </cell>
          <cell r="N80">
            <v>0</v>
          </cell>
          <cell r="O80">
            <v>-7173.7066666666669</v>
          </cell>
          <cell r="P80">
            <v>33545.397121212118</v>
          </cell>
          <cell r="Q80">
            <v>0</v>
          </cell>
          <cell r="R80">
            <v>-7173.7066666666669</v>
          </cell>
          <cell r="S80">
            <v>51006.210606060602</v>
          </cell>
          <cell r="T80">
            <v>31042</v>
          </cell>
          <cell r="U80">
            <v>19964.210606060606</v>
          </cell>
          <cell r="W80">
            <v>0</v>
          </cell>
          <cell r="X80">
            <v>41163.24</v>
          </cell>
          <cell r="Y80">
            <v>24071</v>
          </cell>
          <cell r="Z80">
            <v>17092.240000000002</v>
          </cell>
          <cell r="AC80">
            <v>13065.94</v>
          </cell>
          <cell r="AD80">
            <v>10510.14</v>
          </cell>
          <cell r="AE80">
            <v>2556.8000000000002</v>
          </cell>
          <cell r="AF80">
            <v>9048</v>
          </cell>
          <cell r="AG80">
            <v>6481</v>
          </cell>
          <cell r="AH80">
            <v>2567</v>
          </cell>
          <cell r="AI80">
            <v>-4017.9400000000005</v>
          </cell>
          <cell r="AK80">
            <v>0</v>
          </cell>
          <cell r="AM80">
            <v>37</v>
          </cell>
          <cell r="AO80">
            <v>158068.1943939394</v>
          </cell>
          <cell r="AP80" t="e">
            <v>#REF!</v>
          </cell>
          <cell r="AQ80" t="e">
            <v>#REF!</v>
          </cell>
          <cell r="AR80" t="e">
            <v>#REF!</v>
          </cell>
          <cell r="AS80" t="e">
            <v>#REF!</v>
          </cell>
          <cell r="AT80">
            <v>54780</v>
          </cell>
          <cell r="AU80">
            <v>57859</v>
          </cell>
          <cell r="AV80">
            <v>12252.206666666669</v>
          </cell>
          <cell r="AW80" t="e">
            <v>#REF!</v>
          </cell>
        </row>
        <row r="81">
          <cell r="C81">
            <v>11512.5</v>
          </cell>
          <cell r="D81">
            <v>4645</v>
          </cell>
          <cell r="E81">
            <v>6867.5</v>
          </cell>
          <cell r="M81">
            <v>7173.7066666666669</v>
          </cell>
          <cell r="O81">
            <v>-7173.7066666666669</v>
          </cell>
          <cell r="P81">
            <v>33545.397121212118</v>
          </cell>
          <cell r="Q81">
            <v>2.1</v>
          </cell>
          <cell r="R81">
            <v>-7173.7066666666669</v>
          </cell>
          <cell r="S81">
            <v>51006.210606060602</v>
          </cell>
          <cell r="T81">
            <v>31042</v>
          </cell>
          <cell r="U81">
            <v>19964.210606060606</v>
          </cell>
          <cell r="W81">
            <v>4.8</v>
          </cell>
          <cell r="X81">
            <v>41163.24</v>
          </cell>
          <cell r="Y81">
            <v>24071</v>
          </cell>
          <cell r="Z81">
            <v>17092.240000000002</v>
          </cell>
          <cell r="AC81">
            <v>13065.94</v>
          </cell>
          <cell r="AD81">
            <v>10510.14</v>
          </cell>
          <cell r="AE81">
            <v>2556.8000000000002</v>
          </cell>
          <cell r="AH81">
            <v>35.800000000000004</v>
          </cell>
          <cell r="AI81">
            <v>-13065.94</v>
          </cell>
          <cell r="AJ81">
            <v>10.1</v>
          </cell>
          <cell r="AK81">
            <v>25.700000000000003</v>
          </cell>
          <cell r="AO81">
            <v>69577.194393939397</v>
          </cell>
          <cell r="AP81" t="e">
            <v>#REF!</v>
          </cell>
          <cell r="AQ81" t="e">
            <v>#REF!</v>
          </cell>
          <cell r="AR81" t="e">
            <v>#REF!</v>
          </cell>
          <cell r="AS81" t="e">
            <v>#REF!</v>
          </cell>
          <cell r="AT81">
            <v>11152</v>
          </cell>
          <cell r="AU81">
            <v>12997</v>
          </cell>
          <cell r="AV81">
            <v>12251.206666666669</v>
          </cell>
          <cell r="AW81" t="e">
            <v>#REF!</v>
          </cell>
        </row>
        <row r="82">
          <cell r="C82">
            <v>2717.878787878788</v>
          </cell>
          <cell r="D82">
            <v>558</v>
          </cell>
          <cell r="E82">
            <v>2063.878787878788</v>
          </cell>
          <cell r="M82">
            <v>2987.9609090909089</v>
          </cell>
          <cell r="N82">
            <v>0</v>
          </cell>
          <cell r="O82">
            <v>0</v>
          </cell>
          <cell r="P82">
            <v>9260.9121951219513</v>
          </cell>
          <cell r="Q82">
            <v>0</v>
          </cell>
          <cell r="R82">
            <v>0</v>
          </cell>
          <cell r="S82">
            <v>22358.636363636364</v>
          </cell>
          <cell r="T82">
            <v>8958.4774346793329</v>
          </cell>
          <cell r="U82">
            <v>13401.858928957032</v>
          </cell>
          <cell r="V82">
            <v>0</v>
          </cell>
          <cell r="W82">
            <v>0</v>
          </cell>
          <cell r="X82">
            <v>3165.9636363636364</v>
          </cell>
          <cell r="Y82">
            <v>1188.5818181818181</v>
          </cell>
          <cell r="AA82">
            <v>0</v>
          </cell>
          <cell r="AB82">
            <v>0</v>
          </cell>
          <cell r="AC82">
            <v>0</v>
          </cell>
          <cell r="AF82">
            <v>2287.3636363636365</v>
          </cell>
          <cell r="AG82">
            <v>1984</v>
          </cell>
          <cell r="AH82">
            <v>303.36363636363637</v>
          </cell>
          <cell r="AI82">
            <v>2287.3636363636365</v>
          </cell>
          <cell r="AJ82">
            <v>21747.116902528556</v>
          </cell>
          <cell r="AK82">
            <v>62510.210370198722</v>
          </cell>
          <cell r="AL82">
            <v>18166.389629801284</v>
          </cell>
          <cell r="AM82">
            <v>0</v>
          </cell>
          <cell r="AN82">
            <v>3327.727272727273</v>
          </cell>
          <cell r="AO82">
            <v>13869.303636363637</v>
          </cell>
          <cell r="AR82" t="e">
            <v>#REF!</v>
          </cell>
          <cell r="AS82" t="e">
            <v>#REF!</v>
          </cell>
        </row>
        <row r="83">
          <cell r="C83">
            <v>21504</v>
          </cell>
          <cell r="D83">
            <v>21504</v>
          </cell>
          <cell r="E83">
            <v>0</v>
          </cell>
          <cell r="M83">
            <v>0</v>
          </cell>
          <cell r="O83">
            <v>0</v>
          </cell>
          <cell r="P83">
            <v>0</v>
          </cell>
          <cell r="R83">
            <v>0</v>
          </cell>
          <cell r="S83">
            <v>0</v>
          </cell>
          <cell r="T83">
            <v>0</v>
          </cell>
          <cell r="U83">
            <v>0</v>
          </cell>
          <cell r="X83">
            <v>0</v>
          </cell>
          <cell r="Y83">
            <v>0</v>
          </cell>
          <cell r="Z83">
            <v>0</v>
          </cell>
          <cell r="AC83">
            <v>0</v>
          </cell>
          <cell r="AD83">
            <v>0</v>
          </cell>
          <cell r="AE83">
            <v>0</v>
          </cell>
          <cell r="AH83">
            <v>22387.327272727271</v>
          </cell>
          <cell r="AI83">
            <v>0</v>
          </cell>
          <cell r="AJ83">
            <v>5042.7272727272721</v>
          </cell>
          <cell r="AK83">
            <v>17344.600000000006</v>
          </cell>
          <cell r="AL83">
            <v>1462</v>
          </cell>
          <cell r="AM83">
            <v>5883</v>
          </cell>
          <cell r="AN83">
            <v>3327.727272727273</v>
          </cell>
          <cell r="AO83">
            <v>21504</v>
          </cell>
          <cell r="AP83">
            <v>21504</v>
          </cell>
          <cell r="AQ83">
            <v>0</v>
          </cell>
          <cell r="AR83" t="e">
            <v>#REF!</v>
          </cell>
          <cell r="AS83" t="e">
            <v>#REF!</v>
          </cell>
          <cell r="AT83">
            <v>0</v>
          </cell>
          <cell r="AU83">
            <v>0</v>
          </cell>
          <cell r="AV83">
            <v>0</v>
          </cell>
          <cell r="AW83">
            <v>0</v>
          </cell>
        </row>
        <row r="84">
          <cell r="C84">
            <v>33364.5</v>
          </cell>
          <cell r="D84">
            <v>26280</v>
          </cell>
          <cell r="E84">
            <v>7084.5</v>
          </cell>
          <cell r="M84">
            <v>7173.7066666666669</v>
          </cell>
          <cell r="N84">
            <v>0</v>
          </cell>
          <cell r="O84">
            <v>-7173.7066666666669</v>
          </cell>
          <cell r="P84">
            <v>33545.397121212118</v>
          </cell>
          <cell r="Q84">
            <v>0</v>
          </cell>
          <cell r="R84">
            <v>-7173.7066666666669</v>
          </cell>
          <cell r="S84">
            <v>51006.210606060602</v>
          </cell>
          <cell r="T84">
            <v>31042</v>
          </cell>
          <cell r="U84">
            <v>19964.210606060606</v>
          </cell>
          <cell r="W84">
            <v>0</v>
          </cell>
          <cell r="X84">
            <v>41163.24</v>
          </cell>
          <cell r="Y84">
            <v>24071</v>
          </cell>
          <cell r="Z84">
            <v>17092.240000000002</v>
          </cell>
          <cell r="AC84">
            <v>13065.94</v>
          </cell>
          <cell r="AD84">
            <v>10510.14</v>
          </cell>
          <cell r="AE84">
            <v>2556.8000000000002</v>
          </cell>
          <cell r="AF84">
            <v>9048</v>
          </cell>
          <cell r="AG84">
            <v>6481</v>
          </cell>
          <cell r="AH84">
            <v>2567</v>
          </cell>
          <cell r="AI84">
            <v>-4017.9400000000005</v>
          </cell>
          <cell r="AK84">
            <v>0</v>
          </cell>
          <cell r="AM84">
            <v>37</v>
          </cell>
          <cell r="AO84">
            <v>179572.1943939394</v>
          </cell>
          <cell r="AP84" t="e">
            <v>#REF!</v>
          </cell>
          <cell r="AQ84" t="e">
            <v>#REF!</v>
          </cell>
          <cell r="AR84" t="e">
            <v>#REF!</v>
          </cell>
          <cell r="AS84" t="e">
            <v>#REF!</v>
          </cell>
          <cell r="AT84">
            <v>54780</v>
          </cell>
          <cell r="AU84">
            <v>57859</v>
          </cell>
          <cell r="AV84">
            <v>12252.206666666669</v>
          </cell>
          <cell r="AW84" t="e">
            <v>#REF!</v>
          </cell>
        </row>
        <row r="85">
          <cell r="C85">
            <v>0</v>
          </cell>
          <cell r="D85">
            <v>0</v>
          </cell>
          <cell r="E85">
            <v>0</v>
          </cell>
          <cell r="M85">
            <v>0</v>
          </cell>
          <cell r="O85">
            <v>0</v>
          </cell>
          <cell r="P85">
            <v>0</v>
          </cell>
          <cell r="R85">
            <v>0</v>
          </cell>
          <cell r="S85">
            <v>0</v>
          </cell>
          <cell r="T85">
            <v>0</v>
          </cell>
          <cell r="U85">
            <v>0</v>
          </cell>
          <cell r="X85">
            <v>0</v>
          </cell>
          <cell r="Y85">
            <v>0</v>
          </cell>
          <cell r="Z85">
            <v>0</v>
          </cell>
          <cell r="AC85">
            <v>190</v>
          </cell>
          <cell r="AD85">
            <v>212.7</v>
          </cell>
          <cell r="AE85">
            <v>0</v>
          </cell>
          <cell r="AH85">
            <v>0</v>
          </cell>
          <cell r="AI85">
            <v>-190</v>
          </cell>
          <cell r="AJ85">
            <v>11292</v>
          </cell>
          <cell r="AK85">
            <v>0</v>
          </cell>
          <cell r="AL85">
            <v>0</v>
          </cell>
          <cell r="AM85">
            <v>0</v>
          </cell>
          <cell r="AN85">
            <v>0</v>
          </cell>
          <cell r="AO85">
            <v>211.7</v>
          </cell>
          <cell r="AP85">
            <v>0</v>
          </cell>
          <cell r="AQ85">
            <v>211.7</v>
          </cell>
          <cell r="AR85" t="e">
            <v>#REF!</v>
          </cell>
          <cell r="AS85" t="e">
            <v>#REF!</v>
          </cell>
          <cell r="AT85">
            <v>0</v>
          </cell>
          <cell r="AU85">
            <v>0</v>
          </cell>
          <cell r="AV85">
            <v>0</v>
          </cell>
          <cell r="AW85">
            <v>211.7</v>
          </cell>
        </row>
        <row r="86">
          <cell r="C86">
            <v>1551</v>
          </cell>
          <cell r="D86">
            <v>1089</v>
          </cell>
          <cell r="E86">
            <v>462</v>
          </cell>
          <cell r="M86">
            <v>0</v>
          </cell>
          <cell r="N86">
            <v>0</v>
          </cell>
          <cell r="O86">
            <v>0</v>
          </cell>
          <cell r="P86">
            <v>0</v>
          </cell>
          <cell r="Q86">
            <v>16099.915077605321</v>
          </cell>
          <cell r="R86">
            <v>0</v>
          </cell>
          <cell r="S86">
            <v>0</v>
          </cell>
          <cell r="T86">
            <v>0</v>
          </cell>
          <cell r="U86">
            <v>0</v>
          </cell>
          <cell r="V86">
            <v>0</v>
          </cell>
          <cell r="W86">
            <v>4354.545454545454</v>
          </cell>
          <cell r="X86">
            <v>0</v>
          </cell>
          <cell r="Y86">
            <v>0</v>
          </cell>
          <cell r="Z86">
            <v>0</v>
          </cell>
          <cell r="AA86">
            <v>0</v>
          </cell>
          <cell r="AB86">
            <v>0</v>
          </cell>
          <cell r="AC86">
            <v>0</v>
          </cell>
          <cell r="AD86">
            <v>0</v>
          </cell>
          <cell r="AE86">
            <v>0</v>
          </cell>
          <cell r="AG86">
            <v>0</v>
          </cell>
          <cell r="AH86">
            <v>0</v>
          </cell>
          <cell r="AI86">
            <v>0</v>
          </cell>
          <cell r="AJ86">
            <v>33039.116902528556</v>
          </cell>
          <cell r="AK86">
            <v>62510.210370198722</v>
          </cell>
          <cell r="AL86">
            <v>18166.389629801284</v>
          </cell>
          <cell r="AM86">
            <v>51049</v>
          </cell>
          <cell r="AN86">
            <v>3327.727272727273</v>
          </cell>
          <cell r="AO86">
            <v>1551</v>
          </cell>
          <cell r="AP86">
            <v>1089</v>
          </cell>
          <cell r="AQ86">
            <v>462</v>
          </cell>
          <cell r="AR86" t="e">
            <v>#REF!</v>
          </cell>
          <cell r="AS86" t="e">
            <v>#REF!</v>
          </cell>
          <cell r="AT86">
            <v>0</v>
          </cell>
          <cell r="AU86">
            <v>0</v>
          </cell>
          <cell r="AV86">
            <v>1089</v>
          </cell>
          <cell r="AW86">
            <v>462</v>
          </cell>
        </row>
        <row r="87">
          <cell r="C87">
            <v>794</v>
          </cell>
          <cell r="D87">
            <v>323.16775798446338</v>
          </cell>
          <cell r="E87">
            <v>470.83224201553662</v>
          </cell>
          <cell r="M87">
            <v>0</v>
          </cell>
          <cell r="O87">
            <v>0</v>
          </cell>
          <cell r="P87">
            <v>0</v>
          </cell>
          <cell r="R87">
            <v>0</v>
          </cell>
          <cell r="S87">
            <v>0</v>
          </cell>
          <cell r="T87">
            <v>0</v>
          </cell>
          <cell r="U87">
            <v>0</v>
          </cell>
          <cell r="X87">
            <v>0</v>
          </cell>
          <cell r="Y87">
            <v>0</v>
          </cell>
          <cell r="Z87">
            <v>0</v>
          </cell>
          <cell r="AC87">
            <v>0</v>
          </cell>
          <cell r="AD87">
            <v>0</v>
          </cell>
          <cell r="AE87">
            <v>0</v>
          </cell>
          <cell r="AH87">
            <v>0</v>
          </cell>
          <cell r="AI87">
            <v>0</v>
          </cell>
          <cell r="AL87">
            <v>0</v>
          </cell>
          <cell r="AM87">
            <v>0</v>
          </cell>
          <cell r="AN87">
            <v>0</v>
          </cell>
          <cell r="AO87">
            <v>793</v>
          </cell>
          <cell r="AP87">
            <v>323.16775798446338</v>
          </cell>
          <cell r="AQ87">
            <v>469.83224201553662</v>
          </cell>
          <cell r="AR87" t="e">
            <v>#REF!</v>
          </cell>
          <cell r="AS87" t="e">
            <v>#REF!</v>
          </cell>
          <cell r="AT87">
            <v>0</v>
          </cell>
          <cell r="AU87">
            <v>0</v>
          </cell>
          <cell r="AV87">
            <v>323.16775798446338</v>
          </cell>
          <cell r="AW87">
            <v>469.83224201553662</v>
          </cell>
        </row>
        <row r="88">
          <cell r="C88">
            <v>49</v>
          </cell>
          <cell r="D88">
            <v>24.548513572396324</v>
          </cell>
          <cell r="E88">
            <v>24.451486427603676</v>
          </cell>
          <cell r="M88">
            <v>68.333333333333329</v>
          </cell>
          <cell r="N88">
            <v>51</v>
          </cell>
          <cell r="O88">
            <v>-17.333333333333329</v>
          </cell>
          <cell r="P88">
            <v>81</v>
          </cell>
          <cell r="R88">
            <v>-68.333333333333329</v>
          </cell>
          <cell r="S88">
            <v>228.66666666666666</v>
          </cell>
          <cell r="T88">
            <v>156</v>
          </cell>
          <cell r="U88">
            <v>72.666666666666657</v>
          </cell>
          <cell r="X88">
            <v>315.33333333333331</v>
          </cell>
          <cell r="Y88">
            <v>215</v>
          </cell>
          <cell r="Z88">
            <v>100.33333333333333</v>
          </cell>
          <cell r="AC88">
            <v>82.666666666666657</v>
          </cell>
          <cell r="AD88">
            <v>38</v>
          </cell>
          <cell r="AE88">
            <v>0</v>
          </cell>
          <cell r="AF88">
            <v>21</v>
          </cell>
          <cell r="AG88">
            <v>15</v>
          </cell>
          <cell r="AH88">
            <v>6</v>
          </cell>
          <cell r="AI88">
            <v>-61.666666666666657</v>
          </cell>
          <cell r="AJ88">
            <v>462</v>
          </cell>
          <cell r="AK88">
            <v>560</v>
          </cell>
          <cell r="AL88">
            <v>0</v>
          </cell>
          <cell r="AM88">
            <v>0</v>
          </cell>
          <cell r="AN88">
            <v>462</v>
          </cell>
          <cell r="AO88">
            <v>685.33333333333326</v>
          </cell>
          <cell r="AP88">
            <v>394.88184690572962</v>
          </cell>
          <cell r="AQ88">
            <v>290.45148642760364</v>
          </cell>
          <cell r="AR88" t="e">
            <v>#REF!</v>
          </cell>
          <cell r="AS88" t="e">
            <v>#REF!</v>
          </cell>
          <cell r="AT88">
            <v>371</v>
          </cell>
          <cell r="AU88">
            <v>195</v>
          </cell>
          <cell r="AV88">
            <v>23.881846905729617</v>
          </cell>
          <cell r="AW88">
            <v>95.451486427603641</v>
          </cell>
        </row>
        <row r="89">
          <cell r="C89">
            <v>35758.5</v>
          </cell>
          <cell r="D89">
            <v>27716.716271556859</v>
          </cell>
          <cell r="E89">
            <v>8041.7837284431398</v>
          </cell>
          <cell r="M89">
            <v>7242.0400000000009</v>
          </cell>
          <cell r="N89">
            <v>51</v>
          </cell>
          <cell r="O89">
            <v>-7191.0400000000009</v>
          </cell>
          <cell r="P89">
            <v>33626.397121212118</v>
          </cell>
          <cell r="Q89">
            <v>0</v>
          </cell>
          <cell r="R89">
            <v>-7242.0400000000009</v>
          </cell>
          <cell r="S89">
            <v>51234.877272727274</v>
          </cell>
          <cell r="T89">
            <v>31198</v>
          </cell>
          <cell r="U89">
            <v>20036.877272727274</v>
          </cell>
          <cell r="V89">
            <v>0</v>
          </cell>
          <cell r="W89">
            <v>0</v>
          </cell>
          <cell r="X89">
            <v>41478.573333333334</v>
          </cell>
          <cell r="Y89">
            <v>24286</v>
          </cell>
          <cell r="Z89">
            <v>17192.573333333334</v>
          </cell>
          <cell r="AC89">
            <v>13148.606666666667</v>
          </cell>
          <cell r="AD89">
            <v>10548.14</v>
          </cell>
          <cell r="AE89">
            <v>2556.8000000000002</v>
          </cell>
          <cell r="AF89">
            <v>9069</v>
          </cell>
          <cell r="AG89">
            <v>6496</v>
          </cell>
          <cell r="AH89">
            <v>2573</v>
          </cell>
          <cell r="AI89">
            <v>-4079.6066666666666</v>
          </cell>
          <cell r="AJ89">
            <v>0</v>
          </cell>
          <cell r="AK89">
            <v>474</v>
          </cell>
          <cell r="AL89">
            <v>0</v>
          </cell>
          <cell r="AM89">
            <v>37</v>
          </cell>
          <cell r="AN89">
            <v>126</v>
          </cell>
          <cell r="AO89">
            <v>182815.22772727275</v>
          </cell>
          <cell r="AP89" t="e">
            <v>#REF!</v>
          </cell>
          <cell r="AQ89" t="e">
            <v>#REF!</v>
          </cell>
          <cell r="AR89" t="e">
            <v>#REF!</v>
          </cell>
          <cell r="AS89" t="e">
            <v>#REF!</v>
          </cell>
          <cell r="AT89">
            <v>55151</v>
          </cell>
          <cell r="AU89">
            <v>58054</v>
          </cell>
          <cell r="AV89">
            <v>13688.256271556862</v>
          </cell>
          <cell r="AW89" t="e">
            <v>#REF!</v>
          </cell>
        </row>
        <row r="90">
          <cell r="C90">
            <v>14254.5</v>
          </cell>
          <cell r="D90">
            <v>6212.7162715568593</v>
          </cell>
          <cell r="E90">
            <v>8041.7837284431398</v>
          </cell>
          <cell r="M90">
            <v>7242.0400000000009</v>
          </cell>
          <cell r="N90">
            <v>51</v>
          </cell>
          <cell r="O90">
            <v>-7191.0400000000009</v>
          </cell>
          <cell r="P90">
            <v>18573.397121212118</v>
          </cell>
          <cell r="Q90">
            <v>0</v>
          </cell>
          <cell r="R90">
            <v>-7242.0400000000009</v>
          </cell>
          <cell r="S90">
            <v>11696.877272727274</v>
          </cell>
          <cell r="T90">
            <v>7313</v>
          </cell>
          <cell r="U90">
            <v>4383.8772727272735</v>
          </cell>
          <cell r="V90">
            <v>0</v>
          </cell>
          <cell r="W90">
            <v>0</v>
          </cell>
          <cell r="X90">
            <v>7579.5733333333337</v>
          </cell>
          <cell r="Y90">
            <v>4543</v>
          </cell>
          <cell r="Z90">
            <v>3036.5733333333337</v>
          </cell>
          <cell r="AA90">
            <v>10</v>
          </cell>
          <cell r="AB90">
            <v>4</v>
          </cell>
          <cell r="AC90">
            <v>13148.606666666667</v>
          </cell>
          <cell r="AD90">
            <v>10548.14</v>
          </cell>
          <cell r="AE90">
            <v>2556.8000000000002</v>
          </cell>
          <cell r="AF90">
            <v>9069</v>
          </cell>
          <cell r="AG90">
            <v>6496</v>
          </cell>
          <cell r="AH90">
            <v>2573</v>
          </cell>
          <cell r="AI90">
            <v>-4079.6066666666666</v>
          </cell>
          <cell r="AJ90">
            <v>75</v>
          </cell>
          <cell r="AK90">
            <v>85</v>
          </cell>
          <cell r="AL90">
            <v>11</v>
          </cell>
          <cell r="AM90">
            <v>37</v>
          </cell>
          <cell r="AN90">
            <v>64</v>
          </cell>
          <cell r="AO90">
            <v>72820.227727272752</v>
          </cell>
          <cell r="AP90" t="e">
            <v>#REF!</v>
          </cell>
          <cell r="AQ90" t="e">
            <v>#REF!</v>
          </cell>
          <cell r="AR90" t="e">
            <v>#REF!</v>
          </cell>
          <cell r="AS90" t="e">
            <v>#REF!</v>
          </cell>
          <cell r="AT90">
            <v>11523</v>
          </cell>
          <cell r="AU90">
            <v>13192</v>
          </cell>
          <cell r="AV90">
            <v>13687.256271556862</v>
          </cell>
          <cell r="AW90" t="e">
            <v>#REF!</v>
          </cell>
        </row>
        <row r="91">
          <cell r="C91">
            <v>1169.0999999999999</v>
          </cell>
          <cell r="D91">
            <v>427</v>
          </cell>
          <cell r="E91">
            <v>742.1</v>
          </cell>
          <cell r="M91">
            <v>1840.4400000000003</v>
          </cell>
          <cell r="N91">
            <v>0</v>
          </cell>
          <cell r="O91">
            <v>-1840.4400000000003</v>
          </cell>
          <cell r="P91">
            <v>4035.8736363636363</v>
          </cell>
          <cell r="Q91">
            <v>0</v>
          </cell>
          <cell r="R91">
            <v>-1840.4400000000003</v>
          </cell>
          <cell r="S91">
            <v>1574.15</v>
          </cell>
          <cell r="T91">
            <v>971</v>
          </cell>
          <cell r="U91">
            <v>603.15</v>
          </cell>
          <cell r="W91">
            <v>0</v>
          </cell>
          <cell r="X91">
            <v>1270.74</v>
          </cell>
          <cell r="Y91">
            <v>757</v>
          </cell>
          <cell r="Z91">
            <v>513.74</v>
          </cell>
          <cell r="AC91">
            <v>3530.8900000000003</v>
          </cell>
          <cell r="AD91">
            <v>3248</v>
          </cell>
          <cell r="AE91">
            <v>282.89000000000033</v>
          </cell>
          <cell r="AF91">
            <v>2287.3636363636365</v>
          </cell>
          <cell r="AG91">
            <v>1984</v>
          </cell>
          <cell r="AH91">
            <v>303.36363636363637</v>
          </cell>
          <cell r="AI91">
            <v>-1243.5263636363638</v>
          </cell>
          <cell r="AM91">
            <v>0</v>
          </cell>
          <cell r="AO91">
            <v>13869.303636363637</v>
          </cell>
          <cell r="AP91">
            <v>182885.52772727271</v>
          </cell>
          <cell r="AQ91">
            <v>91945.256271556864</v>
          </cell>
          <cell r="AR91" t="e">
            <v>#REF!</v>
          </cell>
        </row>
        <row r="92">
          <cell r="C92">
            <v>1405</v>
          </cell>
          <cell r="M92">
            <v>2024.5</v>
          </cell>
          <cell r="O92">
            <v>-2024.5</v>
          </cell>
          <cell r="P92">
            <v>5900.2</v>
          </cell>
          <cell r="R92">
            <v>-2024.5</v>
          </cell>
          <cell r="S92">
            <v>226.5</v>
          </cell>
          <cell r="X92">
            <v>554.5</v>
          </cell>
          <cell r="AC92">
            <v>952.3</v>
          </cell>
          <cell r="AD92">
            <v>519</v>
          </cell>
          <cell r="AE92">
            <v>433.29999999999995</v>
          </cell>
          <cell r="AH92">
            <v>0</v>
          </cell>
          <cell r="AI92" t="e">
            <v>#REF!</v>
          </cell>
          <cell r="AM92">
            <v>2363</v>
          </cell>
          <cell r="AN92">
            <v>1616</v>
          </cell>
          <cell r="AO92">
            <v>13846</v>
          </cell>
          <cell r="AR92" t="e">
            <v>#REF!</v>
          </cell>
        </row>
        <row r="93">
          <cell r="C93">
            <v>92</v>
          </cell>
          <cell r="D93">
            <v>12441</v>
          </cell>
          <cell r="E93">
            <v>3107.878787878788</v>
          </cell>
          <cell r="M93">
            <v>1680</v>
          </cell>
          <cell r="N93">
            <v>0</v>
          </cell>
          <cell r="O93">
            <v>-1680</v>
          </cell>
          <cell r="P93">
            <v>4255</v>
          </cell>
          <cell r="Q93">
            <v>16124.915077605321</v>
          </cell>
          <cell r="R93">
            <v>-1680</v>
          </cell>
          <cell r="S93">
            <v>227</v>
          </cell>
          <cell r="T93">
            <v>8958.4774346793329</v>
          </cell>
          <cell r="U93">
            <v>13401.858928957032</v>
          </cell>
          <cell r="V93">
            <v>0</v>
          </cell>
          <cell r="W93">
            <v>0</v>
          </cell>
          <cell r="X93">
            <v>555</v>
          </cell>
          <cell r="Y93">
            <v>1189.5818181818181</v>
          </cell>
          <cell r="AA93">
            <v>10</v>
          </cell>
          <cell r="AB93">
            <v>4</v>
          </cell>
          <cell r="AC93">
            <v>952</v>
          </cell>
          <cell r="AD93">
            <v>519</v>
          </cell>
          <cell r="AE93">
            <v>433</v>
          </cell>
          <cell r="AF93">
            <v>0</v>
          </cell>
          <cell r="AG93">
            <v>0</v>
          </cell>
          <cell r="AH93">
            <v>0</v>
          </cell>
          <cell r="AI93">
            <v>-952</v>
          </cell>
          <cell r="AJ93">
            <v>33702.116902528556</v>
          </cell>
          <cell r="AK93">
            <v>63629.210370198722</v>
          </cell>
          <cell r="AL93">
            <v>18177.389629801284</v>
          </cell>
          <cell r="AM93">
            <v>12</v>
          </cell>
          <cell r="AN93">
            <v>3979.727272727273</v>
          </cell>
          <cell r="AO93">
            <v>7357</v>
          </cell>
          <cell r="AR93" t="e">
            <v>#REF!</v>
          </cell>
        </row>
        <row r="94">
          <cell r="C94">
            <v>0</v>
          </cell>
          <cell r="D94">
            <v>1149</v>
          </cell>
          <cell r="E94">
            <v>3107.878787878788</v>
          </cell>
          <cell r="M94">
            <v>0</v>
          </cell>
          <cell r="N94">
            <v>0</v>
          </cell>
          <cell r="O94">
            <v>0</v>
          </cell>
          <cell r="P94">
            <v>897</v>
          </cell>
          <cell r="Q94">
            <v>1991.8272727272724</v>
          </cell>
          <cell r="R94">
            <v>0</v>
          </cell>
          <cell r="S94">
            <v>9</v>
          </cell>
          <cell r="T94">
            <v>629</v>
          </cell>
          <cell r="U94">
            <v>1295.3363636363647</v>
          </cell>
          <cell r="V94">
            <v>0</v>
          </cell>
          <cell r="W94">
            <v>4371.545454545454</v>
          </cell>
          <cell r="X94">
            <v>0</v>
          </cell>
          <cell r="Y94">
            <v>1189.5818181818181</v>
          </cell>
          <cell r="AA94">
            <v>10</v>
          </cell>
          <cell r="AB94">
            <v>4</v>
          </cell>
          <cell r="AC94">
            <v>0</v>
          </cell>
          <cell r="AD94">
            <v>0</v>
          </cell>
          <cell r="AE94">
            <v>0</v>
          </cell>
          <cell r="AG94">
            <v>0</v>
          </cell>
          <cell r="AH94">
            <v>0</v>
          </cell>
          <cell r="AI94">
            <v>0</v>
          </cell>
          <cell r="AJ94">
            <v>5705.7272727272721</v>
          </cell>
          <cell r="AK94">
            <v>18463.600000000006</v>
          </cell>
          <cell r="AL94">
            <v>1473</v>
          </cell>
          <cell r="AM94">
            <v>0</v>
          </cell>
          <cell r="AN94">
            <v>3979.727272727273</v>
          </cell>
          <cell r="AO94">
            <v>9</v>
          </cell>
          <cell r="AR94" t="e">
            <v>#REF!</v>
          </cell>
        </row>
        <row r="95">
          <cell r="C95">
            <v>1313</v>
          </cell>
          <cell r="M95">
            <v>344.5</v>
          </cell>
          <cell r="O95">
            <v>-344.5</v>
          </cell>
          <cell r="P95">
            <v>1645.2</v>
          </cell>
          <cell r="Q95">
            <v>0</v>
          </cell>
          <cell r="R95">
            <v>-344.5</v>
          </cell>
          <cell r="X95">
            <v>0</v>
          </cell>
          <cell r="AC95">
            <v>0.29999999999998295</v>
          </cell>
          <cell r="AD95">
            <v>0</v>
          </cell>
          <cell r="AE95">
            <v>0.29999999999998295</v>
          </cell>
          <cell r="AH95">
            <v>0</v>
          </cell>
          <cell r="AI95">
            <v>-0.29999999999998295</v>
          </cell>
          <cell r="AJ95">
            <v>97331.327272727271</v>
          </cell>
          <cell r="AM95">
            <v>0</v>
          </cell>
          <cell r="AO95">
            <v>3502.7</v>
          </cell>
          <cell r="AR95" t="e">
            <v>#REF!</v>
          </cell>
        </row>
        <row r="96">
          <cell r="M96">
            <v>696.19636363636369</v>
          </cell>
          <cell r="N96">
            <v>0</v>
          </cell>
          <cell r="O96">
            <v>0</v>
          </cell>
          <cell r="P96">
            <v>148</v>
          </cell>
          <cell r="Q96">
            <v>326.90909090909093</v>
          </cell>
          <cell r="R96">
            <v>0</v>
          </cell>
          <cell r="S96">
            <v>392.63636363636363</v>
          </cell>
          <cell r="W96">
            <v>1046.5454545454545</v>
          </cell>
          <cell r="X96">
            <v>814.76363636363635</v>
          </cell>
          <cell r="Y96">
            <v>231.78181818181815</v>
          </cell>
          <cell r="AE96">
            <v>0</v>
          </cell>
          <cell r="AH96">
            <v>0</v>
          </cell>
          <cell r="AI96">
            <v>0</v>
          </cell>
          <cell r="AM96" t="e">
            <v>#REF!</v>
          </cell>
          <cell r="AO96" t="e">
            <v>#REF!</v>
          </cell>
          <cell r="AR96" t="e">
            <v>#REF!</v>
          </cell>
        </row>
        <row r="97">
          <cell r="C97">
            <v>474</v>
          </cell>
          <cell r="D97">
            <v>101</v>
          </cell>
          <cell r="N97">
            <v>570</v>
          </cell>
          <cell r="O97">
            <v>0</v>
          </cell>
          <cell r="R97">
            <v>0</v>
          </cell>
          <cell r="S97">
            <v>176</v>
          </cell>
          <cell r="W97">
            <v>84</v>
          </cell>
          <cell r="X97">
            <v>84</v>
          </cell>
          <cell r="Y97">
            <v>0</v>
          </cell>
          <cell r="AA97">
            <v>0</v>
          </cell>
          <cell r="AC97">
            <v>0</v>
          </cell>
          <cell r="AE97">
            <v>0</v>
          </cell>
          <cell r="AG97">
            <v>68</v>
          </cell>
          <cell r="AH97">
            <v>0</v>
          </cell>
          <cell r="AI97">
            <v>0</v>
          </cell>
          <cell r="AM97" t="e">
            <v>#REF!</v>
          </cell>
          <cell r="AO97" t="e">
            <v>#REF!</v>
          </cell>
          <cell r="AR97" t="e">
            <v>#REF!</v>
          </cell>
        </row>
        <row r="98">
          <cell r="C98">
            <v>87.333333333333329</v>
          </cell>
          <cell r="D98">
            <v>19</v>
          </cell>
          <cell r="N98">
            <v>570</v>
          </cell>
          <cell r="O98">
            <v>0</v>
          </cell>
          <cell r="R98">
            <v>0</v>
          </cell>
          <cell r="S98">
            <v>176</v>
          </cell>
          <cell r="W98">
            <v>84</v>
          </cell>
          <cell r="X98">
            <v>84</v>
          </cell>
          <cell r="Y98">
            <v>0</v>
          </cell>
          <cell r="AE98">
            <v>0</v>
          </cell>
          <cell r="AH98">
            <v>0</v>
          </cell>
          <cell r="AI98">
            <v>0</v>
          </cell>
          <cell r="AM98">
            <v>3770.5939393939398</v>
          </cell>
          <cell r="AO98">
            <v>3770.5939393939398</v>
          </cell>
          <cell r="AR98" t="e">
            <v>#REF!</v>
          </cell>
        </row>
        <row r="99">
          <cell r="C99">
            <v>0</v>
          </cell>
          <cell r="D99">
            <v>0</v>
          </cell>
          <cell r="O99">
            <v>0</v>
          </cell>
          <cell r="R99">
            <v>0</v>
          </cell>
          <cell r="W99">
            <v>0</v>
          </cell>
          <cell r="X99">
            <v>0</v>
          </cell>
          <cell r="Y99">
            <v>0</v>
          </cell>
          <cell r="AH99">
            <v>0</v>
          </cell>
          <cell r="AI99">
            <v>0</v>
          </cell>
          <cell r="AM99">
            <v>3770.5939393939398</v>
          </cell>
          <cell r="AO99">
            <v>3770.5939393939398</v>
          </cell>
          <cell r="AR99" t="e">
            <v>#REF!</v>
          </cell>
        </row>
        <row r="100">
          <cell r="C100">
            <v>1313</v>
          </cell>
          <cell r="D100">
            <v>82</v>
          </cell>
          <cell r="M100">
            <v>344.5</v>
          </cell>
          <cell r="O100">
            <v>-344.5</v>
          </cell>
          <cell r="P100">
            <v>1369.2</v>
          </cell>
          <cell r="Q100">
            <v>31</v>
          </cell>
          <cell r="R100">
            <v>-344.5</v>
          </cell>
          <cell r="S100">
            <v>0</v>
          </cell>
          <cell r="W100">
            <v>2</v>
          </cell>
          <cell r="X100">
            <v>-5</v>
          </cell>
          <cell r="Y100">
            <v>0</v>
          </cell>
          <cell r="AC100">
            <v>0</v>
          </cell>
          <cell r="AD100">
            <v>0</v>
          </cell>
          <cell r="AE100">
            <v>0</v>
          </cell>
          <cell r="AF100">
            <v>128</v>
          </cell>
          <cell r="AG100">
            <v>128</v>
          </cell>
          <cell r="AH100">
            <v>0</v>
          </cell>
          <cell r="AI100">
            <v>128</v>
          </cell>
          <cell r="AM100">
            <v>8354.2999999999993</v>
          </cell>
          <cell r="AO100">
            <v>26313.4</v>
          </cell>
          <cell r="AR100" t="e">
            <v>#REF!</v>
          </cell>
        </row>
        <row r="101">
          <cell r="C101">
            <v>1313</v>
          </cell>
          <cell r="D101">
            <v>0</v>
          </cell>
          <cell r="M101">
            <v>344.5</v>
          </cell>
          <cell r="O101">
            <v>-344.5</v>
          </cell>
          <cell r="P101">
            <v>1369.2</v>
          </cell>
          <cell r="Q101">
            <v>0</v>
          </cell>
          <cell r="R101">
            <v>-344.5</v>
          </cell>
          <cell r="S101">
            <v>0</v>
          </cell>
          <cell r="X101">
            <v>0</v>
          </cell>
          <cell r="AC101">
            <v>0</v>
          </cell>
          <cell r="AD101">
            <v>0</v>
          </cell>
          <cell r="AE101">
            <v>0</v>
          </cell>
          <cell r="AH101">
            <v>0</v>
          </cell>
          <cell r="AI101">
            <v>0</v>
          </cell>
          <cell r="AM101">
            <v>4647.3</v>
          </cell>
          <cell r="AO101">
            <v>7674</v>
          </cell>
          <cell r="AR101" t="e">
            <v>#REF!</v>
          </cell>
        </row>
        <row r="102">
          <cell r="C102">
            <v>0</v>
          </cell>
          <cell r="D102">
            <v>0</v>
          </cell>
          <cell r="M102">
            <v>0</v>
          </cell>
          <cell r="O102">
            <v>0</v>
          </cell>
          <cell r="P102">
            <v>0</v>
          </cell>
          <cell r="R102">
            <v>0</v>
          </cell>
          <cell r="S102">
            <v>0</v>
          </cell>
          <cell r="X102">
            <v>0</v>
          </cell>
          <cell r="AC102">
            <v>0</v>
          </cell>
          <cell r="AD102">
            <v>0</v>
          </cell>
          <cell r="AE102">
            <v>0</v>
          </cell>
          <cell r="AH102">
            <v>0</v>
          </cell>
          <cell r="AI102">
            <v>0</v>
          </cell>
          <cell r="AM102">
            <v>0</v>
          </cell>
          <cell r="AO102">
            <v>0</v>
          </cell>
          <cell r="AR102" t="e">
            <v>#REF!</v>
          </cell>
        </row>
        <row r="103">
          <cell r="C103">
            <v>0</v>
          </cell>
          <cell r="D103">
            <v>0</v>
          </cell>
          <cell r="M103">
            <v>0</v>
          </cell>
          <cell r="O103">
            <v>0</v>
          </cell>
          <cell r="P103">
            <v>0</v>
          </cell>
          <cell r="Q103">
            <v>31</v>
          </cell>
          <cell r="R103">
            <v>0</v>
          </cell>
          <cell r="S103">
            <v>0</v>
          </cell>
          <cell r="W103">
            <v>2</v>
          </cell>
          <cell r="X103">
            <v>-5</v>
          </cell>
          <cell r="AC103">
            <v>0</v>
          </cell>
          <cell r="AD103">
            <v>0</v>
          </cell>
          <cell r="AE103">
            <v>0</v>
          </cell>
          <cell r="AF103">
            <v>128</v>
          </cell>
          <cell r="AG103">
            <v>128</v>
          </cell>
          <cell r="AH103">
            <v>0</v>
          </cell>
          <cell r="AI103">
            <v>128</v>
          </cell>
          <cell r="AM103">
            <v>3707</v>
          </cell>
          <cell r="AO103">
            <v>3702</v>
          </cell>
          <cell r="AR103" t="e">
            <v>#REF!</v>
          </cell>
        </row>
        <row r="104">
          <cell r="C104">
            <v>0</v>
          </cell>
          <cell r="D104">
            <v>0</v>
          </cell>
          <cell r="M104">
            <v>0</v>
          </cell>
          <cell r="O104">
            <v>0</v>
          </cell>
          <cell r="P104">
            <v>130</v>
          </cell>
          <cell r="Q104">
            <v>154</v>
          </cell>
          <cell r="R104">
            <v>0</v>
          </cell>
          <cell r="S104">
            <v>0</v>
          </cell>
          <cell r="W104">
            <v>79</v>
          </cell>
          <cell r="X104">
            <v>-49</v>
          </cell>
          <cell r="AC104">
            <v>0</v>
          </cell>
          <cell r="AD104">
            <v>0</v>
          </cell>
          <cell r="AE104">
            <v>0</v>
          </cell>
          <cell r="AF104">
            <v>30</v>
          </cell>
          <cell r="AG104">
            <v>30</v>
          </cell>
          <cell r="AH104">
            <v>0</v>
          </cell>
          <cell r="AI104">
            <v>30</v>
          </cell>
          <cell r="AM104">
            <v>875</v>
          </cell>
          <cell r="AO104">
            <v>956</v>
          </cell>
          <cell r="AR104" t="e">
            <v>#REF!</v>
          </cell>
        </row>
        <row r="105">
          <cell r="C105">
            <v>0</v>
          </cell>
          <cell r="D105">
            <v>82</v>
          </cell>
          <cell r="M105">
            <v>0</v>
          </cell>
          <cell r="O105">
            <v>0</v>
          </cell>
          <cell r="P105">
            <v>130</v>
          </cell>
          <cell r="Q105">
            <v>0</v>
          </cell>
          <cell r="R105">
            <v>0</v>
          </cell>
          <cell r="S105">
            <v>0</v>
          </cell>
          <cell r="W105">
            <v>0</v>
          </cell>
          <cell r="X105">
            <v>0</v>
          </cell>
          <cell r="Y105">
            <v>0</v>
          </cell>
          <cell r="AA105">
            <v>69</v>
          </cell>
          <cell r="AB105">
            <v>0</v>
          </cell>
          <cell r="AC105">
            <v>0</v>
          </cell>
          <cell r="AD105">
            <v>0</v>
          </cell>
          <cell r="AE105">
            <v>0</v>
          </cell>
          <cell r="AG105">
            <v>0</v>
          </cell>
          <cell r="AH105">
            <v>0</v>
          </cell>
          <cell r="AI105">
            <v>0</v>
          </cell>
          <cell r="AM105">
            <v>80</v>
          </cell>
          <cell r="AO105">
            <v>210</v>
          </cell>
          <cell r="AR105" t="e">
            <v>#REF!</v>
          </cell>
        </row>
        <row r="106">
          <cell r="C106">
            <v>0</v>
          </cell>
          <cell r="D106">
            <v>82</v>
          </cell>
          <cell r="M106">
            <v>0</v>
          </cell>
          <cell r="O106">
            <v>0</v>
          </cell>
          <cell r="P106">
            <v>0</v>
          </cell>
          <cell r="Q106">
            <v>154</v>
          </cell>
          <cell r="R106">
            <v>0</v>
          </cell>
          <cell r="S106">
            <v>0</v>
          </cell>
          <cell r="W106">
            <v>79</v>
          </cell>
          <cell r="X106">
            <v>-49</v>
          </cell>
          <cell r="Y106">
            <v>0</v>
          </cell>
          <cell r="AC106">
            <v>0</v>
          </cell>
          <cell r="AD106">
            <v>0</v>
          </cell>
          <cell r="AE106">
            <v>0</v>
          </cell>
          <cell r="AF106">
            <v>30</v>
          </cell>
          <cell r="AG106">
            <v>30</v>
          </cell>
          <cell r="AH106">
            <v>0</v>
          </cell>
          <cell r="AI106">
            <v>30</v>
          </cell>
          <cell r="AM106">
            <v>822</v>
          </cell>
          <cell r="AO106">
            <v>773</v>
          </cell>
          <cell r="AR106" t="e">
            <v>#REF!</v>
          </cell>
        </row>
        <row r="107">
          <cell r="C107">
            <v>0</v>
          </cell>
          <cell r="D107">
            <v>0</v>
          </cell>
          <cell r="M107">
            <v>0</v>
          </cell>
          <cell r="O107">
            <v>0</v>
          </cell>
          <cell r="P107">
            <v>0</v>
          </cell>
          <cell r="Q107">
            <v>800</v>
          </cell>
          <cell r="R107">
            <v>0</v>
          </cell>
          <cell r="S107">
            <v>0</v>
          </cell>
          <cell r="W107">
            <v>0</v>
          </cell>
          <cell r="X107">
            <v>0</v>
          </cell>
          <cell r="Y107">
            <v>0</v>
          </cell>
          <cell r="AC107">
            <v>0</v>
          </cell>
          <cell r="AD107">
            <v>0</v>
          </cell>
          <cell r="AE107">
            <v>0</v>
          </cell>
          <cell r="AH107">
            <v>0</v>
          </cell>
          <cell r="AI107">
            <v>0</v>
          </cell>
          <cell r="AM107">
            <v>0</v>
          </cell>
          <cell r="AO107">
            <v>0</v>
          </cell>
          <cell r="AP107" t="e">
            <v>#REF!</v>
          </cell>
          <cell r="AQ107" t="e">
            <v>#REF!</v>
          </cell>
          <cell r="AR107" t="e">
            <v>#REF!</v>
          </cell>
        </row>
        <row r="108">
          <cell r="C108">
            <v>0</v>
          </cell>
          <cell r="D108">
            <v>0</v>
          </cell>
          <cell r="M108">
            <v>0</v>
          </cell>
          <cell r="O108">
            <v>0</v>
          </cell>
          <cell r="P108">
            <v>0</v>
          </cell>
          <cell r="Q108">
            <v>800</v>
          </cell>
          <cell r="R108">
            <v>0</v>
          </cell>
          <cell r="S108">
            <v>0</v>
          </cell>
          <cell r="W108">
            <v>0</v>
          </cell>
          <cell r="X108">
            <v>0</v>
          </cell>
          <cell r="Y108">
            <v>0</v>
          </cell>
          <cell r="AA108">
            <v>69</v>
          </cell>
          <cell r="AB108">
            <v>0</v>
          </cell>
          <cell r="AC108">
            <v>0</v>
          </cell>
          <cell r="AD108">
            <v>0</v>
          </cell>
          <cell r="AE108">
            <v>0</v>
          </cell>
          <cell r="AH108">
            <v>0</v>
          </cell>
          <cell r="AI108">
            <v>0</v>
          </cell>
          <cell r="AM108">
            <v>0</v>
          </cell>
          <cell r="AO108">
            <v>0</v>
          </cell>
          <cell r="AR108" t="e">
            <v>#REF!</v>
          </cell>
        </row>
        <row r="109">
          <cell r="C109">
            <v>0</v>
          </cell>
          <cell r="D109">
            <v>0</v>
          </cell>
          <cell r="M109">
            <v>0</v>
          </cell>
          <cell r="O109">
            <v>0</v>
          </cell>
          <cell r="P109">
            <v>0</v>
          </cell>
          <cell r="R109">
            <v>0</v>
          </cell>
          <cell r="S109">
            <v>0</v>
          </cell>
          <cell r="W109">
            <v>0</v>
          </cell>
          <cell r="X109">
            <v>0</v>
          </cell>
          <cell r="Y109">
            <v>0</v>
          </cell>
          <cell r="AA109">
            <v>16</v>
          </cell>
          <cell r="AB109">
            <v>3</v>
          </cell>
          <cell r="AC109">
            <v>0</v>
          </cell>
          <cell r="AD109">
            <v>0</v>
          </cell>
          <cell r="AE109">
            <v>0</v>
          </cell>
          <cell r="AG109">
            <v>875</v>
          </cell>
          <cell r="AH109">
            <v>0</v>
          </cell>
          <cell r="AI109">
            <v>0</v>
          </cell>
          <cell r="AM109">
            <v>0</v>
          </cell>
          <cell r="AO109">
            <v>0</v>
          </cell>
          <cell r="AP109">
            <v>0</v>
          </cell>
          <cell r="AQ109">
            <v>0</v>
          </cell>
          <cell r="AR109" t="e">
            <v>#REF!</v>
          </cell>
        </row>
        <row r="110">
          <cell r="C110">
            <v>0</v>
          </cell>
          <cell r="D110">
            <v>0</v>
          </cell>
          <cell r="M110">
            <v>0</v>
          </cell>
          <cell r="O110">
            <v>0</v>
          </cell>
          <cell r="P110">
            <v>0</v>
          </cell>
          <cell r="R110">
            <v>0</v>
          </cell>
          <cell r="S110">
            <v>0</v>
          </cell>
          <cell r="W110">
            <v>0</v>
          </cell>
          <cell r="X110">
            <v>0</v>
          </cell>
          <cell r="Y110">
            <v>0</v>
          </cell>
          <cell r="AC110">
            <v>0</v>
          </cell>
          <cell r="AD110">
            <v>0</v>
          </cell>
          <cell r="AE110">
            <v>0</v>
          </cell>
          <cell r="AG110">
            <v>80</v>
          </cell>
          <cell r="AH110">
            <v>0</v>
          </cell>
          <cell r="AI110">
            <v>0</v>
          </cell>
          <cell r="AM110">
            <v>0</v>
          </cell>
          <cell r="AO110">
            <v>0</v>
          </cell>
          <cell r="AR110" t="e">
            <v>#REF!</v>
          </cell>
        </row>
        <row r="111">
          <cell r="C111">
            <v>0</v>
          </cell>
          <cell r="D111">
            <v>0</v>
          </cell>
          <cell r="M111">
            <v>0</v>
          </cell>
          <cell r="O111">
            <v>0</v>
          </cell>
          <cell r="P111">
            <v>0</v>
          </cell>
          <cell r="Q111">
            <v>928</v>
          </cell>
          <cell r="R111">
            <v>0</v>
          </cell>
          <cell r="S111">
            <v>0</v>
          </cell>
          <cell r="W111">
            <v>366</v>
          </cell>
          <cell r="X111">
            <v>-38</v>
          </cell>
          <cell r="Y111">
            <v>0</v>
          </cell>
          <cell r="AA111">
            <v>16</v>
          </cell>
          <cell r="AB111">
            <v>3</v>
          </cell>
          <cell r="AC111">
            <v>0</v>
          </cell>
          <cell r="AD111">
            <v>0</v>
          </cell>
          <cell r="AE111">
            <v>0</v>
          </cell>
          <cell r="AF111">
            <v>535</v>
          </cell>
          <cell r="AG111">
            <v>535</v>
          </cell>
          <cell r="AH111">
            <v>0</v>
          </cell>
          <cell r="AI111">
            <v>535</v>
          </cell>
          <cell r="AM111">
            <v>508</v>
          </cell>
          <cell r="AO111">
            <v>470</v>
          </cell>
          <cell r="AR111" t="e">
            <v>#REF!</v>
          </cell>
        </row>
        <row r="112">
          <cell r="C112">
            <v>0</v>
          </cell>
          <cell r="D112">
            <v>53</v>
          </cell>
          <cell r="M112">
            <v>0</v>
          </cell>
          <cell r="O112">
            <v>0</v>
          </cell>
          <cell r="Q112">
            <v>8</v>
          </cell>
          <cell r="R112">
            <v>0</v>
          </cell>
          <cell r="S112">
            <v>-28</v>
          </cell>
          <cell r="W112">
            <v>57</v>
          </cell>
          <cell r="X112">
            <v>0</v>
          </cell>
          <cell r="Y112">
            <v>0</v>
          </cell>
          <cell r="AC112">
            <v>0</v>
          </cell>
          <cell r="AD112">
            <v>0</v>
          </cell>
          <cell r="AE112">
            <v>0</v>
          </cell>
          <cell r="AH112">
            <v>0</v>
          </cell>
          <cell r="AI112">
            <v>0</v>
          </cell>
          <cell r="AM112">
            <v>19</v>
          </cell>
          <cell r="AO112">
            <v>-9</v>
          </cell>
          <cell r="AR112" t="e">
            <v>#REF!</v>
          </cell>
        </row>
        <row r="113">
          <cell r="C113">
            <v>1295</v>
          </cell>
          <cell r="D113">
            <v>0</v>
          </cell>
          <cell r="M113">
            <v>0</v>
          </cell>
          <cell r="O113">
            <v>0</v>
          </cell>
          <cell r="P113">
            <v>0</v>
          </cell>
          <cell r="R113">
            <v>0</v>
          </cell>
          <cell r="S113">
            <v>0</v>
          </cell>
          <cell r="X113">
            <v>0</v>
          </cell>
          <cell r="Y113">
            <v>0</v>
          </cell>
          <cell r="AC113">
            <v>0</v>
          </cell>
          <cell r="AD113">
            <v>0</v>
          </cell>
          <cell r="AE113">
            <v>0</v>
          </cell>
          <cell r="AH113">
            <v>0</v>
          </cell>
          <cell r="AI113">
            <v>0</v>
          </cell>
          <cell r="AM113">
            <v>0</v>
          </cell>
          <cell r="AO113">
            <v>1295</v>
          </cell>
          <cell r="AR113" t="e">
            <v>#REF!</v>
          </cell>
        </row>
        <row r="114">
          <cell r="C114">
            <v>1000</v>
          </cell>
          <cell r="D114">
            <v>0</v>
          </cell>
          <cell r="O114">
            <v>0</v>
          </cell>
          <cell r="R114">
            <v>0</v>
          </cell>
          <cell r="S114">
            <v>0</v>
          </cell>
          <cell r="Y114">
            <v>0</v>
          </cell>
          <cell r="AE114">
            <v>0</v>
          </cell>
          <cell r="AH114">
            <v>0</v>
          </cell>
          <cell r="AI114">
            <v>0</v>
          </cell>
          <cell r="AO114">
            <v>1000</v>
          </cell>
          <cell r="AR114" t="e">
            <v>#REF!</v>
          </cell>
        </row>
        <row r="115">
          <cell r="C115">
            <v>6305</v>
          </cell>
          <cell r="D115">
            <v>0</v>
          </cell>
          <cell r="O115">
            <v>0</v>
          </cell>
          <cell r="R115">
            <v>0</v>
          </cell>
          <cell r="S115">
            <v>0</v>
          </cell>
          <cell r="Y115">
            <v>0</v>
          </cell>
          <cell r="AE115">
            <v>0</v>
          </cell>
          <cell r="AH115">
            <v>0</v>
          </cell>
          <cell r="AI115">
            <v>0</v>
          </cell>
          <cell r="AO115">
            <v>6305</v>
          </cell>
          <cell r="AR115" t="e">
            <v>#REF!</v>
          </cell>
        </row>
        <row r="116">
          <cell r="C116">
            <v>0</v>
          </cell>
          <cell r="D116">
            <v>0</v>
          </cell>
          <cell r="R116">
            <v>91</v>
          </cell>
          <cell r="S116">
            <v>0</v>
          </cell>
          <cell r="W116">
            <v>0</v>
          </cell>
          <cell r="X116">
            <v>0</v>
          </cell>
          <cell r="Y116">
            <v>0</v>
          </cell>
          <cell r="AA116">
            <v>127.875</v>
          </cell>
          <cell r="AB116">
            <v>64.125</v>
          </cell>
          <cell r="AC116">
            <v>192</v>
          </cell>
          <cell r="AG116">
            <v>508</v>
          </cell>
          <cell r="AH116">
            <v>508</v>
          </cell>
          <cell r="AI116">
            <v>726.875</v>
          </cell>
        </row>
        <row r="117">
          <cell r="D117">
            <v>0</v>
          </cell>
          <cell r="O117">
            <v>0</v>
          </cell>
          <cell r="S117">
            <v>0</v>
          </cell>
          <cell r="AH117">
            <v>0</v>
          </cell>
          <cell r="AI117">
            <v>0</v>
          </cell>
        </row>
        <row r="118">
          <cell r="C118">
            <v>313.33333333333331</v>
          </cell>
          <cell r="D118">
            <v>67</v>
          </cell>
          <cell r="Y118">
            <v>0</v>
          </cell>
          <cell r="AH118">
            <v>313.33333333333331</v>
          </cell>
          <cell r="AI118">
            <v>313.33333333333331</v>
          </cell>
        </row>
        <row r="119">
          <cell r="D119">
            <v>0</v>
          </cell>
          <cell r="O119">
            <v>0</v>
          </cell>
          <cell r="R119">
            <v>0</v>
          </cell>
          <cell r="W119">
            <v>0</v>
          </cell>
          <cell r="X119">
            <v>0</v>
          </cell>
          <cell r="Y119">
            <v>0</v>
          </cell>
          <cell r="AD119">
            <v>0</v>
          </cell>
          <cell r="AE119">
            <v>0</v>
          </cell>
          <cell r="AH119">
            <v>0</v>
          </cell>
          <cell r="AI119">
            <v>0</v>
          </cell>
          <cell r="AM119">
            <v>0</v>
          </cell>
          <cell r="AO119">
            <v>36465</v>
          </cell>
          <cell r="AP119">
            <v>5373.440590909071</v>
          </cell>
          <cell r="AR119" t="e">
            <v>#REF!</v>
          </cell>
        </row>
        <row r="120">
          <cell r="C120">
            <v>0</v>
          </cell>
          <cell r="D120">
            <v>1916</v>
          </cell>
          <cell r="O120">
            <v>0</v>
          </cell>
          <cell r="R120">
            <v>0</v>
          </cell>
          <cell r="Y120">
            <v>0</v>
          </cell>
          <cell r="AH120">
            <v>8992</v>
          </cell>
          <cell r="AI120">
            <v>0</v>
          </cell>
          <cell r="AM120">
            <v>0</v>
          </cell>
          <cell r="AO120">
            <v>0</v>
          </cell>
          <cell r="AR120" t="e">
            <v>#REF!</v>
          </cell>
        </row>
        <row r="121">
          <cell r="C121">
            <v>1313</v>
          </cell>
          <cell r="D121">
            <v>0</v>
          </cell>
          <cell r="E121">
            <v>0</v>
          </cell>
          <cell r="M121">
            <v>344.5</v>
          </cell>
          <cell r="N121">
            <v>0</v>
          </cell>
          <cell r="O121">
            <v>-344.5</v>
          </cell>
          <cell r="P121">
            <v>1499.2</v>
          </cell>
          <cell r="Q121">
            <v>1921</v>
          </cell>
          <cell r="R121">
            <v>-344.5</v>
          </cell>
          <cell r="S121">
            <v>-28</v>
          </cell>
          <cell r="T121">
            <v>0</v>
          </cell>
          <cell r="U121">
            <v>0</v>
          </cell>
          <cell r="W121">
            <v>504</v>
          </cell>
          <cell r="X121">
            <v>-92</v>
          </cell>
          <cell r="Y121">
            <v>0</v>
          </cell>
          <cell r="Z121">
            <v>0</v>
          </cell>
          <cell r="AC121">
            <v>0</v>
          </cell>
          <cell r="AD121">
            <v>0</v>
          </cell>
          <cell r="AE121">
            <v>0</v>
          </cell>
          <cell r="AF121">
            <v>693</v>
          </cell>
          <cell r="AG121">
            <v>693</v>
          </cell>
          <cell r="AH121">
            <v>0</v>
          </cell>
          <cell r="AI121">
            <v>693</v>
          </cell>
          <cell r="AM121">
            <v>9756.2999999999993</v>
          </cell>
          <cell r="AO121">
            <v>36330.400000000001</v>
          </cell>
          <cell r="AT121">
            <v>0</v>
          </cell>
          <cell r="AU121">
            <v>0</v>
          </cell>
          <cell r="AV121">
            <v>0</v>
          </cell>
          <cell r="AW121">
            <v>0</v>
          </cell>
        </row>
        <row r="122">
          <cell r="C122">
            <v>9913</v>
          </cell>
          <cell r="D122">
            <v>0</v>
          </cell>
          <cell r="E122">
            <v>0</v>
          </cell>
          <cell r="M122">
            <v>344.5</v>
          </cell>
          <cell r="O122">
            <v>-344.5</v>
          </cell>
          <cell r="P122">
            <v>1499.2</v>
          </cell>
          <cell r="S122">
            <v>-28</v>
          </cell>
          <cell r="T122">
            <v>0</v>
          </cell>
          <cell r="U122">
            <v>0</v>
          </cell>
          <cell r="X122">
            <v>-92</v>
          </cell>
          <cell r="Y122">
            <v>0</v>
          </cell>
          <cell r="Z122">
            <v>0</v>
          </cell>
          <cell r="AI122">
            <v>0</v>
          </cell>
          <cell r="AM122">
            <v>9756.2999999999993</v>
          </cell>
          <cell r="AO122">
            <v>72795.399999999994</v>
          </cell>
        </row>
        <row r="123">
          <cell r="C123">
            <v>9939.2910180221279</v>
          </cell>
          <cell r="D123">
            <v>2118</v>
          </cell>
          <cell r="E123">
            <v>0</v>
          </cell>
          <cell r="M123">
            <v>0</v>
          </cell>
          <cell r="N123">
            <v>0</v>
          </cell>
          <cell r="O123">
            <v>0</v>
          </cell>
          <cell r="P123">
            <v>0</v>
          </cell>
          <cell r="Q123">
            <v>0</v>
          </cell>
          <cell r="R123">
            <v>123</v>
          </cell>
          <cell r="S123">
            <v>0</v>
          </cell>
          <cell r="T123">
            <v>0</v>
          </cell>
          <cell r="U123">
            <v>0</v>
          </cell>
          <cell r="V123">
            <v>0</v>
          </cell>
          <cell r="W123">
            <v>0</v>
          </cell>
          <cell r="X123">
            <v>0</v>
          </cell>
          <cell r="Y123">
            <v>0</v>
          </cell>
          <cell r="AA123">
            <v>212.875</v>
          </cell>
          <cell r="AB123">
            <v>67.125</v>
          </cell>
          <cell r="AC123">
            <v>280</v>
          </cell>
          <cell r="AG123">
            <v>1383</v>
          </cell>
          <cell r="AH123">
            <v>12671.29101802213</v>
          </cell>
          <cell r="AI123">
            <v>0</v>
          </cell>
          <cell r="AJ123">
            <v>11288.291018022128</v>
          </cell>
          <cell r="AK123">
            <v>3108</v>
          </cell>
          <cell r="AL123">
            <v>0</v>
          </cell>
          <cell r="AM123">
            <v>0</v>
          </cell>
          <cell r="AN123">
            <v>0</v>
          </cell>
          <cell r="AO123">
            <v>41703.840590909072</v>
          </cell>
        </row>
        <row r="124">
          <cell r="C124">
            <v>9939.2910180221279</v>
          </cell>
          <cell r="D124">
            <v>2118</v>
          </cell>
          <cell r="E124">
            <v>0</v>
          </cell>
          <cell r="M124">
            <v>0</v>
          </cell>
          <cell r="N124">
            <v>0</v>
          </cell>
          <cell r="O124">
            <v>0</v>
          </cell>
          <cell r="P124">
            <v>0</v>
          </cell>
          <cell r="Q124">
            <v>0</v>
          </cell>
          <cell r="R124">
            <v>123</v>
          </cell>
          <cell r="S124">
            <v>0</v>
          </cell>
          <cell r="T124">
            <v>0</v>
          </cell>
          <cell r="U124">
            <v>0</v>
          </cell>
          <cell r="V124">
            <v>0</v>
          </cell>
          <cell r="W124">
            <v>0</v>
          </cell>
          <cell r="X124">
            <v>0</v>
          </cell>
          <cell r="Y124">
            <v>0</v>
          </cell>
          <cell r="AA124">
            <v>212.875</v>
          </cell>
          <cell r="AB124">
            <v>67.125</v>
          </cell>
          <cell r="AC124">
            <v>280</v>
          </cell>
          <cell r="AG124">
            <v>1383</v>
          </cell>
          <cell r="AH124">
            <v>12671.29101802213</v>
          </cell>
          <cell r="AI124">
            <v>0</v>
          </cell>
          <cell r="AO124">
            <v>41703.840590909072</v>
          </cell>
        </row>
        <row r="125">
          <cell r="O125">
            <v>0</v>
          </cell>
          <cell r="Y125">
            <v>0</v>
          </cell>
          <cell r="AH125">
            <v>4171.9101802212826</v>
          </cell>
          <cell r="AI125">
            <v>0</v>
          </cell>
          <cell r="AO125">
            <v>56718.772272727248</v>
          </cell>
          <cell r="AP125" t="e">
            <v>#REF!</v>
          </cell>
          <cell r="AQ125" t="e">
            <v>#REF!</v>
          </cell>
        </row>
        <row r="126">
          <cell r="O126">
            <v>0</v>
          </cell>
          <cell r="Y126">
            <v>0</v>
          </cell>
          <cell r="AH126">
            <v>4171.9101802212826</v>
          </cell>
          <cell r="AI126">
            <v>0</v>
          </cell>
        </row>
        <row r="127">
          <cell r="O127">
            <v>0</v>
          </cell>
          <cell r="AH127">
            <v>5782.9101802212826</v>
          </cell>
          <cell r="AI127">
            <v>0</v>
          </cell>
          <cell r="AJ127">
            <v>12543.870550420004</v>
          </cell>
          <cell r="AK127">
            <v>-7627.2103701987216</v>
          </cell>
          <cell r="AO127">
            <v>15014.931681818174</v>
          </cell>
          <cell r="AT127">
            <v>0</v>
          </cell>
        </row>
        <row r="128">
          <cell r="O128">
            <v>0</v>
          </cell>
          <cell r="AI128">
            <v>0</v>
          </cell>
        </row>
        <row r="129">
          <cell r="O129">
            <v>0</v>
          </cell>
          <cell r="AH129">
            <v>1611</v>
          </cell>
          <cell r="AI129">
            <v>0</v>
          </cell>
          <cell r="AL129">
            <v>0</v>
          </cell>
        </row>
        <row r="130">
          <cell r="O130">
            <v>0</v>
          </cell>
          <cell r="AI130">
            <v>0</v>
          </cell>
          <cell r="AO130">
            <v>56002</v>
          </cell>
          <cell r="AQ130">
            <v>56002</v>
          </cell>
          <cell r="AT130">
            <v>0</v>
          </cell>
          <cell r="AV130">
            <v>0</v>
          </cell>
        </row>
        <row r="131">
          <cell r="O131">
            <v>0</v>
          </cell>
          <cell r="AI131">
            <v>0</v>
          </cell>
          <cell r="AO131" t="e">
            <v>#REF!</v>
          </cell>
          <cell r="AT131">
            <v>0</v>
          </cell>
        </row>
        <row r="132">
          <cell r="O132">
            <v>0</v>
          </cell>
          <cell r="AH132">
            <v>56002</v>
          </cell>
          <cell r="AI132">
            <v>0</v>
          </cell>
          <cell r="AK132">
            <v>56002</v>
          </cell>
          <cell r="AL132">
            <v>0</v>
          </cell>
          <cell r="AN132">
            <v>0</v>
          </cell>
          <cell r="AO132">
            <v>26.73</v>
          </cell>
          <cell r="AT132" t="e">
            <v>#DIV/0!</v>
          </cell>
        </row>
        <row r="133">
          <cell r="O133">
            <v>0</v>
          </cell>
          <cell r="AH133">
            <v>-7627.2103701987216</v>
          </cell>
          <cell r="AI133">
            <v>0</v>
          </cell>
          <cell r="AL133">
            <v>0</v>
          </cell>
          <cell r="AO133" t="e">
            <v>#REF!</v>
          </cell>
          <cell r="AT133" t="e">
            <v>#DIV/0!</v>
          </cell>
        </row>
        <row r="134">
          <cell r="O134">
            <v>0</v>
          </cell>
          <cell r="AH134">
            <v>36.869999999999997</v>
          </cell>
          <cell r="AI134">
            <v>0</v>
          </cell>
          <cell r="AL134" t="e">
            <v>#DIV/0!</v>
          </cell>
          <cell r="AO134">
            <v>0</v>
          </cell>
          <cell r="AT134">
            <v>0</v>
          </cell>
        </row>
        <row r="135">
          <cell r="O135">
            <v>0</v>
          </cell>
          <cell r="AH135">
            <v>41.89</v>
          </cell>
          <cell r="AI135">
            <v>0</v>
          </cell>
          <cell r="AL135" t="e">
            <v>#DIV/0!</v>
          </cell>
        </row>
        <row r="136">
          <cell r="O136">
            <v>0</v>
          </cell>
          <cell r="AH136">
            <v>0</v>
          </cell>
          <cell r="AI136">
            <v>0</v>
          </cell>
          <cell r="AL136">
            <v>0</v>
          </cell>
          <cell r="AO136">
            <v>36.19</v>
          </cell>
          <cell r="AT136" t="e">
            <v>#DIV/0!</v>
          </cell>
        </row>
        <row r="137">
          <cell r="O137">
            <v>0</v>
          </cell>
          <cell r="AI137">
            <v>0</v>
          </cell>
        </row>
        <row r="138">
          <cell r="O138">
            <v>0</v>
          </cell>
          <cell r="AH138">
            <v>10.24</v>
          </cell>
          <cell r="AI138">
            <v>0</v>
          </cell>
          <cell r="AL138" t="e">
            <v>#DIV/0!</v>
          </cell>
          <cell r="AM138">
            <v>0</v>
          </cell>
          <cell r="AO138" t="e">
            <v>#REF!</v>
          </cell>
          <cell r="AT138" t="e">
            <v>#DIV/0!</v>
          </cell>
        </row>
        <row r="139">
          <cell r="O139">
            <v>0</v>
          </cell>
          <cell r="AI139">
            <v>0</v>
          </cell>
          <cell r="AO139">
            <v>180931</v>
          </cell>
          <cell r="AP139">
            <v>180931</v>
          </cell>
        </row>
        <row r="140">
          <cell r="C140" t="str">
            <v>коп/кВтг</v>
          </cell>
          <cell r="O140">
            <v>0</v>
          </cell>
          <cell r="AG140">
            <v>0</v>
          </cell>
          <cell r="AH140">
            <v>7.46</v>
          </cell>
          <cell r="AI140">
            <v>0</v>
          </cell>
          <cell r="AL140" t="e">
            <v>#DIV/0!</v>
          </cell>
        </row>
        <row r="141">
          <cell r="O141">
            <v>0</v>
          </cell>
          <cell r="AH141">
            <v>46245.987452948561</v>
          </cell>
          <cell r="AI141">
            <v>0</v>
          </cell>
          <cell r="AJ141">
            <v>46245.987452948561</v>
          </cell>
          <cell r="AM141">
            <v>0</v>
          </cell>
          <cell r="AO141">
            <v>0</v>
          </cell>
        </row>
        <row r="142">
          <cell r="O142">
            <v>0</v>
          </cell>
          <cell r="P142">
            <v>0</v>
          </cell>
          <cell r="AI142">
            <v>0</v>
          </cell>
          <cell r="AO142">
            <v>2601</v>
          </cell>
        </row>
        <row r="143">
          <cell r="O143">
            <v>0</v>
          </cell>
          <cell r="AH143">
            <v>865.25</v>
          </cell>
          <cell r="AI143">
            <v>0</v>
          </cell>
          <cell r="AM143">
            <v>0</v>
          </cell>
          <cell r="AO143">
            <v>236933</v>
          </cell>
          <cell r="AP143">
            <v>180931</v>
          </cell>
          <cell r="AQ143">
            <v>56002</v>
          </cell>
          <cell r="AT143">
            <v>0</v>
          </cell>
        </row>
        <row r="144">
          <cell r="O144">
            <v>0</v>
          </cell>
          <cell r="AH144">
            <v>0</v>
          </cell>
          <cell r="AI144">
            <v>0</v>
          </cell>
          <cell r="AO144">
            <v>0</v>
          </cell>
        </row>
        <row r="145">
          <cell r="O145">
            <v>0</v>
          </cell>
          <cell r="AI145">
            <v>0</v>
          </cell>
          <cell r="AO145">
            <v>236933</v>
          </cell>
          <cell r="AP145">
            <v>180931</v>
          </cell>
          <cell r="AQ145">
            <v>56002</v>
          </cell>
        </row>
        <row r="146">
          <cell r="O146">
            <v>0</v>
          </cell>
          <cell r="AG146">
            <v>0</v>
          </cell>
          <cell r="AH146">
            <v>102247.98745294855</v>
          </cell>
          <cell r="AI146">
            <v>0</v>
          </cell>
          <cell r="AJ146">
            <v>46245.987452948561</v>
          </cell>
          <cell r="AK146">
            <v>56002</v>
          </cell>
          <cell r="AL146">
            <v>0</v>
          </cell>
          <cell r="AT146">
            <v>11523</v>
          </cell>
          <cell r="AU146">
            <v>13192</v>
          </cell>
          <cell r="AV146">
            <v>13687.256271556862</v>
          </cell>
          <cell r="AW146" t="e">
            <v>#REF!</v>
          </cell>
        </row>
        <row r="147">
          <cell r="O147">
            <v>0</v>
          </cell>
          <cell r="AH147">
            <v>0</v>
          </cell>
          <cell r="AI147">
            <v>0</v>
          </cell>
          <cell r="AJ147">
            <v>0</v>
          </cell>
          <cell r="AO147">
            <v>31</v>
          </cell>
          <cell r="AP147" t="e">
            <v>#REF!</v>
          </cell>
          <cell r="AQ147" t="e">
            <v>#REF!</v>
          </cell>
        </row>
        <row r="148">
          <cell r="O148">
            <v>0</v>
          </cell>
          <cell r="AH148">
            <v>102247.98745294855</v>
          </cell>
          <cell r="AI148">
            <v>0</v>
          </cell>
          <cell r="AJ148">
            <v>46245.987452948561</v>
          </cell>
          <cell r="AK148">
            <v>56002</v>
          </cell>
        </row>
        <row r="149">
          <cell r="C149">
            <v>0</v>
          </cell>
          <cell r="M149">
            <v>0</v>
          </cell>
          <cell r="O149">
            <v>0</v>
          </cell>
          <cell r="P149">
            <v>0</v>
          </cell>
          <cell r="S149">
            <v>0</v>
          </cell>
          <cell r="X149">
            <v>0</v>
          </cell>
          <cell r="AI149">
            <v>0</v>
          </cell>
          <cell r="AL149">
            <v>1473</v>
          </cell>
          <cell r="AM149">
            <v>0</v>
          </cell>
          <cell r="AN149">
            <v>3979.727272727273</v>
          </cell>
          <cell r="AO149">
            <v>11760.6</v>
          </cell>
        </row>
        <row r="151">
          <cell r="C151">
            <v>524</v>
          </cell>
          <cell r="M151">
            <v>1554.6</v>
          </cell>
          <cell r="O151">
            <v>-1554.6</v>
          </cell>
          <cell r="P151">
            <v>2706.75</v>
          </cell>
          <cell r="R151">
            <v>-1554.6</v>
          </cell>
          <cell r="S151">
            <v>4521.1499999999996</v>
          </cell>
          <cell r="W151">
            <v>1510</v>
          </cell>
          <cell r="X151">
            <v>2132.6999999999998</v>
          </cell>
          <cell r="AC151">
            <v>2072</v>
          </cell>
          <cell r="AD151">
            <v>1999</v>
          </cell>
          <cell r="AE151">
            <v>73</v>
          </cell>
          <cell r="AF151">
            <v>1023</v>
          </cell>
          <cell r="AG151">
            <v>938</v>
          </cell>
          <cell r="AH151">
            <v>85</v>
          </cell>
          <cell r="AI151">
            <v>-1049</v>
          </cell>
          <cell r="AM151">
            <v>197</v>
          </cell>
          <cell r="AO151">
            <v>13708.2</v>
          </cell>
        </row>
        <row r="152">
          <cell r="C152">
            <v>524</v>
          </cell>
        </row>
        <row r="153">
          <cell r="M153">
            <v>337.33333333333331</v>
          </cell>
          <cell r="N153">
            <v>0</v>
          </cell>
          <cell r="O153">
            <v>-337.33333333333331</v>
          </cell>
          <cell r="P153">
            <v>1754.818181818182</v>
          </cell>
          <cell r="Q153">
            <v>0</v>
          </cell>
          <cell r="R153">
            <v>-337.33333333333331</v>
          </cell>
          <cell r="S153">
            <v>937.27272727272725</v>
          </cell>
          <cell r="T153">
            <v>578</v>
          </cell>
          <cell r="U153">
            <v>359.27272727272725</v>
          </cell>
          <cell r="W153">
            <v>0</v>
          </cell>
          <cell r="X153">
            <v>618</v>
          </cell>
          <cell r="Y153">
            <v>368</v>
          </cell>
          <cell r="Z153">
            <v>250</v>
          </cell>
          <cell r="AC153">
            <v>770</v>
          </cell>
          <cell r="AD153">
            <v>770</v>
          </cell>
          <cell r="AE153">
            <v>0</v>
          </cell>
          <cell r="AF153">
            <v>270.36363636363637</v>
          </cell>
          <cell r="AG153">
            <v>265</v>
          </cell>
          <cell r="AH153">
            <v>5.363636363636374</v>
          </cell>
          <cell r="AI153">
            <v>-499.63636363636363</v>
          </cell>
          <cell r="AM153">
            <v>0</v>
          </cell>
        </row>
        <row r="154">
          <cell r="M154">
            <v>0</v>
          </cell>
          <cell r="O154">
            <v>0</v>
          </cell>
          <cell r="P154">
            <v>0</v>
          </cell>
          <cell r="R154">
            <v>0</v>
          </cell>
          <cell r="S154">
            <v>70</v>
          </cell>
          <cell r="X154">
            <v>24</v>
          </cell>
          <cell r="AI154">
            <v>0</v>
          </cell>
          <cell r="AO154" t="e">
            <v>#REF!</v>
          </cell>
        </row>
        <row r="155">
          <cell r="M155">
            <v>0</v>
          </cell>
          <cell r="O155">
            <v>0</v>
          </cell>
          <cell r="P155">
            <v>0</v>
          </cell>
          <cell r="R155">
            <v>0</v>
          </cell>
          <cell r="S155">
            <v>0</v>
          </cell>
          <cell r="X155">
            <v>0</v>
          </cell>
          <cell r="AI155">
            <v>0</v>
          </cell>
          <cell r="AO155" t="e">
            <v>#REF!</v>
          </cell>
        </row>
        <row r="156">
          <cell r="C156">
            <v>0</v>
          </cell>
          <cell r="M156">
            <v>681</v>
          </cell>
          <cell r="O156">
            <v>-681</v>
          </cell>
          <cell r="P156">
            <v>1041.8333333333333</v>
          </cell>
          <cell r="R156">
            <v>-681</v>
          </cell>
          <cell r="S156">
            <v>213</v>
          </cell>
          <cell r="X156">
            <v>2086.9051145454541</v>
          </cell>
          <cell r="AH156">
            <v>5.9</v>
          </cell>
          <cell r="AI156">
            <v>0</v>
          </cell>
          <cell r="AJ156">
            <v>37.200000000000003</v>
          </cell>
          <cell r="AK156">
            <v>-12</v>
          </cell>
          <cell r="AO156" t="e">
            <v>#REF!</v>
          </cell>
        </row>
        <row r="157">
          <cell r="C157">
            <v>0</v>
          </cell>
          <cell r="M157">
            <v>47</v>
          </cell>
          <cell r="O157">
            <v>-47</v>
          </cell>
          <cell r="P157">
            <v>140</v>
          </cell>
          <cell r="R157">
            <v>-47</v>
          </cell>
          <cell r="S157">
            <v>105</v>
          </cell>
          <cell r="W157">
            <v>0</v>
          </cell>
          <cell r="X157">
            <v>190</v>
          </cell>
          <cell r="Y157">
            <v>0</v>
          </cell>
          <cell r="AG157">
            <v>0</v>
          </cell>
          <cell r="AH157">
            <v>0</v>
          </cell>
          <cell r="AI157">
            <v>0</v>
          </cell>
          <cell r="AO157" t="e">
            <v>#REF!</v>
          </cell>
        </row>
        <row r="158">
          <cell r="C158">
            <v>0</v>
          </cell>
          <cell r="M158">
            <v>1507.6</v>
          </cell>
          <cell r="N158">
            <v>481</v>
          </cell>
          <cell r="O158">
            <v>-1507.6</v>
          </cell>
          <cell r="P158">
            <v>140</v>
          </cell>
          <cell r="R158">
            <v>-1507.6</v>
          </cell>
          <cell r="S158" t="str">
            <v xml:space="preserve">                   КОРИГУВАННЯ   ПЛАНУ   НА   СЕРПЕНЬ  1998 р</v>
          </cell>
          <cell r="V158">
            <v>408</v>
          </cell>
          <cell r="W158">
            <v>272</v>
          </cell>
          <cell r="X158">
            <v>1942.6999999999998</v>
          </cell>
          <cell r="Y158">
            <v>0</v>
          </cell>
          <cell r="AA158">
            <v>98</v>
          </cell>
          <cell r="AB158">
            <v>183</v>
          </cell>
          <cell r="AC158">
            <v>281</v>
          </cell>
          <cell r="AH158">
            <v>2876</v>
          </cell>
          <cell r="AI158">
            <v>0</v>
          </cell>
          <cell r="AO158" t="e">
            <v>#VALUE!</v>
          </cell>
        </row>
        <row r="159">
          <cell r="C159">
            <v>0</v>
          </cell>
          <cell r="M159">
            <v>1554.6</v>
          </cell>
          <cell r="N159">
            <v>0</v>
          </cell>
          <cell r="O159">
            <v>-1554.6</v>
          </cell>
          <cell r="P159">
            <v>280</v>
          </cell>
          <cell r="R159">
            <v>-1554.6</v>
          </cell>
          <cell r="S159">
            <v>231</v>
          </cell>
          <cell r="V159">
            <v>192</v>
          </cell>
          <cell r="W159">
            <v>84</v>
          </cell>
          <cell r="X159">
            <v>2132.6999999999998</v>
          </cell>
          <cell r="Y159">
            <v>0</v>
          </cell>
          <cell r="AH159">
            <v>1130</v>
          </cell>
          <cell r="AI159">
            <v>0</v>
          </cell>
        </row>
        <row r="160">
          <cell r="M160">
            <v>0</v>
          </cell>
          <cell r="N160">
            <v>238</v>
          </cell>
          <cell r="O160">
            <v>0</v>
          </cell>
          <cell r="P160">
            <v>2426.75</v>
          </cell>
          <cell r="R160">
            <v>0</v>
          </cell>
          <cell r="S160">
            <v>91</v>
          </cell>
          <cell r="W160">
            <v>70</v>
          </cell>
          <cell r="X160">
            <v>0</v>
          </cell>
          <cell r="Y160">
            <v>0</v>
          </cell>
          <cell r="AH160">
            <v>595.70000000000005</v>
          </cell>
          <cell r="AI160">
            <v>0</v>
          </cell>
          <cell r="AO160" t="e">
            <v>#REF!</v>
          </cell>
        </row>
        <row r="161">
          <cell r="C161">
            <v>0</v>
          </cell>
          <cell r="M161" t="e">
            <v>#REF!</v>
          </cell>
          <cell r="N161">
            <v>0</v>
          </cell>
          <cell r="O161" t="e">
            <v>#REF!</v>
          </cell>
          <cell r="P161">
            <v>0</v>
          </cell>
          <cell r="R161" t="e">
            <v>#REF!</v>
          </cell>
          <cell r="S161">
            <v>0</v>
          </cell>
          <cell r="X161" t="e">
            <v>#REF!</v>
          </cell>
          <cell r="Y161">
            <v>0</v>
          </cell>
          <cell r="AH161">
            <v>0</v>
          </cell>
          <cell r="AI161">
            <v>0</v>
          </cell>
          <cell r="AO161" t="e">
            <v>#REF!</v>
          </cell>
        </row>
        <row r="162">
          <cell r="C162">
            <v>1405</v>
          </cell>
          <cell r="M162">
            <v>2024.5</v>
          </cell>
          <cell r="N162">
            <v>0</v>
          </cell>
          <cell r="O162">
            <v>-2024.5</v>
          </cell>
          <cell r="P162">
            <v>4446.2</v>
          </cell>
          <cell r="Q162">
            <v>800</v>
          </cell>
          <cell r="R162">
            <v>-2024.5</v>
          </cell>
          <cell r="S162">
            <v>226.5</v>
          </cell>
          <cell r="T162">
            <v>0</v>
          </cell>
          <cell r="U162">
            <v>0</v>
          </cell>
          <cell r="W162">
            <v>0</v>
          </cell>
          <cell r="X162">
            <v>554.5</v>
          </cell>
          <cell r="Y162">
            <v>0</v>
          </cell>
          <cell r="Z162">
            <v>0</v>
          </cell>
          <cell r="AC162" t="e">
            <v>#REF!</v>
          </cell>
          <cell r="AD162">
            <v>952.3</v>
          </cell>
          <cell r="AE162">
            <v>433.29999999999995</v>
          </cell>
          <cell r="AF162">
            <v>0</v>
          </cell>
          <cell r="AG162">
            <v>0</v>
          </cell>
          <cell r="AH162">
            <v>0</v>
          </cell>
          <cell r="AI162" t="e">
            <v>#REF!</v>
          </cell>
          <cell r="AJ162">
            <v>0</v>
          </cell>
          <cell r="AK162">
            <v>0</v>
          </cell>
          <cell r="AL162">
            <v>0</v>
          </cell>
          <cell r="AM162">
            <v>2443</v>
          </cell>
          <cell r="AN162">
            <v>1616</v>
          </cell>
          <cell r="AO162">
            <v>14056</v>
          </cell>
          <cell r="AR162" t="e">
            <v>#REF!</v>
          </cell>
        </row>
        <row r="163">
          <cell r="C163">
            <v>0</v>
          </cell>
          <cell r="M163">
            <v>0</v>
          </cell>
          <cell r="N163">
            <v>0</v>
          </cell>
          <cell r="O163">
            <v>0</v>
          </cell>
          <cell r="P163">
            <v>0</v>
          </cell>
          <cell r="Q163">
            <v>154</v>
          </cell>
          <cell r="R163">
            <v>0</v>
          </cell>
          <cell r="S163">
            <v>0</v>
          </cell>
          <cell r="T163">
            <v>0</v>
          </cell>
          <cell r="U163">
            <v>0</v>
          </cell>
          <cell r="W163">
            <v>79</v>
          </cell>
          <cell r="X163">
            <v>-49</v>
          </cell>
          <cell r="Y163">
            <v>0</v>
          </cell>
          <cell r="Z163">
            <v>0</v>
          </cell>
          <cell r="AC163">
            <v>0</v>
          </cell>
          <cell r="AD163">
            <v>0</v>
          </cell>
          <cell r="AE163">
            <v>0</v>
          </cell>
          <cell r="AF163">
            <v>30</v>
          </cell>
          <cell r="AG163">
            <v>30</v>
          </cell>
          <cell r="AH163">
            <v>0</v>
          </cell>
          <cell r="AI163">
            <v>30</v>
          </cell>
          <cell r="AJ163">
            <v>0</v>
          </cell>
          <cell r="AK163">
            <v>0</v>
          </cell>
          <cell r="AL163">
            <v>0</v>
          </cell>
          <cell r="AM163">
            <v>822</v>
          </cell>
          <cell r="AN163">
            <v>0</v>
          </cell>
          <cell r="AO163">
            <v>773</v>
          </cell>
          <cell r="AR163" t="e">
            <v>#REF!</v>
          </cell>
        </row>
        <row r="164">
          <cell r="C164">
            <v>1607.1</v>
          </cell>
          <cell r="M164">
            <v>2532.4400000000005</v>
          </cell>
          <cell r="N164">
            <v>0</v>
          </cell>
          <cell r="O164">
            <v>-2532.4400000000005</v>
          </cell>
          <cell r="P164">
            <v>5547.8736363636363</v>
          </cell>
          <cell r="Q164">
            <v>928</v>
          </cell>
          <cell r="R164">
            <v>-2532.4400000000005</v>
          </cell>
          <cell r="S164">
            <v>2164.1499999999996</v>
          </cell>
          <cell r="T164">
            <v>1334</v>
          </cell>
          <cell r="U164">
            <v>830.15</v>
          </cell>
          <cell r="W164">
            <v>366</v>
          </cell>
          <cell r="X164">
            <v>1710.74</v>
          </cell>
          <cell r="Y164">
            <v>1043</v>
          </cell>
          <cell r="Z164">
            <v>705.74</v>
          </cell>
          <cell r="AC164">
            <v>4855.8900000000003</v>
          </cell>
          <cell r="AD164">
            <v>4465</v>
          </cell>
          <cell r="AE164">
            <v>390.89000000000033</v>
          </cell>
          <cell r="AF164">
            <v>3689.3636363636365</v>
          </cell>
          <cell r="AG164">
            <v>3202</v>
          </cell>
          <cell r="AH164">
            <v>487.36363636363637</v>
          </cell>
          <cell r="AI164">
            <v>-1166.5263636363638</v>
          </cell>
          <cell r="AJ164">
            <v>0</v>
          </cell>
          <cell r="AK164">
            <v>0</v>
          </cell>
          <cell r="AL164">
            <v>0</v>
          </cell>
          <cell r="AM164">
            <v>545</v>
          </cell>
          <cell r="AN164">
            <v>0</v>
          </cell>
          <cell r="AO164">
            <v>19539.303636363638</v>
          </cell>
          <cell r="AR164" t="e">
            <v>#REF!</v>
          </cell>
        </row>
        <row r="165">
          <cell r="C165">
            <v>49</v>
          </cell>
          <cell r="D165">
            <v>0</v>
          </cell>
          <cell r="E165">
            <v>0</v>
          </cell>
          <cell r="M165">
            <v>68.333333333333329</v>
          </cell>
          <cell r="N165">
            <v>51</v>
          </cell>
          <cell r="O165">
            <v>-17.333333333333329</v>
          </cell>
          <cell r="P165">
            <v>122</v>
          </cell>
          <cell r="Q165">
            <v>8</v>
          </cell>
          <cell r="R165">
            <v>-68.333333333333329</v>
          </cell>
          <cell r="S165">
            <v>1991.6666666666667</v>
          </cell>
          <cell r="T165">
            <v>1203</v>
          </cell>
          <cell r="U165">
            <v>816.66666666666663</v>
          </cell>
          <cell r="W165">
            <v>57</v>
          </cell>
          <cell r="X165">
            <v>355.33333333333331</v>
          </cell>
          <cell r="Y165">
            <v>238</v>
          </cell>
          <cell r="Z165">
            <v>117.33333333333333</v>
          </cell>
          <cell r="AC165">
            <v>83.666666666666657</v>
          </cell>
          <cell r="AD165">
            <v>38</v>
          </cell>
          <cell r="AE165">
            <v>1</v>
          </cell>
          <cell r="AF165">
            <v>21</v>
          </cell>
          <cell r="AG165">
            <v>15</v>
          </cell>
          <cell r="AH165">
            <v>6</v>
          </cell>
          <cell r="AI165">
            <v>-62.666666666666657</v>
          </cell>
          <cell r="AJ165">
            <v>0</v>
          </cell>
          <cell r="AK165">
            <v>0</v>
          </cell>
          <cell r="AL165">
            <v>0</v>
          </cell>
          <cell r="AM165">
            <v>19</v>
          </cell>
          <cell r="AN165">
            <v>0</v>
          </cell>
          <cell r="AO165">
            <v>2548.333333333333</v>
          </cell>
          <cell r="AR165" t="e">
            <v>#REF!</v>
          </cell>
        </row>
        <row r="166">
          <cell r="C166">
            <v>9210.4</v>
          </cell>
          <cell r="M166">
            <v>2032.0000000000005</v>
          </cell>
          <cell r="N166">
            <v>873</v>
          </cell>
          <cell r="O166">
            <v>638</v>
          </cell>
          <cell r="P166">
            <v>10458.591666666665</v>
          </cell>
          <cell r="S166">
            <v>2436.1833333333348</v>
          </cell>
          <cell r="W166">
            <v>272</v>
          </cell>
          <cell r="X166">
            <v>2266.8000000000011</v>
          </cell>
          <cell r="Y166">
            <v>0</v>
          </cell>
          <cell r="AD166">
            <v>-6684.3</v>
          </cell>
          <cell r="AF166">
            <v>3530.0000000000005</v>
          </cell>
          <cell r="AG166">
            <v>2004</v>
          </cell>
          <cell r="AH166">
            <v>2232</v>
          </cell>
          <cell r="AI166">
            <v>873</v>
          </cell>
          <cell r="AM166">
            <v>5767.2999999999993</v>
          </cell>
          <cell r="AO166">
            <v>42000.375</v>
          </cell>
        </row>
        <row r="167">
          <cell r="C167">
            <v>0</v>
          </cell>
          <cell r="M167">
            <v>1680</v>
          </cell>
          <cell r="N167">
            <v>0</v>
          </cell>
          <cell r="O167">
            <v>0</v>
          </cell>
          <cell r="S167">
            <v>0</v>
          </cell>
          <cell r="Y167">
            <v>0</v>
          </cell>
          <cell r="AH167">
            <v>0</v>
          </cell>
          <cell r="AI167">
            <v>0</v>
          </cell>
        </row>
        <row r="168">
          <cell r="C168">
            <v>474</v>
          </cell>
          <cell r="N168">
            <v>0</v>
          </cell>
          <cell r="O168">
            <v>1219</v>
          </cell>
          <cell r="S168">
            <v>380</v>
          </cell>
          <cell r="W168">
            <v>302</v>
          </cell>
          <cell r="X168">
            <v>100</v>
          </cell>
          <cell r="Y168">
            <v>202</v>
          </cell>
          <cell r="AA168">
            <v>100</v>
          </cell>
          <cell r="AC168">
            <v>100</v>
          </cell>
          <cell r="AH168">
            <v>1699</v>
          </cell>
          <cell r="AI168">
            <v>100</v>
          </cell>
        </row>
        <row r="169">
          <cell r="C169">
            <v>87.333333333333329</v>
          </cell>
          <cell r="M169">
            <v>0</v>
          </cell>
          <cell r="N169">
            <v>570</v>
          </cell>
          <cell r="O169">
            <v>219</v>
          </cell>
          <cell r="R169">
            <v>169</v>
          </cell>
          <cell r="S169">
            <v>176</v>
          </cell>
          <cell r="V169">
            <v>0</v>
          </cell>
          <cell r="W169">
            <v>84</v>
          </cell>
          <cell r="X169">
            <v>84</v>
          </cell>
          <cell r="Y169">
            <v>0</v>
          </cell>
          <cell r="AG169">
            <v>148</v>
          </cell>
          <cell r="AH169">
            <v>4872</v>
          </cell>
          <cell r="AI169">
            <v>1383</v>
          </cell>
        </row>
        <row r="170">
          <cell r="C170">
            <v>87.333333333333329</v>
          </cell>
          <cell r="O170">
            <v>219</v>
          </cell>
          <cell r="S170">
            <v>176</v>
          </cell>
          <cell r="X170">
            <v>84</v>
          </cell>
          <cell r="AH170">
            <v>1192.3333333333335</v>
          </cell>
          <cell r="AU170">
            <v>1507.2</v>
          </cell>
        </row>
        <row r="171">
          <cell r="C171">
            <v>0</v>
          </cell>
          <cell r="AH171">
            <v>115</v>
          </cell>
        </row>
        <row r="172">
          <cell r="C172">
            <v>73</v>
          </cell>
          <cell r="O172">
            <v>0</v>
          </cell>
          <cell r="S172">
            <v>0</v>
          </cell>
          <cell r="X172">
            <v>0</v>
          </cell>
          <cell r="AH172">
            <v>73</v>
          </cell>
        </row>
        <row r="173">
          <cell r="C173" t="str">
            <v>АПАРАТ ВСЬОГО</v>
          </cell>
          <cell r="D173" t="str">
            <v>АПАРАТ ЕЛЕКТРО</v>
          </cell>
          <cell r="E173" t="str">
            <v>АПАРАТ ТЕПЛО</v>
          </cell>
          <cell r="M173" t="str">
            <v>ККМ</v>
          </cell>
          <cell r="P173" t="str">
            <v>КТМ</v>
          </cell>
          <cell r="T173">
            <v>250</v>
          </cell>
          <cell r="X173" t="str">
            <v>ТЕЦ-6 ВСЬОГО</v>
          </cell>
          <cell r="Y173" t="str">
            <v>Е/Е</v>
          </cell>
          <cell r="Z173" t="str">
            <v xml:space="preserve"> Т/Е</v>
          </cell>
          <cell r="AM173" t="str">
            <v>ДОП.ВИР. СТ.ОРГ.</v>
          </cell>
          <cell r="AO173" t="str">
            <v>АК КЕ ВСЬОГО</v>
          </cell>
          <cell r="AP173" t="str">
            <v>Е/Е</v>
          </cell>
          <cell r="AQ173" t="str">
            <v xml:space="preserve"> Т/Е</v>
          </cell>
          <cell r="AT173" t="str">
            <v>очикуваемАК КЕ ВСЬОГО</v>
          </cell>
          <cell r="AU173" t="str">
            <v>Е/Е</v>
          </cell>
          <cell r="AV173" t="str">
            <v xml:space="preserve"> Т/Е</v>
          </cell>
        </row>
        <row r="174">
          <cell r="C174">
            <v>1.895</v>
          </cell>
          <cell r="M174">
            <v>1.847</v>
          </cell>
          <cell r="P174">
            <v>1.895</v>
          </cell>
          <cell r="T174">
            <v>1.895</v>
          </cell>
          <cell r="U174">
            <v>1.895</v>
          </cell>
          <cell r="X174">
            <v>1.895</v>
          </cell>
          <cell r="Y174">
            <v>1.895</v>
          </cell>
          <cell r="Z174">
            <v>1.895</v>
          </cell>
          <cell r="AM174">
            <v>1.895</v>
          </cell>
          <cell r="AO174">
            <v>1.895</v>
          </cell>
          <cell r="AP174">
            <v>1.895</v>
          </cell>
          <cell r="AT174">
            <v>1.905</v>
          </cell>
          <cell r="AU174">
            <v>1.895</v>
          </cell>
        </row>
        <row r="176">
          <cell r="P176">
            <v>132.19999999999999</v>
          </cell>
          <cell r="X176">
            <v>68.7</v>
          </cell>
          <cell r="AO176">
            <v>200.89999999999998</v>
          </cell>
          <cell r="AT176">
            <v>251.12700000000001</v>
          </cell>
        </row>
        <row r="177">
          <cell r="P177">
            <v>150.5</v>
          </cell>
          <cell r="T177">
            <v>150.5</v>
          </cell>
          <cell r="X177">
            <v>78.3</v>
          </cell>
          <cell r="AO177">
            <v>228.8</v>
          </cell>
          <cell r="AT177">
            <v>288.28500000000003</v>
          </cell>
        </row>
        <row r="178">
          <cell r="M178">
            <v>0</v>
          </cell>
          <cell r="P178">
            <v>82.5</v>
          </cell>
          <cell r="T178">
            <v>82.5</v>
          </cell>
          <cell r="X178">
            <v>82.5</v>
          </cell>
          <cell r="AO178">
            <v>82.5</v>
          </cell>
          <cell r="AT178">
            <v>66</v>
          </cell>
        </row>
        <row r="179">
          <cell r="M179">
            <v>0</v>
          </cell>
          <cell r="P179">
            <v>156.34</v>
          </cell>
          <cell r="T179">
            <v>156.34</v>
          </cell>
          <cell r="X179">
            <v>156.34</v>
          </cell>
          <cell r="AO179">
            <v>156.34</v>
          </cell>
          <cell r="AT179">
            <v>125.73</v>
          </cell>
        </row>
        <row r="180">
          <cell r="P180">
            <v>20668</v>
          </cell>
          <cell r="T180">
            <v>0</v>
          </cell>
          <cell r="X180">
            <v>10741</v>
          </cell>
          <cell r="AO180">
            <v>31409</v>
          </cell>
          <cell r="AT180">
            <v>31574</v>
          </cell>
        </row>
        <row r="181">
          <cell r="AO181">
            <v>31409</v>
          </cell>
          <cell r="AT181" t="e">
            <v>#REF!</v>
          </cell>
        </row>
        <row r="182">
          <cell r="P182">
            <v>0</v>
          </cell>
          <cell r="T182">
            <v>0</v>
          </cell>
          <cell r="X182">
            <v>52.1</v>
          </cell>
          <cell r="AO182">
            <v>52.1</v>
          </cell>
          <cell r="AT182">
            <v>67.933000000000007</v>
          </cell>
        </row>
        <row r="183">
          <cell r="P183">
            <v>0</v>
          </cell>
          <cell r="T183">
            <v>0</v>
          </cell>
          <cell r="X183">
            <v>71.3</v>
          </cell>
          <cell r="AO183">
            <v>71.3</v>
          </cell>
          <cell r="AT183">
            <v>91.201999999999998</v>
          </cell>
        </row>
        <row r="184">
          <cell r="C184">
            <v>75</v>
          </cell>
          <cell r="M184">
            <v>75</v>
          </cell>
          <cell r="AM184">
            <v>0</v>
          </cell>
          <cell r="AO184">
            <v>98.96042216358839</v>
          </cell>
          <cell r="AT184">
            <v>98.96042216358839</v>
          </cell>
        </row>
        <row r="185">
          <cell r="P185">
            <v>187.53</v>
          </cell>
          <cell r="T185">
            <v>0</v>
          </cell>
          <cell r="X185">
            <v>187.53</v>
          </cell>
          <cell r="AO185">
            <v>187.53</v>
          </cell>
          <cell r="AT185">
            <v>187.53</v>
          </cell>
        </row>
        <row r="186">
          <cell r="P186">
            <v>0</v>
          </cell>
          <cell r="S186">
            <v>0</v>
          </cell>
          <cell r="X186">
            <v>9770</v>
          </cell>
          <cell r="AO186">
            <v>9770</v>
          </cell>
          <cell r="AT186">
            <v>12739</v>
          </cell>
        </row>
        <row r="187">
          <cell r="AL187" t="str">
            <v>ОЧИК.18.02.</v>
          </cell>
          <cell r="AO187">
            <v>9770</v>
          </cell>
          <cell r="AT187" t="e">
            <v>#REF!</v>
          </cell>
        </row>
        <row r="188">
          <cell r="P188">
            <v>150.5</v>
          </cell>
          <cell r="S188">
            <v>0</v>
          </cell>
          <cell r="T188">
            <v>51.4</v>
          </cell>
          <cell r="U188">
            <v>-51.4</v>
          </cell>
          <cell r="X188">
            <v>149.6</v>
          </cell>
          <cell r="Y188">
            <v>52.7</v>
          </cell>
          <cell r="Z188">
            <v>96.899999999999991</v>
          </cell>
          <cell r="AO188">
            <v>300.10000000000002</v>
          </cell>
          <cell r="AP188">
            <v>104.1</v>
          </cell>
          <cell r="AQ188">
            <v>196</v>
          </cell>
          <cell r="AT188">
            <v>379.48700000000002</v>
          </cell>
          <cell r="AU188">
            <v>83.676000000000002</v>
          </cell>
          <cell r="AV188">
            <v>295.81100000000004</v>
          </cell>
        </row>
        <row r="189">
          <cell r="C189" t="str">
            <v>АПАРАТ ВСЬОГО</v>
          </cell>
          <cell r="D189" t="str">
            <v>АПАРАТ ЕЛЕКТРО</v>
          </cell>
          <cell r="E189" t="str">
            <v>АПАРАТ ТЕПЛО</v>
          </cell>
          <cell r="O189" t="str">
            <v>ТЕЦ-5 ВСЬОГО</v>
          </cell>
          <cell r="P189">
            <v>20668</v>
          </cell>
          <cell r="Q189" t="str">
            <v xml:space="preserve"> Т/Е</v>
          </cell>
          <cell r="S189">
            <v>0</v>
          </cell>
          <cell r="T189" t="e">
            <v>#DIV/0!</v>
          </cell>
          <cell r="U189" t="e">
            <v>#DIV/0!</v>
          </cell>
          <cell r="X189">
            <v>20511</v>
          </cell>
          <cell r="Y189">
            <v>7225</v>
          </cell>
          <cell r="Z189">
            <v>13286</v>
          </cell>
          <cell r="AG189" t="str">
            <v>ДОП.ВИР. СТ.ОРГ.</v>
          </cell>
          <cell r="AH189" t="str">
            <v>АК КЕ ВСЬОГО</v>
          </cell>
          <cell r="AJ189" t="str">
            <v>Е/Е</v>
          </cell>
          <cell r="AK189" t="str">
            <v xml:space="preserve"> Т/Е</v>
          </cell>
          <cell r="AL189" t="str">
            <v>СТАНЦІї ЕЛЕКТРО</v>
          </cell>
          <cell r="AM189" t="str">
            <v>СТАНЦІІ ТЕПЛОВІ</v>
          </cell>
          <cell r="AN189" t="str">
            <v>МЕРЕЖІ ЕЛЕКТРО</v>
          </cell>
          <cell r="AO189" t="e">
            <v>#DIV/0!</v>
          </cell>
          <cell r="AP189" t="e">
            <v>#DIV/0!</v>
          </cell>
          <cell r="AQ189" t="e">
            <v>#DIV/0!</v>
          </cell>
          <cell r="AT189">
            <v>44313</v>
          </cell>
          <cell r="AU189">
            <v>9770.9133329995493</v>
          </cell>
          <cell r="AV189">
            <v>34542.086667000447</v>
          </cell>
        </row>
        <row r="190">
          <cell r="P190">
            <v>137.33000000000001</v>
          </cell>
          <cell r="S190" t="e">
            <v>#DIV/0!</v>
          </cell>
          <cell r="T190" t="e">
            <v>#DIV/0!</v>
          </cell>
          <cell r="U190" t="e">
            <v>#DIV/0!</v>
          </cell>
          <cell r="X190">
            <v>137.11000000000001</v>
          </cell>
          <cell r="Y190">
            <v>137.1</v>
          </cell>
          <cell r="Z190">
            <v>137.11000000000001</v>
          </cell>
          <cell r="AL190">
            <v>1.954</v>
          </cell>
          <cell r="AM190">
            <v>0</v>
          </cell>
          <cell r="AN190">
            <v>1.954</v>
          </cell>
          <cell r="AO190" t="e">
            <v>#DIV/0!</v>
          </cell>
          <cell r="AP190" t="e">
            <v>#DIV/0!</v>
          </cell>
          <cell r="AQ190" t="e">
            <v>#DIV/0!</v>
          </cell>
          <cell r="AT190">
            <v>116.77</v>
          </cell>
          <cell r="AU190">
            <v>116.77</v>
          </cell>
          <cell r="AV190">
            <v>116.77</v>
          </cell>
        </row>
        <row r="191">
          <cell r="AO191">
            <v>0</v>
          </cell>
          <cell r="AP191">
            <v>0</v>
          </cell>
          <cell r="AQ191">
            <v>0</v>
          </cell>
          <cell r="AT191">
            <v>0</v>
          </cell>
          <cell r="AU191">
            <v>0</v>
          </cell>
          <cell r="AV191">
            <v>0</v>
          </cell>
        </row>
        <row r="192">
          <cell r="O192">
            <v>89.2</v>
          </cell>
          <cell r="S192" t="e">
            <v>#DIV/0!</v>
          </cell>
          <cell r="X192">
            <v>20511</v>
          </cell>
          <cell r="AH192">
            <v>259.7</v>
          </cell>
          <cell r="AL192">
            <v>221.49122807017542</v>
          </cell>
          <cell r="AO192" t="e">
            <v>#DIV/0!</v>
          </cell>
          <cell r="AP192" t="e">
            <v>#DIV/0!</v>
          </cell>
          <cell r="AQ192" t="e">
            <v>#DIV/0!</v>
          </cell>
          <cell r="AT192">
            <v>44313</v>
          </cell>
          <cell r="AU192">
            <v>9770.9133329995493</v>
          </cell>
          <cell r="AV192">
            <v>34542.086667000447</v>
          </cell>
        </row>
        <row r="193">
          <cell r="O193">
            <v>102.5</v>
          </cell>
          <cell r="S193">
            <v>84.2</v>
          </cell>
          <cell r="AH193">
            <v>298.60000000000002</v>
          </cell>
          <cell r="AL193">
            <v>252.49999999999997</v>
          </cell>
        </row>
        <row r="194">
          <cell r="O194">
            <v>0</v>
          </cell>
          <cell r="S194">
            <v>0</v>
          </cell>
          <cell r="AH194">
            <v>0</v>
          </cell>
          <cell r="AL194">
            <v>66</v>
          </cell>
        </row>
        <row r="195">
          <cell r="O195">
            <v>194.5</v>
          </cell>
          <cell r="S195" t="str">
            <v>ТЕЦ-5 ВСЬОГО</v>
          </cell>
          <cell r="T195" t="str">
            <v>Е/Е</v>
          </cell>
          <cell r="U195" t="str">
            <v xml:space="preserve"> Т/Е</v>
          </cell>
          <cell r="X195" t="str">
            <v>ТЕЦ-6 ВСЬОГО</v>
          </cell>
          <cell r="Y195" t="str">
            <v>Е/Е</v>
          </cell>
          <cell r="Z195" t="str">
            <v xml:space="preserve"> Т/Е</v>
          </cell>
          <cell r="AH195">
            <v>194.5</v>
          </cell>
          <cell r="AL195">
            <v>128.964</v>
          </cell>
          <cell r="AO195" t="str">
            <v>АК КЕ ВСЬОГО</v>
          </cell>
          <cell r="AP195" t="str">
            <v>Е/Е</v>
          </cell>
          <cell r="AQ195" t="str">
            <v xml:space="preserve"> Т/Е</v>
          </cell>
        </row>
        <row r="196">
          <cell r="O196">
            <v>17349</v>
          </cell>
          <cell r="S196">
            <v>14237</v>
          </cell>
          <cell r="T196">
            <v>0</v>
          </cell>
          <cell r="U196">
            <v>0</v>
          </cell>
          <cell r="Y196">
            <v>268.14999999999998</v>
          </cell>
          <cell r="Z196">
            <v>590</v>
          </cell>
          <cell r="AH196">
            <v>50512</v>
          </cell>
          <cell r="AL196">
            <v>28564</v>
          </cell>
        </row>
        <row r="197">
          <cell r="T197">
            <v>176.1</v>
          </cell>
          <cell r="U197">
            <v>163.6</v>
          </cell>
          <cell r="Y197">
            <v>196.5</v>
          </cell>
          <cell r="Z197">
            <v>164.2</v>
          </cell>
          <cell r="AH197">
            <v>50512</v>
          </cell>
        </row>
        <row r="198">
          <cell r="O198">
            <v>13.4</v>
          </cell>
          <cell r="S198">
            <v>16.100000000000001</v>
          </cell>
          <cell r="T198">
            <v>306.60000000000002</v>
          </cell>
          <cell r="U198">
            <v>112.8</v>
          </cell>
          <cell r="Y198">
            <v>301.89999999999998</v>
          </cell>
          <cell r="Z198">
            <v>116.3</v>
          </cell>
          <cell r="AH198">
            <v>29.5</v>
          </cell>
          <cell r="AL198">
            <v>75.839416058394164</v>
          </cell>
        </row>
        <row r="199">
          <cell r="O199">
            <v>18.5</v>
          </cell>
          <cell r="S199">
            <v>22.2</v>
          </cell>
          <cell r="T199">
            <v>130.50000000000003</v>
          </cell>
          <cell r="U199">
            <v>-50.8</v>
          </cell>
          <cell r="Y199">
            <v>105.39999999999998</v>
          </cell>
          <cell r="Z199">
            <v>-47.899999999999991</v>
          </cell>
          <cell r="AH199">
            <v>40.700000000000003</v>
          </cell>
          <cell r="AL199">
            <v>103.9</v>
          </cell>
        </row>
        <row r="200">
          <cell r="T200" t="e">
            <v>#DIV/0!</v>
          </cell>
          <cell r="U200" t="e">
            <v>#DIV/0!</v>
          </cell>
          <cell r="Y200">
            <v>137.1</v>
          </cell>
          <cell r="Z200">
            <v>137.11000000000001</v>
          </cell>
          <cell r="AG200">
            <v>0</v>
          </cell>
          <cell r="AH200">
            <v>0</v>
          </cell>
          <cell r="AL200">
            <v>99.938587512794271</v>
          </cell>
          <cell r="AO200">
            <v>75</v>
          </cell>
        </row>
        <row r="201">
          <cell r="O201">
            <v>385</v>
          </cell>
          <cell r="S201">
            <v>385</v>
          </cell>
          <cell r="T201" t="e">
            <v>#DIV/0!</v>
          </cell>
          <cell r="U201" t="e">
            <v>#DIV/0!</v>
          </cell>
          <cell r="Y201">
            <v>14.450339999999997</v>
          </cell>
          <cell r="Z201">
            <v>-6.5675689999999998</v>
          </cell>
          <cell r="AH201">
            <v>385</v>
          </cell>
          <cell r="AL201">
            <v>195.28</v>
          </cell>
        </row>
        <row r="202">
          <cell r="O202">
            <v>5159</v>
          </cell>
          <cell r="S202">
            <v>6199</v>
          </cell>
          <cell r="T202" t="e">
            <v>#DIV/0!</v>
          </cell>
          <cell r="U202" t="e">
            <v>#DIV/0!</v>
          </cell>
          <cell r="Y202">
            <v>3874.858670999999</v>
          </cell>
          <cell r="Z202">
            <v>-3874.86571</v>
          </cell>
          <cell r="AH202">
            <v>11358</v>
          </cell>
          <cell r="AL202">
            <v>14810</v>
          </cell>
          <cell r="AP202" t="e">
            <v>#DIV/0!</v>
          </cell>
          <cell r="AQ202" t="e">
            <v>#DIV/0!</v>
          </cell>
        </row>
        <row r="203">
          <cell r="AH203">
            <v>11358</v>
          </cell>
        </row>
        <row r="204">
          <cell r="O204">
            <v>121</v>
          </cell>
          <cell r="P204">
            <v>37.5</v>
          </cell>
          <cell r="Q204">
            <v>83.5</v>
          </cell>
          <cell r="S204">
            <v>106.4</v>
          </cell>
          <cell r="T204">
            <v>34.799999999999997</v>
          </cell>
          <cell r="U204">
            <v>71.600000000000009</v>
          </cell>
          <cell r="AH204">
            <v>339.3</v>
          </cell>
          <cell r="AJ204">
            <v>72.3</v>
          </cell>
          <cell r="AK204">
            <v>267</v>
          </cell>
          <cell r="AL204">
            <v>356.4</v>
          </cell>
          <cell r="AM204">
            <v>74.900000000000006</v>
          </cell>
          <cell r="AN204">
            <v>281.5</v>
          </cell>
          <cell r="AU204">
            <v>1507.2</v>
          </cell>
        </row>
        <row r="205">
          <cell r="O205">
            <v>22508</v>
          </cell>
          <cell r="P205">
            <v>8374.9121951219513</v>
          </cell>
          <cell r="Q205">
            <v>14133.087804878049</v>
          </cell>
          <cell r="S205">
            <v>20436</v>
          </cell>
          <cell r="T205">
            <v>8329.4774346793329</v>
          </cell>
          <cell r="U205">
            <v>12106.522565320667</v>
          </cell>
          <cell r="AH205">
            <v>61870</v>
          </cell>
          <cell r="AJ205">
            <v>16704.389629801284</v>
          </cell>
          <cell r="AK205">
            <v>45165.610370198716</v>
          </cell>
          <cell r="AL205">
            <v>43374</v>
          </cell>
          <cell r="AM205">
            <v>9115.3552188552203</v>
          </cell>
          <cell r="AN205">
            <v>34258.64478114478</v>
          </cell>
        </row>
        <row r="206">
          <cell r="O206">
            <v>186.02</v>
          </cell>
          <cell r="P206">
            <v>223.33</v>
          </cell>
          <cell r="Q206">
            <v>169.26</v>
          </cell>
          <cell r="S206">
            <v>192.07</v>
          </cell>
          <cell r="T206">
            <v>239.35</v>
          </cell>
          <cell r="U206">
            <v>169.09</v>
          </cell>
          <cell r="X206">
            <v>0</v>
          </cell>
          <cell r="AG206">
            <v>0</v>
          </cell>
          <cell r="AH206">
            <v>182.35</v>
          </cell>
          <cell r="AJ206">
            <v>231.04</v>
          </cell>
          <cell r="AK206">
            <v>169.16</v>
          </cell>
          <cell r="AL206">
            <v>121.7</v>
          </cell>
          <cell r="AM206">
            <v>121.7</v>
          </cell>
          <cell r="AN206">
            <v>121.7</v>
          </cell>
          <cell r="AO206">
            <v>0</v>
          </cell>
        </row>
        <row r="207">
          <cell r="AH207">
            <v>0</v>
          </cell>
          <cell r="AJ207">
            <v>0</v>
          </cell>
          <cell r="AK207">
            <v>0</v>
          </cell>
          <cell r="AL207">
            <v>52</v>
          </cell>
          <cell r="AM207">
            <v>52</v>
          </cell>
        </row>
        <row r="208">
          <cell r="O208">
            <v>22508</v>
          </cell>
          <cell r="S208">
            <v>20436</v>
          </cell>
          <cell r="AH208">
            <v>61870</v>
          </cell>
          <cell r="AJ208">
            <v>16704.389629801284</v>
          </cell>
          <cell r="AK208">
            <v>45165.610370198716</v>
          </cell>
          <cell r="AL208">
            <v>43426</v>
          </cell>
          <cell r="AM208">
            <v>9167.3552188552203</v>
          </cell>
          <cell r="AN208">
            <v>34258.64478114478</v>
          </cell>
        </row>
        <row r="210">
          <cell r="AM210">
            <v>1507.2</v>
          </cell>
        </row>
        <row r="213">
          <cell r="AH213">
            <v>61870</v>
          </cell>
        </row>
        <row r="218">
          <cell r="X218" t="str">
            <v>ЗАТВЕРДЖУЮ</v>
          </cell>
        </row>
        <row r="219">
          <cell r="X219" t="str">
            <v>ГОЛОВА ПРАЛІННЯ АК КЕ</v>
          </cell>
        </row>
        <row r="220">
          <cell r="Y220" t="str">
            <v>І.В.ПЛАЧКОВ</v>
          </cell>
        </row>
        <row r="221">
          <cell r="C221" t="str">
            <v>ПОТРЕБА   В КОШТАХ НА  1 КВАРТАЛ 1998 року</v>
          </cell>
        </row>
        <row r="222">
          <cell r="C222" t="str">
            <v>ПО ФІЛІАЛАХ АК КИЇВЕНЕРГО</v>
          </cell>
        </row>
        <row r="224">
          <cell r="C224" t="str">
            <v>ВИКОН.ДИР.</v>
          </cell>
          <cell r="D224" t="str">
            <v>АПАРАТ ЕЛЕКТРО</v>
          </cell>
          <cell r="E224" t="str">
            <v>АПАРАТ ТЕПЛО</v>
          </cell>
          <cell r="M224" t="str">
            <v>ККМ</v>
          </cell>
          <cell r="P224" t="str">
            <v>КТМ</v>
          </cell>
          <cell r="S224" t="str">
            <v>ТЕЦ-5 ВСЬОГО</v>
          </cell>
          <cell r="T224" t="str">
            <v>Е/Е</v>
          </cell>
          <cell r="U224" t="str">
            <v xml:space="preserve"> Т/Е</v>
          </cell>
          <cell r="X224" t="str">
            <v>ТЕЦ-6 ВСЬОГО</v>
          </cell>
          <cell r="Y224" t="str">
            <v>Е/Е</v>
          </cell>
          <cell r="Z224" t="str">
            <v xml:space="preserve"> Т/Е</v>
          </cell>
          <cell r="AM224" t="str">
            <v>ДОП.ВИР. СТ.ОРГ.</v>
          </cell>
          <cell r="AO224" t="str">
            <v>АК КЕ ВСЬОГО</v>
          </cell>
          <cell r="AP224" t="str">
            <v>Е/Е</v>
          </cell>
          <cell r="AQ224" t="str">
            <v xml:space="preserve"> Т/Е</v>
          </cell>
          <cell r="AT224" t="str">
            <v>СТАНЦІї ЕЛЕКТРО</v>
          </cell>
          <cell r="AU224" t="str">
            <v>СТАНЦІІ ТЕПЛОВІ</v>
          </cell>
          <cell r="AV224" t="str">
            <v>МЕРЕЖІ ЕЛЕКТРО</v>
          </cell>
          <cell r="AW224" t="str">
            <v>МЕРЕЖІ ТЕПЛОВІ</v>
          </cell>
        </row>
        <row r="225">
          <cell r="S225" t="str">
            <v>ЗАТВЕРДЖУЮ</v>
          </cell>
        </row>
        <row r="226">
          <cell r="S226" t="str">
            <v>ГОЛОВА ПРАЛІННЯ АК КЕ</v>
          </cell>
        </row>
        <row r="227">
          <cell r="C227">
            <v>37071.5</v>
          </cell>
          <cell r="M227" t="e">
            <v>#REF!</v>
          </cell>
          <cell r="P227">
            <v>20072.597121212119</v>
          </cell>
          <cell r="S227">
            <v>11668.877272727274</v>
          </cell>
          <cell r="T227" t="str">
            <v xml:space="preserve">      І.В.ПЛАЧКОВ</v>
          </cell>
          <cell r="X227" t="e">
            <v>#REF!</v>
          </cell>
          <cell r="AM227">
            <v>9793.2999999999993</v>
          </cell>
          <cell r="AO227" t="e">
            <v>#REF!</v>
          </cell>
          <cell r="AP227" t="e">
            <v>#REF!</v>
          </cell>
        </row>
        <row r="228">
          <cell r="C228">
            <v>32662.400000000001</v>
          </cell>
          <cell r="M228" t="e">
            <v>#REF!</v>
          </cell>
          <cell r="P228">
            <v>9843.2234848484841</v>
          </cell>
          <cell r="S228">
            <v>6761.1772727272746</v>
          </cell>
          <cell r="X228" t="e">
            <v>#REF!</v>
          </cell>
          <cell r="AO228" t="e">
            <v>#REF!</v>
          </cell>
          <cell r="AP228" t="e">
            <v>#REF!</v>
          </cell>
        </row>
        <row r="230">
          <cell r="C230">
            <v>1607.1</v>
          </cell>
          <cell r="M230">
            <v>2532.4400000000005</v>
          </cell>
          <cell r="P230">
            <v>5547.8736363636363</v>
          </cell>
          <cell r="S230">
            <v>2164.1499999999996</v>
          </cell>
          <cell r="X230">
            <v>1710.74</v>
          </cell>
          <cell r="AM230">
            <v>545</v>
          </cell>
          <cell r="AO230">
            <v>19539.303636363638</v>
          </cell>
          <cell r="AP230" t="e">
            <v>#REF!</v>
          </cell>
        </row>
        <row r="231">
          <cell r="C231">
            <v>438</v>
          </cell>
          <cell r="M231">
            <v>692</v>
          </cell>
          <cell r="P231">
            <v>1512</v>
          </cell>
          <cell r="S231">
            <v>590</v>
          </cell>
          <cell r="X231">
            <v>467.63636363636363</v>
          </cell>
          <cell r="AO231">
            <v>5328.181818181818</v>
          </cell>
          <cell r="AP231" t="e">
            <v>#REF!</v>
          </cell>
        </row>
        <row r="232">
          <cell r="AP232" t="e">
            <v>#REF!</v>
          </cell>
        </row>
        <row r="233">
          <cell r="C233">
            <v>0</v>
          </cell>
          <cell r="M233">
            <v>0</v>
          </cell>
          <cell r="P233">
            <v>41</v>
          </cell>
          <cell r="S233">
            <v>1791</v>
          </cell>
          <cell r="X233">
            <v>40</v>
          </cell>
          <cell r="AO233">
            <v>1872</v>
          </cell>
          <cell r="AP233" t="e">
            <v>#REF!</v>
          </cell>
        </row>
        <row r="234">
          <cell r="C234">
            <v>0</v>
          </cell>
          <cell r="M234">
            <v>0</v>
          </cell>
          <cell r="P234">
            <v>0</v>
          </cell>
          <cell r="S234">
            <v>-28</v>
          </cell>
          <cell r="X234">
            <v>0</v>
          </cell>
          <cell r="AO234">
            <v>-9</v>
          </cell>
          <cell r="AP234" t="e">
            <v>#REF!</v>
          </cell>
        </row>
        <row r="235">
          <cell r="C235">
            <v>2345</v>
          </cell>
          <cell r="M235">
            <v>0</v>
          </cell>
          <cell r="P235">
            <v>0</v>
          </cell>
          <cell r="S235">
            <v>0</v>
          </cell>
          <cell r="X235">
            <v>0</v>
          </cell>
          <cell r="AO235">
            <v>2555.6999999999998</v>
          </cell>
          <cell r="AP235" t="e">
            <v>#REF!</v>
          </cell>
        </row>
        <row r="236">
          <cell r="AP236" t="e">
            <v>#REF!</v>
          </cell>
        </row>
        <row r="237">
          <cell r="C237">
            <v>1405</v>
          </cell>
          <cell r="M237">
            <v>2024.5</v>
          </cell>
          <cell r="P237">
            <v>4446.2</v>
          </cell>
          <cell r="S237">
            <v>226.5</v>
          </cell>
          <cell r="X237">
            <v>554.5</v>
          </cell>
          <cell r="AO237" t="e">
            <v>#REF!</v>
          </cell>
          <cell r="AP237" t="e">
            <v>#REF!</v>
          </cell>
        </row>
        <row r="238">
          <cell r="C238">
            <v>524</v>
          </cell>
          <cell r="M238">
            <v>0</v>
          </cell>
          <cell r="P238">
            <v>0</v>
          </cell>
          <cell r="S238">
            <v>0</v>
          </cell>
          <cell r="X238">
            <v>0</v>
          </cell>
          <cell r="AO238">
            <v>0</v>
          </cell>
          <cell r="AP238" t="e">
            <v>#REF!</v>
          </cell>
        </row>
        <row r="239">
          <cell r="C239" t="str">
            <v>ВИКОН.ДИР.</v>
          </cell>
          <cell r="D239" t="str">
            <v>АПАРАТ ЕЛЕКТРО</v>
          </cell>
          <cell r="E239" t="str">
            <v>АПАРАТ ТЕПЛО</v>
          </cell>
          <cell r="M239" t="str">
            <v>ПЕРЕД</v>
          </cell>
          <cell r="N239" t="str">
            <v>КТМ1</v>
          </cell>
          <cell r="O239" t="str">
            <v>ТЕЦ-5 ВСЬОГО</v>
          </cell>
          <cell r="P239" t="str">
            <v>Е/Е</v>
          </cell>
          <cell r="Q239" t="str">
            <v xml:space="preserve"> Т/Е</v>
          </cell>
          <cell r="R239" t="str">
            <v>ТЕЦ-5 ВСЬОГО1</v>
          </cell>
          <cell r="S239" t="str">
            <v>ТЕЦ-6 ВСЬОГО</v>
          </cell>
          <cell r="T239" t="str">
            <v>Е/Е</v>
          </cell>
          <cell r="U239" t="str">
            <v xml:space="preserve"> Т/Е</v>
          </cell>
          <cell r="V239" t="str">
            <v>ТЕЦ-6 ВСЬОГО1</v>
          </cell>
          <cell r="X239" t="str">
            <v>РОЗПОД. МЕРЕЖІ АК</v>
          </cell>
          <cell r="Y239" t="str">
            <v>РОЗПОД. МЕРЕЖІ СТОР.</v>
          </cell>
          <cell r="Z239" t="str">
            <v>РОЗПОД. МЕРЕЖІ всього</v>
          </cell>
          <cell r="AA239" t="str">
            <v>РОЗПОД. МЕРЕЖІ АК1</v>
          </cell>
          <cell r="AB239" t="str">
            <v>РОЗПОД. МЕРЕЖІ СТОР.</v>
          </cell>
          <cell r="AC239" t="str">
            <v>РОЗПОД. МЕРЕЖІ всього</v>
          </cell>
          <cell r="AG239" t="str">
            <v>ДОП.ВИР.</v>
          </cell>
          <cell r="AH239" t="str">
            <v>АК КЕ ВСЬОГО</v>
          </cell>
          <cell r="AJ239" t="str">
            <v>Е/Е</v>
          </cell>
          <cell r="AK239" t="str">
            <v xml:space="preserve"> Т/Е</v>
          </cell>
          <cell r="AL239" t="str">
            <v>СТАНЦІї ЕЛЕКТРО</v>
          </cell>
          <cell r="AM239" t="str">
            <v>СТАНЦІІ ТЕПЛОВІ</v>
          </cell>
          <cell r="AN239" t="str">
            <v>МЕРЕЖІ ЕЛЕКТРО</v>
          </cell>
          <cell r="AO239" t="str">
            <v>МЕРЕЖІ ТЕПЛОВІ</v>
          </cell>
          <cell r="AP239" t="e">
            <v>#REF!</v>
          </cell>
        </row>
        <row r="240">
          <cell r="C240">
            <v>0</v>
          </cell>
          <cell r="M240" t="e">
            <v>#REF!</v>
          </cell>
          <cell r="P240">
            <v>0</v>
          </cell>
          <cell r="S240">
            <v>0</v>
          </cell>
          <cell r="X240" t="e">
            <v>#REF!</v>
          </cell>
          <cell r="AO240" t="e">
            <v>#REF!</v>
          </cell>
          <cell r="AP240" t="e">
            <v>#REF!</v>
          </cell>
        </row>
        <row r="241">
          <cell r="AP241" t="e">
            <v>#REF!</v>
          </cell>
        </row>
        <row r="242">
          <cell r="C242">
            <v>19431.169805900914</v>
          </cell>
          <cell r="D242">
            <v>3267</v>
          </cell>
          <cell r="E242">
            <v>3107.878787878788</v>
          </cell>
          <cell r="M242">
            <v>3413.840909090909</v>
          </cell>
          <cell r="N242">
            <v>0</v>
          </cell>
          <cell r="O242">
            <v>2444.7272727272721</v>
          </cell>
          <cell r="P242">
            <v>752</v>
          </cell>
          <cell r="Q242">
            <v>1667.8272727272724</v>
          </cell>
          <cell r="R242">
            <v>123</v>
          </cell>
          <cell r="S242">
            <v>1391.636363636364</v>
          </cell>
          <cell r="T242">
            <v>447</v>
          </cell>
          <cell r="U242">
            <v>919.33636363636469</v>
          </cell>
          <cell r="V242">
            <v>0</v>
          </cell>
          <cell r="X242">
            <v>2771.9636363636364</v>
          </cell>
          <cell r="Y242">
            <v>1109.5818181818181</v>
          </cell>
          <cell r="Z242">
            <v>3881.545454545454</v>
          </cell>
          <cell r="AA242">
            <v>222.875</v>
          </cell>
          <cell r="AB242">
            <v>71.125</v>
          </cell>
          <cell r="AC242">
            <v>294</v>
          </cell>
          <cell r="AG242">
            <v>1383</v>
          </cell>
          <cell r="AH242">
            <v>41098.6182907494</v>
          </cell>
          <cell r="AJ242">
            <v>41067.618290749393</v>
          </cell>
          <cell r="AP242" t="e">
            <v>#REF!</v>
          </cell>
        </row>
        <row r="243">
          <cell r="C243">
            <v>617</v>
          </cell>
          <cell r="D243">
            <v>2503</v>
          </cell>
          <cell r="E243">
            <v>1824.3333333333335</v>
          </cell>
          <cell r="M243">
            <v>624</v>
          </cell>
          <cell r="N243">
            <v>-619</v>
          </cell>
          <cell r="O243">
            <v>507.81818181818107</v>
          </cell>
          <cell r="P243">
            <v>1853.8333333333333</v>
          </cell>
          <cell r="Q243">
            <v>771.91818181818144</v>
          </cell>
          <cell r="R243">
            <v>-379</v>
          </cell>
          <cell r="S243">
            <v>290</v>
          </cell>
          <cell r="T243">
            <v>265</v>
          </cell>
          <cell r="U243">
            <v>545.70000000000107</v>
          </cell>
          <cell r="V243">
            <v>-379</v>
          </cell>
          <cell r="X243">
            <v>226</v>
          </cell>
          <cell r="Y243">
            <v>98.799999999999955</v>
          </cell>
          <cell r="Z243">
            <v>983.99999999999955</v>
          </cell>
          <cell r="AA243">
            <v>95</v>
          </cell>
          <cell r="AB243">
            <v>7</v>
          </cell>
          <cell r="AC243">
            <v>102</v>
          </cell>
          <cell r="AG243">
            <v>625</v>
          </cell>
          <cell r="AH243">
            <v>18826.624242424241</v>
          </cell>
          <cell r="AJ243">
            <v>18795.624242424237</v>
          </cell>
          <cell r="AO243">
            <v>4945.833333333333</v>
          </cell>
          <cell r="AP243" t="e">
            <v>#REF!</v>
          </cell>
        </row>
        <row r="244">
          <cell r="C244">
            <v>1639</v>
          </cell>
          <cell r="M244">
            <v>60</v>
          </cell>
          <cell r="P244">
            <v>167</v>
          </cell>
          <cell r="S244">
            <v>164</v>
          </cell>
          <cell r="X244">
            <v>141</v>
          </cell>
          <cell r="AJ244">
            <v>0</v>
          </cell>
          <cell r="AO244">
            <v>2356.6</v>
          </cell>
          <cell r="AP244" t="e">
            <v>#REF!</v>
          </cell>
        </row>
        <row r="245">
          <cell r="C245">
            <v>410.54545454545456</v>
          </cell>
          <cell r="D245">
            <v>67</v>
          </cell>
          <cell r="E245">
            <v>247.54545454545456</v>
          </cell>
          <cell r="M245">
            <v>957.19636363636369</v>
          </cell>
          <cell r="N245">
            <v>0</v>
          </cell>
          <cell r="O245">
            <v>652.90909090909099</v>
          </cell>
          <cell r="P245">
            <v>203</v>
          </cell>
          <cell r="Q245">
            <v>449.90909090909093</v>
          </cell>
          <cell r="R245">
            <v>91</v>
          </cell>
          <cell r="S245">
            <v>541.63636363636363</v>
          </cell>
          <cell r="T245">
            <v>177</v>
          </cell>
          <cell r="U245">
            <v>364.63636363636363</v>
          </cell>
          <cell r="V245">
            <v>0</v>
          </cell>
          <cell r="X245">
            <v>1120.7636363636364</v>
          </cell>
          <cell r="Y245">
            <v>318.78181818181815</v>
          </cell>
          <cell r="Z245">
            <v>1439.5454545454545</v>
          </cell>
          <cell r="AA245">
            <v>127.875</v>
          </cell>
          <cell r="AB245">
            <v>64.125</v>
          </cell>
          <cell r="AC245">
            <v>192</v>
          </cell>
          <cell r="AG245">
            <v>508</v>
          </cell>
          <cell r="AH245">
            <v>5953.0363636363636</v>
          </cell>
          <cell r="AJ245">
            <v>5953.0363636363645</v>
          </cell>
          <cell r="AP245" t="e">
            <v>#REF!</v>
          </cell>
        </row>
        <row r="246">
          <cell r="C246">
            <v>0</v>
          </cell>
          <cell r="D246">
            <v>3</v>
          </cell>
          <cell r="E246">
            <v>13</v>
          </cell>
          <cell r="M246">
            <v>1</v>
          </cell>
          <cell r="N246">
            <v>0</v>
          </cell>
          <cell r="O246">
            <v>178</v>
          </cell>
          <cell r="P246">
            <v>0</v>
          </cell>
          <cell r="Q246">
            <v>123</v>
          </cell>
          <cell r="R246">
            <v>24.81818181818182</v>
          </cell>
          <cell r="S246">
            <v>18.55</v>
          </cell>
          <cell r="T246">
            <v>49</v>
          </cell>
          <cell r="U246">
            <v>100</v>
          </cell>
          <cell r="V246">
            <v>0</v>
          </cell>
          <cell r="X246">
            <v>47</v>
          </cell>
          <cell r="Y246">
            <v>87</v>
          </cell>
          <cell r="Z246">
            <v>393</v>
          </cell>
          <cell r="AA246">
            <v>34.875</v>
          </cell>
          <cell r="AB246">
            <v>17.488636363636363</v>
          </cell>
          <cell r="AC246">
            <v>52.36363636363636</v>
          </cell>
          <cell r="AG246">
            <v>138.54545454545453</v>
          </cell>
          <cell r="AH246">
            <v>1625.5454545454545</v>
          </cell>
          <cell r="AJ246">
            <v>1625.5454545454545</v>
          </cell>
          <cell r="AO246">
            <v>66.55</v>
          </cell>
          <cell r="AP246" t="e">
            <v>#REF!</v>
          </cell>
        </row>
        <row r="247">
          <cell r="C247">
            <v>22</v>
          </cell>
          <cell r="D247">
            <v>644</v>
          </cell>
          <cell r="E247">
            <v>1044</v>
          </cell>
          <cell r="M247">
            <v>61.75</v>
          </cell>
          <cell r="N247">
            <v>0</v>
          </cell>
          <cell r="O247">
            <v>683</v>
          </cell>
          <cell r="P247">
            <v>2078.6666666666665</v>
          </cell>
          <cell r="Q247">
            <v>471</v>
          </cell>
          <cell r="R247">
            <v>0</v>
          </cell>
          <cell r="S247">
            <v>0</v>
          </cell>
          <cell r="T247">
            <v>5</v>
          </cell>
          <cell r="U247">
            <v>9</v>
          </cell>
          <cell r="V247">
            <v>0</v>
          </cell>
          <cell r="X247">
            <v>0</v>
          </cell>
          <cell r="Y247">
            <v>1</v>
          </cell>
          <cell r="Z247">
            <v>17</v>
          </cell>
          <cell r="AA247">
            <v>10</v>
          </cell>
          <cell r="AB247">
            <v>4</v>
          </cell>
          <cell r="AC247">
            <v>14</v>
          </cell>
          <cell r="AG247">
            <v>0</v>
          </cell>
          <cell r="AH247">
            <v>7851.2910180221279</v>
          </cell>
          <cell r="AJ247">
            <v>7851.2910180221279</v>
          </cell>
          <cell r="AO247">
            <v>2982.4166666666665</v>
          </cell>
          <cell r="AP247" t="e">
            <v>#REF!</v>
          </cell>
        </row>
        <row r="248">
          <cell r="C248">
            <v>33</v>
          </cell>
          <cell r="D248">
            <v>0</v>
          </cell>
          <cell r="E248">
            <v>0</v>
          </cell>
          <cell r="M248">
            <v>0</v>
          </cell>
          <cell r="N248">
            <v>0</v>
          </cell>
          <cell r="O248">
            <v>647</v>
          </cell>
          <cell r="P248">
            <v>0</v>
          </cell>
          <cell r="Q248">
            <v>446</v>
          </cell>
          <cell r="R248">
            <v>0</v>
          </cell>
          <cell r="S248">
            <v>0</v>
          </cell>
          <cell r="T248">
            <v>5</v>
          </cell>
          <cell r="U248">
            <v>9</v>
          </cell>
          <cell r="V248">
            <v>0</v>
          </cell>
          <cell r="X248">
            <v>0</v>
          </cell>
          <cell r="Y248">
            <v>0</v>
          </cell>
          <cell r="Z248">
            <v>0</v>
          </cell>
          <cell r="AA248">
            <v>0</v>
          </cell>
          <cell r="AB248">
            <v>0</v>
          </cell>
          <cell r="AC248">
            <v>0</v>
          </cell>
          <cell r="AG248">
            <v>0</v>
          </cell>
          <cell r="AH248">
            <v>683</v>
          </cell>
          <cell r="AJ248">
            <v>683</v>
          </cell>
          <cell r="AO248">
            <v>1051</v>
          </cell>
          <cell r="AP248" t="e">
            <v>#REF!</v>
          </cell>
        </row>
        <row r="249">
          <cell r="C249">
            <v>348</v>
          </cell>
          <cell r="D249">
            <v>3</v>
          </cell>
          <cell r="E249">
            <v>10</v>
          </cell>
          <cell r="M249">
            <v>0</v>
          </cell>
          <cell r="N249">
            <v>0</v>
          </cell>
          <cell r="O249">
            <v>36</v>
          </cell>
          <cell r="P249">
            <v>0</v>
          </cell>
          <cell r="Q249">
            <v>25</v>
          </cell>
          <cell r="R249">
            <v>0</v>
          </cell>
          <cell r="S249">
            <v>0</v>
          </cell>
          <cell r="T249">
            <v>0</v>
          </cell>
          <cell r="U249">
            <v>0</v>
          </cell>
          <cell r="V249">
            <v>0</v>
          </cell>
          <cell r="X249">
            <v>0</v>
          </cell>
          <cell r="Y249">
            <v>1</v>
          </cell>
          <cell r="Z249">
            <v>17</v>
          </cell>
          <cell r="AA249">
            <v>10</v>
          </cell>
          <cell r="AB249">
            <v>4</v>
          </cell>
          <cell r="AC249">
            <v>14</v>
          </cell>
          <cell r="AG249">
            <v>0</v>
          </cell>
          <cell r="AH249">
            <v>160</v>
          </cell>
          <cell r="AJ249">
            <v>160</v>
          </cell>
          <cell r="AO249">
            <v>348</v>
          </cell>
          <cell r="AP249" t="e">
            <v>#REF!</v>
          </cell>
        </row>
        <row r="250">
          <cell r="C250">
            <v>0</v>
          </cell>
          <cell r="M250">
            <v>0</v>
          </cell>
          <cell r="P250">
            <v>0</v>
          </cell>
          <cell r="S250">
            <v>0</v>
          </cell>
          <cell r="X250">
            <v>-49</v>
          </cell>
          <cell r="AH250">
            <v>1611</v>
          </cell>
          <cell r="AJ250">
            <v>1611</v>
          </cell>
          <cell r="AO250">
            <v>746</v>
          </cell>
          <cell r="AP250" t="e">
            <v>#REF!</v>
          </cell>
        </row>
        <row r="251">
          <cell r="C251">
            <v>0</v>
          </cell>
          <cell r="M251">
            <v>0</v>
          </cell>
          <cell r="P251">
            <v>0</v>
          </cell>
          <cell r="S251">
            <v>0</v>
          </cell>
          <cell r="X251">
            <v>-5</v>
          </cell>
          <cell r="AH251">
            <v>3528</v>
          </cell>
          <cell r="AJ251">
            <v>3528</v>
          </cell>
          <cell r="AO251">
            <v>18639.400000000001</v>
          </cell>
          <cell r="AP251" t="e">
            <v>#REF!</v>
          </cell>
        </row>
        <row r="252">
          <cell r="C252">
            <v>28531.4</v>
          </cell>
          <cell r="M252" t="e">
            <v>#REF!</v>
          </cell>
          <cell r="P252">
            <v>5397.0234848484833</v>
          </cell>
          <cell r="S252">
            <v>6562.6772727272737</v>
          </cell>
          <cell r="X252" t="e">
            <v>#REF!</v>
          </cell>
          <cell r="AH252">
            <v>0</v>
          </cell>
          <cell r="AJ252">
            <v>0</v>
          </cell>
          <cell r="AO252" t="e">
            <v>#REF!</v>
          </cell>
          <cell r="AP252" t="e">
            <v>#REF!</v>
          </cell>
        </row>
        <row r="253">
          <cell r="C253">
            <v>1869.2910180221284</v>
          </cell>
          <cell r="D253">
            <v>641</v>
          </cell>
          <cell r="E253">
            <v>1034</v>
          </cell>
          <cell r="M253">
            <v>0</v>
          </cell>
          <cell r="N253">
            <v>0</v>
          </cell>
          <cell r="O253">
            <v>0</v>
          </cell>
          <cell r="P253">
            <v>541</v>
          </cell>
          <cell r="Q253">
            <v>0</v>
          </cell>
          <cell r="R253">
            <v>0</v>
          </cell>
          <cell r="S253">
            <v>480</v>
          </cell>
          <cell r="T253">
            <v>0</v>
          </cell>
          <cell r="U253">
            <v>0</v>
          </cell>
          <cell r="V253">
            <v>0</v>
          </cell>
          <cell r="X253">
            <v>44</v>
          </cell>
          <cell r="Y253">
            <v>0</v>
          </cell>
          <cell r="Z253">
            <v>0</v>
          </cell>
          <cell r="AA253">
            <v>0</v>
          </cell>
          <cell r="AB253">
            <v>0</v>
          </cell>
          <cell r="AC253">
            <v>0</v>
          </cell>
          <cell r="AG253">
            <v>0</v>
          </cell>
          <cell r="AH253">
            <v>1869.2910180221284</v>
          </cell>
          <cell r="AJ253">
            <v>1869.2910180221284</v>
          </cell>
          <cell r="AO253">
            <v>524</v>
          </cell>
          <cell r="AP253" t="e">
            <v>#REF!</v>
          </cell>
        </row>
        <row r="254">
          <cell r="AJ254">
            <v>0</v>
          </cell>
        </row>
        <row r="255">
          <cell r="C255">
            <v>474</v>
          </cell>
          <cell r="M255">
            <v>0</v>
          </cell>
          <cell r="N255">
            <v>570</v>
          </cell>
          <cell r="O255">
            <v>219</v>
          </cell>
          <cell r="P255">
            <v>0</v>
          </cell>
          <cell r="Q255">
            <v>0</v>
          </cell>
          <cell r="R255">
            <v>169</v>
          </cell>
          <cell r="S255">
            <v>176</v>
          </cell>
          <cell r="T255">
            <v>0</v>
          </cell>
          <cell r="U255">
            <v>0</v>
          </cell>
          <cell r="V255">
            <v>0</v>
          </cell>
          <cell r="X255">
            <v>84</v>
          </cell>
          <cell r="Y255">
            <v>0</v>
          </cell>
          <cell r="Z255">
            <v>84</v>
          </cell>
          <cell r="AA255">
            <v>0</v>
          </cell>
          <cell r="AB255">
            <v>0</v>
          </cell>
          <cell r="AC255">
            <v>0</v>
          </cell>
          <cell r="AG255">
            <v>148</v>
          </cell>
          <cell r="AH255">
            <v>4872</v>
          </cell>
          <cell r="AJ255">
            <v>4872</v>
          </cell>
        </row>
        <row r="256">
          <cell r="C256">
            <v>0</v>
          </cell>
          <cell r="D256">
            <v>0</v>
          </cell>
          <cell r="E256">
            <v>0</v>
          </cell>
          <cell r="M256">
            <v>0</v>
          </cell>
          <cell r="N256">
            <v>0</v>
          </cell>
          <cell r="O256">
            <v>320</v>
          </cell>
          <cell r="P256">
            <v>0</v>
          </cell>
          <cell r="Q256">
            <v>0</v>
          </cell>
          <cell r="R256">
            <v>359</v>
          </cell>
          <cell r="S256">
            <v>231</v>
          </cell>
          <cell r="T256">
            <v>0</v>
          </cell>
          <cell r="U256">
            <v>0</v>
          </cell>
          <cell r="V256">
            <v>192</v>
          </cell>
          <cell r="X256">
            <v>84</v>
          </cell>
          <cell r="Y256">
            <v>0</v>
          </cell>
          <cell r="Z256">
            <v>84</v>
          </cell>
          <cell r="AA256">
            <v>0</v>
          </cell>
          <cell r="AB256">
            <v>0</v>
          </cell>
          <cell r="AC256">
            <v>0</v>
          </cell>
          <cell r="AG256">
            <v>0</v>
          </cell>
          <cell r="AH256">
            <v>1130</v>
          </cell>
          <cell r="AJ256">
            <v>1130</v>
          </cell>
        </row>
        <row r="257">
          <cell r="C257">
            <v>0</v>
          </cell>
          <cell r="N257">
            <v>376</v>
          </cell>
          <cell r="O257">
            <v>325</v>
          </cell>
          <cell r="R257">
            <v>325</v>
          </cell>
          <cell r="S257">
            <v>203</v>
          </cell>
          <cell r="V257">
            <v>203</v>
          </cell>
          <cell r="X257">
            <v>0</v>
          </cell>
          <cell r="Y257">
            <v>0</v>
          </cell>
          <cell r="Z257">
            <v>0</v>
          </cell>
          <cell r="AA257">
            <v>0</v>
          </cell>
          <cell r="AB257">
            <v>0</v>
          </cell>
          <cell r="AC257">
            <v>0</v>
          </cell>
          <cell r="AG257">
            <v>0</v>
          </cell>
          <cell r="AH257">
            <v>976</v>
          </cell>
          <cell r="AJ257">
            <v>976</v>
          </cell>
        </row>
        <row r="258">
          <cell r="AJ258">
            <v>0</v>
          </cell>
        </row>
        <row r="259">
          <cell r="C259">
            <v>0</v>
          </cell>
          <cell r="D259">
            <v>0</v>
          </cell>
          <cell r="E259">
            <v>0</v>
          </cell>
          <cell r="M259">
            <v>0</v>
          </cell>
          <cell r="N259">
            <v>0</v>
          </cell>
          <cell r="O259">
            <v>1219</v>
          </cell>
          <cell r="P259">
            <v>0</v>
          </cell>
          <cell r="Q259">
            <v>0</v>
          </cell>
          <cell r="R259">
            <v>0</v>
          </cell>
          <cell r="S259">
            <v>380</v>
          </cell>
          <cell r="T259">
            <v>0</v>
          </cell>
          <cell r="U259">
            <v>0</v>
          </cell>
          <cell r="V259">
            <v>0</v>
          </cell>
          <cell r="X259">
            <v>100</v>
          </cell>
          <cell r="Y259">
            <v>202</v>
          </cell>
          <cell r="Z259">
            <v>302</v>
          </cell>
          <cell r="AA259">
            <v>100</v>
          </cell>
          <cell r="AB259">
            <v>0</v>
          </cell>
          <cell r="AC259">
            <v>100</v>
          </cell>
          <cell r="AG259">
            <v>0</v>
          </cell>
          <cell r="AH259">
            <v>1699</v>
          </cell>
          <cell r="AJ259">
            <v>1699</v>
          </cell>
        </row>
        <row r="260">
          <cell r="AJ260">
            <v>0</v>
          </cell>
        </row>
        <row r="261">
          <cell r="AJ261">
            <v>0</v>
          </cell>
        </row>
        <row r="262">
          <cell r="C262">
            <v>158</v>
          </cell>
          <cell r="D262">
            <v>0</v>
          </cell>
          <cell r="E262">
            <v>0</v>
          </cell>
          <cell r="M262">
            <v>0</v>
          </cell>
          <cell r="N262">
            <v>0</v>
          </cell>
          <cell r="O262">
            <v>75</v>
          </cell>
          <cell r="P262">
            <v>0</v>
          </cell>
          <cell r="Q262">
            <v>0</v>
          </cell>
          <cell r="R262">
            <v>0</v>
          </cell>
          <cell r="S262">
            <v>120</v>
          </cell>
          <cell r="T262">
            <v>0</v>
          </cell>
          <cell r="U262">
            <v>0</v>
          </cell>
          <cell r="V262">
            <v>0</v>
          </cell>
          <cell r="X262">
            <v>0</v>
          </cell>
          <cell r="Y262">
            <v>0</v>
          </cell>
          <cell r="Z262">
            <v>0</v>
          </cell>
          <cell r="AA262">
            <v>0</v>
          </cell>
          <cell r="AB262">
            <v>0</v>
          </cell>
          <cell r="AC262">
            <v>0</v>
          </cell>
          <cell r="AG262">
            <v>0</v>
          </cell>
          <cell r="AH262">
            <v>942</v>
          </cell>
          <cell r="AJ262">
            <v>942</v>
          </cell>
        </row>
        <row r="263">
          <cell r="C263">
            <v>489</v>
          </cell>
          <cell r="D263">
            <v>55</v>
          </cell>
          <cell r="E263">
            <v>0</v>
          </cell>
          <cell r="M263">
            <v>8</v>
          </cell>
          <cell r="N263">
            <v>39</v>
          </cell>
          <cell r="O263">
            <v>52</v>
          </cell>
          <cell r="P263">
            <v>0</v>
          </cell>
          <cell r="Q263">
            <v>0</v>
          </cell>
          <cell r="R263">
            <v>52</v>
          </cell>
          <cell r="S263">
            <v>40</v>
          </cell>
          <cell r="T263">
            <v>0</v>
          </cell>
          <cell r="U263">
            <v>0</v>
          </cell>
          <cell r="V263">
            <v>40</v>
          </cell>
          <cell r="X263">
            <v>0</v>
          </cell>
          <cell r="Y263">
            <v>0</v>
          </cell>
          <cell r="Z263">
            <v>0</v>
          </cell>
          <cell r="AA263">
            <v>0</v>
          </cell>
          <cell r="AB263">
            <v>0</v>
          </cell>
          <cell r="AC263">
            <v>0</v>
          </cell>
          <cell r="AG263">
            <v>0</v>
          </cell>
          <cell r="AH263">
            <v>628</v>
          </cell>
          <cell r="AJ263">
            <v>628</v>
          </cell>
        </row>
        <row r="264">
          <cell r="C264">
            <v>0</v>
          </cell>
          <cell r="N264">
            <v>580</v>
          </cell>
          <cell r="O264">
            <v>80</v>
          </cell>
          <cell r="R264">
            <v>0</v>
          </cell>
          <cell r="S264">
            <v>70</v>
          </cell>
          <cell r="V264">
            <v>70</v>
          </cell>
          <cell r="AG264">
            <v>250</v>
          </cell>
          <cell r="AH264">
            <v>1480</v>
          </cell>
          <cell r="AJ264">
            <v>1480</v>
          </cell>
        </row>
        <row r="265">
          <cell r="C265">
            <v>0</v>
          </cell>
          <cell r="N265">
            <v>0</v>
          </cell>
          <cell r="O265">
            <v>0</v>
          </cell>
          <cell r="R265">
            <v>0</v>
          </cell>
          <cell r="S265">
            <v>15</v>
          </cell>
          <cell r="V265">
            <v>15</v>
          </cell>
          <cell r="X265">
            <v>0</v>
          </cell>
          <cell r="AA265">
            <v>0</v>
          </cell>
          <cell r="AH265">
            <v>78</v>
          </cell>
          <cell r="AJ265">
            <v>78</v>
          </cell>
        </row>
        <row r="266">
          <cell r="AJ266">
            <v>0</v>
          </cell>
        </row>
        <row r="267">
          <cell r="C267">
            <v>0</v>
          </cell>
          <cell r="D267">
            <v>0</v>
          </cell>
          <cell r="E267">
            <v>0</v>
          </cell>
          <cell r="M267">
            <v>0</v>
          </cell>
          <cell r="N267">
            <v>0</v>
          </cell>
          <cell r="O267">
            <v>110</v>
          </cell>
          <cell r="P267">
            <v>0</v>
          </cell>
          <cell r="Q267">
            <v>0</v>
          </cell>
          <cell r="R267">
            <v>0</v>
          </cell>
          <cell r="S267">
            <v>0</v>
          </cell>
          <cell r="T267">
            <v>0</v>
          </cell>
          <cell r="U267">
            <v>0</v>
          </cell>
          <cell r="V267">
            <v>77</v>
          </cell>
          <cell r="X267">
            <v>0</v>
          </cell>
          <cell r="Y267">
            <v>0</v>
          </cell>
          <cell r="Z267">
            <v>0</v>
          </cell>
          <cell r="AA267">
            <v>0</v>
          </cell>
          <cell r="AB267">
            <v>0</v>
          </cell>
          <cell r="AC267">
            <v>0</v>
          </cell>
          <cell r="AG267">
            <v>0</v>
          </cell>
          <cell r="AH267">
            <v>111</v>
          </cell>
          <cell r="AJ267">
            <v>111</v>
          </cell>
        </row>
        <row r="268">
          <cell r="C268">
            <v>3</v>
          </cell>
          <cell r="D268">
            <v>1</v>
          </cell>
          <cell r="E268">
            <v>2</v>
          </cell>
          <cell r="M268">
            <v>0</v>
          </cell>
          <cell r="N268">
            <v>0</v>
          </cell>
          <cell r="O268">
            <v>0</v>
          </cell>
          <cell r="P268">
            <v>0</v>
          </cell>
          <cell r="Q268">
            <v>0</v>
          </cell>
          <cell r="R268">
            <v>0</v>
          </cell>
          <cell r="S268">
            <v>0</v>
          </cell>
          <cell r="T268">
            <v>0</v>
          </cell>
          <cell r="U268">
            <v>0</v>
          </cell>
          <cell r="V268">
            <v>0</v>
          </cell>
          <cell r="X268">
            <v>682</v>
          </cell>
          <cell r="Y268">
            <v>692</v>
          </cell>
          <cell r="Z268">
            <v>1374</v>
          </cell>
          <cell r="AA268">
            <v>0</v>
          </cell>
          <cell r="AB268">
            <v>0</v>
          </cell>
          <cell r="AC268">
            <v>0</v>
          </cell>
          <cell r="AG268">
            <v>0</v>
          </cell>
          <cell r="AH268">
            <v>3973</v>
          </cell>
          <cell r="AJ268">
            <v>3973</v>
          </cell>
        </row>
        <row r="269">
          <cell r="C269">
            <v>0</v>
          </cell>
          <cell r="D269">
            <v>0</v>
          </cell>
          <cell r="E269">
            <v>0</v>
          </cell>
          <cell r="M269">
            <v>0</v>
          </cell>
          <cell r="N269">
            <v>0</v>
          </cell>
          <cell r="O269">
            <v>0</v>
          </cell>
          <cell r="P269">
            <v>0</v>
          </cell>
          <cell r="Q269">
            <v>0</v>
          </cell>
          <cell r="R269">
            <v>0</v>
          </cell>
          <cell r="S269">
            <v>0</v>
          </cell>
          <cell r="T269">
            <v>0</v>
          </cell>
          <cell r="U269">
            <v>0</v>
          </cell>
          <cell r="V269">
            <v>0</v>
          </cell>
          <cell r="X269">
            <v>0</v>
          </cell>
          <cell r="Y269">
            <v>0</v>
          </cell>
          <cell r="Z269">
            <v>0</v>
          </cell>
          <cell r="AA269">
            <v>0</v>
          </cell>
          <cell r="AB269">
            <v>0</v>
          </cell>
          <cell r="AC269">
            <v>0</v>
          </cell>
          <cell r="AG269">
            <v>0</v>
          </cell>
          <cell r="AH269">
            <v>363.66666666666663</v>
          </cell>
          <cell r="AJ269">
            <v>363.66666666666663</v>
          </cell>
        </row>
        <row r="270">
          <cell r="C270">
            <v>105</v>
          </cell>
          <cell r="D270">
            <v>22</v>
          </cell>
          <cell r="E270">
            <v>83</v>
          </cell>
          <cell r="M270">
            <v>0</v>
          </cell>
          <cell r="N270">
            <v>0</v>
          </cell>
          <cell r="O270">
            <v>0</v>
          </cell>
          <cell r="P270">
            <v>0</v>
          </cell>
          <cell r="Q270">
            <v>0</v>
          </cell>
          <cell r="R270">
            <v>0</v>
          </cell>
          <cell r="S270">
            <v>0</v>
          </cell>
          <cell r="T270">
            <v>0</v>
          </cell>
          <cell r="U270">
            <v>0</v>
          </cell>
          <cell r="V270">
            <v>0</v>
          </cell>
          <cell r="X270">
            <v>0</v>
          </cell>
          <cell r="Y270">
            <v>0</v>
          </cell>
          <cell r="Z270">
            <v>0</v>
          </cell>
          <cell r="AA270">
            <v>0</v>
          </cell>
          <cell r="AB270">
            <v>0</v>
          </cell>
          <cell r="AC270">
            <v>0</v>
          </cell>
          <cell r="AG270">
            <v>0</v>
          </cell>
          <cell r="AH270">
            <v>105</v>
          </cell>
          <cell r="AJ270">
            <v>105</v>
          </cell>
        </row>
        <row r="271">
          <cell r="C271">
            <v>0</v>
          </cell>
          <cell r="D271">
            <v>0</v>
          </cell>
          <cell r="E271">
            <v>0</v>
          </cell>
          <cell r="M271">
            <v>0</v>
          </cell>
          <cell r="N271">
            <v>0</v>
          </cell>
          <cell r="O271">
            <v>28</v>
          </cell>
          <cell r="P271">
            <v>0</v>
          </cell>
          <cell r="Q271">
            <v>0</v>
          </cell>
          <cell r="R271">
            <v>22</v>
          </cell>
          <cell r="S271">
            <v>0</v>
          </cell>
          <cell r="T271">
            <v>0</v>
          </cell>
          <cell r="U271">
            <v>0</v>
          </cell>
          <cell r="V271">
            <v>0</v>
          </cell>
          <cell r="X271">
            <v>0</v>
          </cell>
          <cell r="Y271">
            <v>0</v>
          </cell>
          <cell r="Z271">
            <v>0</v>
          </cell>
          <cell r="AA271">
            <v>16</v>
          </cell>
          <cell r="AB271">
            <v>3</v>
          </cell>
          <cell r="AC271">
            <v>19</v>
          </cell>
          <cell r="AG271">
            <v>795</v>
          </cell>
          <cell r="AH271">
            <v>823</v>
          </cell>
          <cell r="AJ271">
            <v>823</v>
          </cell>
        </row>
        <row r="272">
          <cell r="C272">
            <v>0</v>
          </cell>
          <cell r="D272">
            <v>0</v>
          </cell>
          <cell r="E272">
            <v>0</v>
          </cell>
          <cell r="M272">
            <v>0</v>
          </cell>
          <cell r="N272">
            <v>0</v>
          </cell>
          <cell r="O272">
            <v>0</v>
          </cell>
          <cell r="P272">
            <v>0</v>
          </cell>
          <cell r="Q272">
            <v>0</v>
          </cell>
          <cell r="R272">
            <v>10</v>
          </cell>
          <cell r="S272">
            <v>0</v>
          </cell>
          <cell r="T272">
            <v>0</v>
          </cell>
          <cell r="U272">
            <v>0</v>
          </cell>
          <cell r="V272">
            <v>0</v>
          </cell>
          <cell r="X272">
            <v>0</v>
          </cell>
          <cell r="Y272">
            <v>0</v>
          </cell>
          <cell r="Z272">
            <v>0</v>
          </cell>
          <cell r="AA272">
            <v>69</v>
          </cell>
          <cell r="AB272">
            <v>0</v>
          </cell>
          <cell r="AC272">
            <v>69</v>
          </cell>
          <cell r="AG272">
            <v>0</v>
          </cell>
          <cell r="AH272">
            <v>0</v>
          </cell>
          <cell r="AJ272">
            <v>0</v>
          </cell>
        </row>
        <row r="273">
          <cell r="C273">
            <v>12639.624351355458</v>
          </cell>
          <cell r="D273">
            <v>3119</v>
          </cell>
          <cell r="E273">
            <v>2765.3333333333335</v>
          </cell>
          <cell r="M273">
            <v>2448.6445454545456</v>
          </cell>
          <cell r="N273">
            <v>-609</v>
          </cell>
          <cell r="O273">
            <v>951.81818181818107</v>
          </cell>
          <cell r="P273">
            <v>538</v>
          </cell>
          <cell r="Q273">
            <v>1192.9181818181814</v>
          </cell>
          <cell r="R273">
            <v>-580</v>
          </cell>
          <cell r="S273">
            <v>256.00000000000034</v>
          </cell>
          <cell r="T273">
            <v>270</v>
          </cell>
          <cell r="U273">
            <v>554.70000000000107</v>
          </cell>
          <cell r="V273">
            <v>-309</v>
          </cell>
          <cell r="X273">
            <v>785.2</v>
          </cell>
          <cell r="Y273">
            <v>97.799999999999955</v>
          </cell>
          <cell r="Z273">
            <v>882.99999999999955</v>
          </cell>
          <cell r="AA273">
            <v>0</v>
          </cell>
          <cell r="AB273">
            <v>0</v>
          </cell>
          <cell r="AC273">
            <v>0</v>
          </cell>
          <cell r="AG273">
            <v>-68</v>
          </cell>
          <cell r="AH273">
            <v>16898.915260446371</v>
          </cell>
          <cell r="AJ273">
            <v>16867.915260446367</v>
          </cell>
        </row>
        <row r="274">
          <cell r="C274">
            <v>0</v>
          </cell>
          <cell r="D274">
            <v>0</v>
          </cell>
          <cell r="E274">
            <v>0</v>
          </cell>
          <cell r="M274">
            <v>-425.88000000000011</v>
          </cell>
          <cell r="N274">
            <v>0</v>
          </cell>
          <cell r="O274">
            <v>469</v>
          </cell>
          <cell r="P274">
            <v>145</v>
          </cell>
          <cell r="Q274">
            <v>324</v>
          </cell>
          <cell r="R274">
            <v>0</v>
          </cell>
          <cell r="S274">
            <v>558</v>
          </cell>
          <cell r="T274">
            <v>182</v>
          </cell>
          <cell r="U274">
            <v>376</v>
          </cell>
          <cell r="V274">
            <v>0</v>
          </cell>
          <cell r="X274">
            <v>410</v>
          </cell>
          <cell r="Y274">
            <v>80</v>
          </cell>
          <cell r="Z274">
            <v>433</v>
          </cell>
          <cell r="AA274">
            <v>0</v>
          </cell>
          <cell r="AB274">
            <v>0</v>
          </cell>
          <cell r="AC274">
            <v>0</v>
          </cell>
          <cell r="AG274">
            <v>0</v>
          </cell>
          <cell r="AH274">
            <v>912</v>
          </cell>
          <cell r="AJ274">
            <v>912</v>
          </cell>
        </row>
        <row r="285">
          <cell r="C285" t="str">
            <v>лютий</v>
          </cell>
          <cell r="O285" t="str">
            <v>лютий</v>
          </cell>
          <cell r="S285" t="str">
            <v>лютий</v>
          </cell>
        </row>
        <row r="286">
          <cell r="C286" t="str">
            <v>АППАРАТ</v>
          </cell>
          <cell r="O286" t="str">
            <v>ТЕЦ5</v>
          </cell>
          <cell r="S286" t="str">
            <v>ТЕЦ6</v>
          </cell>
          <cell r="AH286" t="str">
            <v>АК "КЕ"</v>
          </cell>
          <cell r="AJ286" t="str">
            <v>Е/Е</v>
          </cell>
        </row>
        <row r="287">
          <cell r="C287" t="str">
            <v>ПЛАН</v>
          </cell>
          <cell r="O287" t="str">
            <v>ПЛАН</v>
          </cell>
          <cell r="S287" t="str">
            <v>ПЛАН</v>
          </cell>
          <cell r="AH287" t="str">
            <v>ПЛАН</v>
          </cell>
          <cell r="AJ287" t="str">
            <v>ПЛАН</v>
          </cell>
        </row>
        <row r="288">
          <cell r="C288">
            <v>164.3</v>
          </cell>
          <cell r="D288">
            <v>35</v>
          </cell>
          <cell r="E288">
            <v>35</v>
          </cell>
          <cell r="O288">
            <v>182</v>
          </cell>
          <cell r="P288">
            <v>56</v>
          </cell>
          <cell r="Q288">
            <v>56</v>
          </cell>
          <cell r="S288">
            <v>323.66666666666674</v>
          </cell>
          <cell r="T288">
            <v>106</v>
          </cell>
          <cell r="U288">
            <v>105</v>
          </cell>
          <cell r="AH288">
            <v>735.30000000000018</v>
          </cell>
          <cell r="AJ288">
            <v>329.33333333333337</v>
          </cell>
          <cell r="AK288">
            <v>226.33333333333334</v>
          </cell>
        </row>
        <row r="289">
          <cell r="C289">
            <v>29</v>
          </cell>
          <cell r="D289">
            <v>6</v>
          </cell>
          <cell r="O289">
            <v>0</v>
          </cell>
          <cell r="P289">
            <v>0</v>
          </cell>
          <cell r="S289">
            <v>3.6666666666666665</v>
          </cell>
          <cell r="T289">
            <v>1</v>
          </cell>
          <cell r="AH289">
            <v>46</v>
          </cell>
          <cell r="AJ289">
            <v>10</v>
          </cell>
        </row>
        <row r="290">
          <cell r="C290">
            <v>0</v>
          </cell>
          <cell r="D290">
            <v>0</v>
          </cell>
          <cell r="O290">
            <v>146.66666666666666</v>
          </cell>
          <cell r="P290">
            <v>45</v>
          </cell>
          <cell r="S290">
            <v>280.66666666666669</v>
          </cell>
          <cell r="T290">
            <v>92</v>
          </cell>
          <cell r="AH290">
            <v>428</v>
          </cell>
          <cell r="AJ290">
            <v>137.66666666666666</v>
          </cell>
        </row>
        <row r="291">
          <cell r="C291">
            <v>0</v>
          </cell>
          <cell r="D291">
            <v>0</v>
          </cell>
          <cell r="O291">
            <v>0</v>
          </cell>
          <cell r="P291">
            <v>0</v>
          </cell>
          <cell r="S291">
            <v>25</v>
          </cell>
          <cell r="T291">
            <v>8</v>
          </cell>
          <cell r="AH291">
            <v>33.666666666666671</v>
          </cell>
          <cell r="AJ291">
            <v>13</v>
          </cell>
        </row>
        <row r="292">
          <cell r="C292">
            <v>0</v>
          </cell>
          <cell r="D292">
            <v>0</v>
          </cell>
          <cell r="O292">
            <v>25.333333333333332</v>
          </cell>
          <cell r="P292">
            <v>8</v>
          </cell>
          <cell r="S292">
            <v>0.66666666666666663</v>
          </cell>
          <cell r="T292">
            <v>0</v>
          </cell>
          <cell r="AH292">
            <v>26</v>
          </cell>
          <cell r="AJ292">
            <v>8</v>
          </cell>
        </row>
        <row r="293">
          <cell r="C293">
            <v>120.63333333333333</v>
          </cell>
          <cell r="D293">
            <v>26</v>
          </cell>
          <cell r="O293">
            <v>0</v>
          </cell>
          <cell r="P293">
            <v>0</v>
          </cell>
          <cell r="S293" t="str">
            <v>Собівартість</v>
          </cell>
          <cell r="T293">
            <v>0</v>
          </cell>
          <cell r="AH293">
            <v>120.63333333333333</v>
          </cell>
          <cell r="AJ293">
            <v>28</v>
          </cell>
        </row>
        <row r="294">
          <cell r="C294">
            <v>8.6666666666666661</v>
          </cell>
          <cell r="D294">
            <v>2</v>
          </cell>
          <cell r="O294">
            <v>0</v>
          </cell>
          <cell r="P294">
            <v>0</v>
          </cell>
          <cell r="S294">
            <v>0</v>
          </cell>
          <cell r="T294">
            <v>0</v>
          </cell>
          <cell r="U294">
            <v>-25</v>
          </cell>
          <cell r="AH294">
            <v>8.6666666666666661</v>
          </cell>
          <cell r="AJ294">
            <v>0</v>
          </cell>
        </row>
        <row r="295">
          <cell r="C295">
            <v>0</v>
          </cell>
          <cell r="D295">
            <v>0</v>
          </cell>
          <cell r="O295">
            <v>0</v>
          </cell>
          <cell r="P295">
            <v>0</v>
          </cell>
          <cell r="S295">
            <v>0</v>
          </cell>
          <cell r="T295">
            <v>0</v>
          </cell>
          <cell r="U295">
            <v>-1.375</v>
          </cell>
          <cell r="AH295">
            <v>22</v>
          </cell>
          <cell r="AJ295">
            <v>15.333333333333332</v>
          </cell>
        </row>
        <row r="296">
          <cell r="C296">
            <v>5.333333333333333</v>
          </cell>
          <cell r="D296">
            <v>1</v>
          </cell>
          <cell r="O296">
            <v>0</v>
          </cell>
          <cell r="P296">
            <v>0</v>
          </cell>
          <cell r="S296">
            <v>0</v>
          </cell>
          <cell r="T296">
            <v>0</v>
          </cell>
          <cell r="U296">
            <v>-8</v>
          </cell>
          <cell r="AH296">
            <v>5.333333333333333</v>
          </cell>
          <cell r="AJ296">
            <v>1</v>
          </cell>
        </row>
        <row r="297">
          <cell r="C297">
            <v>0.33333333333333331</v>
          </cell>
          <cell r="D297">
            <v>0</v>
          </cell>
          <cell r="O297">
            <v>0</v>
          </cell>
          <cell r="P297">
            <v>0</v>
          </cell>
          <cell r="S297">
            <v>0</v>
          </cell>
          <cell r="T297">
            <v>0</v>
          </cell>
          <cell r="U297">
            <v>-2.1590909090909096</v>
          </cell>
          <cell r="AH297">
            <v>4.6666666666666661</v>
          </cell>
          <cell r="AJ297">
            <v>4.333333333333333</v>
          </cell>
        </row>
        <row r="298">
          <cell r="C298">
            <v>0.33333333333333331</v>
          </cell>
          <cell r="D298">
            <v>0</v>
          </cell>
          <cell r="O298">
            <v>10</v>
          </cell>
          <cell r="P298">
            <v>3</v>
          </cell>
          <cell r="S298">
            <v>13.666666666666666</v>
          </cell>
          <cell r="T298">
            <v>4</v>
          </cell>
          <cell r="AH298">
            <v>26</v>
          </cell>
          <cell r="AJ298">
            <v>9</v>
          </cell>
        </row>
        <row r="299">
          <cell r="C299">
            <v>0</v>
          </cell>
          <cell r="D299">
            <v>0</v>
          </cell>
          <cell r="O299">
            <v>0</v>
          </cell>
          <cell r="P299">
            <v>0</v>
          </cell>
          <cell r="S299">
            <v>0</v>
          </cell>
          <cell r="T299">
            <v>0</v>
          </cell>
          <cell r="AH299">
            <v>0</v>
          </cell>
        </row>
        <row r="300">
          <cell r="C300">
            <v>1.1666666666666667</v>
          </cell>
          <cell r="D300">
            <v>0</v>
          </cell>
          <cell r="O300">
            <v>522.33333333333337</v>
          </cell>
          <cell r="P300">
            <v>162</v>
          </cell>
          <cell r="S300">
            <v>43</v>
          </cell>
          <cell r="T300">
            <v>14</v>
          </cell>
          <cell r="AH300">
            <v>587.33333333333337</v>
          </cell>
          <cell r="AJ300">
            <v>196.5</v>
          </cell>
          <cell r="AK300">
            <v>196.83333333333334</v>
          </cell>
        </row>
        <row r="301">
          <cell r="C301">
            <v>0</v>
          </cell>
          <cell r="D301">
            <v>0</v>
          </cell>
          <cell r="O301">
            <v>0</v>
          </cell>
          <cell r="P301">
            <v>0</v>
          </cell>
          <cell r="S301">
            <v>0</v>
          </cell>
          <cell r="T301">
            <v>0</v>
          </cell>
          <cell r="AH301">
            <v>0</v>
          </cell>
          <cell r="AJ301">
            <v>0</v>
          </cell>
        </row>
        <row r="302">
          <cell r="C302">
            <v>0</v>
          </cell>
          <cell r="D302">
            <v>0</v>
          </cell>
          <cell r="O302">
            <v>480.66666666666669</v>
          </cell>
          <cell r="P302">
            <v>149</v>
          </cell>
          <cell r="S302">
            <v>11</v>
          </cell>
          <cell r="T302">
            <v>4</v>
          </cell>
          <cell r="AH302">
            <v>491.66666666666669</v>
          </cell>
          <cell r="AJ302">
            <v>153</v>
          </cell>
        </row>
        <row r="303">
          <cell r="C303">
            <v>0</v>
          </cell>
          <cell r="D303">
            <v>0</v>
          </cell>
          <cell r="O303">
            <v>0</v>
          </cell>
          <cell r="P303">
            <v>0</v>
          </cell>
          <cell r="S303" t="str">
            <v>ФМЗ ( з відрахуван)</v>
          </cell>
          <cell r="T303">
            <v>0</v>
          </cell>
          <cell r="U303">
            <v>25</v>
          </cell>
          <cell r="AH303">
            <v>0</v>
          </cell>
          <cell r="AJ303">
            <v>0</v>
          </cell>
        </row>
        <row r="304">
          <cell r="C304">
            <v>1.1666666666666667</v>
          </cell>
          <cell r="D304">
            <v>0</v>
          </cell>
          <cell r="O304">
            <v>41.666666666666664</v>
          </cell>
          <cell r="P304">
            <v>13</v>
          </cell>
          <cell r="S304">
            <v>32</v>
          </cell>
          <cell r="T304">
            <v>10</v>
          </cell>
          <cell r="AH304">
            <v>91</v>
          </cell>
          <cell r="AJ304">
            <v>43.833333333333336</v>
          </cell>
        </row>
        <row r="305">
          <cell r="C305">
            <v>0</v>
          </cell>
          <cell r="D305">
            <v>0</v>
          </cell>
          <cell r="O305">
            <v>0</v>
          </cell>
          <cell r="P305">
            <v>0</v>
          </cell>
          <cell r="S305">
            <v>0</v>
          </cell>
          <cell r="T305">
            <v>0</v>
          </cell>
          <cell r="AH305">
            <v>4.666666666666667</v>
          </cell>
          <cell r="AJ305">
            <v>0</v>
          </cell>
        </row>
        <row r="306">
          <cell r="C306">
            <v>0</v>
          </cell>
          <cell r="D306">
            <v>0</v>
          </cell>
          <cell r="O306">
            <v>0</v>
          </cell>
          <cell r="P306">
            <v>0</v>
          </cell>
          <cell r="S306">
            <v>0</v>
          </cell>
          <cell r="T306">
            <v>0</v>
          </cell>
          <cell r="AH306">
            <v>0</v>
          </cell>
        </row>
        <row r="307">
          <cell r="C307">
            <v>10</v>
          </cell>
          <cell r="D307">
            <v>2</v>
          </cell>
          <cell r="O307">
            <v>0</v>
          </cell>
          <cell r="P307">
            <v>0</v>
          </cell>
          <cell r="S307">
            <v>0</v>
          </cell>
          <cell r="T307">
            <v>0</v>
          </cell>
          <cell r="AH307">
            <v>49</v>
          </cell>
          <cell r="AJ307">
            <v>41</v>
          </cell>
          <cell r="AK307">
            <v>42</v>
          </cell>
        </row>
        <row r="308">
          <cell r="C308">
            <v>2.6666666666666665</v>
          </cell>
          <cell r="D308">
            <v>1</v>
          </cell>
          <cell r="O308">
            <v>0</v>
          </cell>
          <cell r="P308">
            <v>0</v>
          </cell>
          <cell r="S308">
            <v>0</v>
          </cell>
          <cell r="T308">
            <v>0</v>
          </cell>
          <cell r="AH308">
            <v>6</v>
          </cell>
          <cell r="AJ308">
            <v>4.3333333333333339</v>
          </cell>
        </row>
        <row r="309">
          <cell r="C309">
            <v>7.333333333333333</v>
          </cell>
          <cell r="D309">
            <v>2</v>
          </cell>
          <cell r="O309">
            <v>0</v>
          </cell>
          <cell r="P309">
            <v>0</v>
          </cell>
          <cell r="S309">
            <v>0</v>
          </cell>
          <cell r="T309">
            <v>0</v>
          </cell>
          <cell r="AH309">
            <v>43</v>
          </cell>
          <cell r="AJ309">
            <v>37.666666666666664</v>
          </cell>
        </row>
        <row r="310">
          <cell r="C310">
            <v>0</v>
          </cell>
          <cell r="D310">
            <v>0</v>
          </cell>
          <cell r="O310">
            <v>0</v>
          </cell>
          <cell r="P310">
            <v>0</v>
          </cell>
          <cell r="S310">
            <v>0</v>
          </cell>
          <cell r="T310">
            <v>0</v>
          </cell>
          <cell r="AH310">
            <v>0</v>
          </cell>
        </row>
        <row r="311">
          <cell r="C311">
            <v>206.33333333333329</v>
          </cell>
          <cell r="D311">
            <v>44</v>
          </cell>
          <cell r="E311">
            <v>43</v>
          </cell>
          <cell r="O311">
            <v>37.833333333333343</v>
          </cell>
          <cell r="P311">
            <v>12</v>
          </cell>
          <cell r="S311">
            <v>26.000000000000004</v>
          </cell>
          <cell r="T311">
            <v>9</v>
          </cell>
          <cell r="AH311">
            <v>1965.0000000000002</v>
          </cell>
          <cell r="AJ311">
            <v>373.16666666666663</v>
          </cell>
          <cell r="AK311">
            <v>373.16666666666663</v>
          </cell>
        </row>
        <row r="312">
          <cell r="C312">
            <v>0</v>
          </cell>
          <cell r="D312">
            <v>0</v>
          </cell>
          <cell r="O312">
            <v>0</v>
          </cell>
          <cell r="P312">
            <v>0</v>
          </cell>
          <cell r="S312">
            <v>0</v>
          </cell>
          <cell r="T312">
            <v>0</v>
          </cell>
          <cell r="AH312">
            <v>1350</v>
          </cell>
          <cell r="AJ312">
            <v>0</v>
          </cell>
        </row>
        <row r="313">
          <cell r="C313">
            <v>0</v>
          </cell>
          <cell r="D313">
            <v>0</v>
          </cell>
          <cell r="O313">
            <v>0</v>
          </cell>
          <cell r="P313">
            <v>0</v>
          </cell>
          <cell r="S313">
            <v>0</v>
          </cell>
          <cell r="T313">
            <v>0</v>
          </cell>
          <cell r="AH313">
            <v>95</v>
          </cell>
          <cell r="AJ313">
            <v>95</v>
          </cell>
        </row>
        <row r="314">
          <cell r="C314">
            <v>0</v>
          </cell>
          <cell r="D314">
            <v>0</v>
          </cell>
          <cell r="O314">
            <v>0</v>
          </cell>
          <cell r="P314">
            <v>0</v>
          </cell>
          <cell r="S314">
            <v>0</v>
          </cell>
          <cell r="T314">
            <v>0</v>
          </cell>
          <cell r="AH314">
            <v>0</v>
          </cell>
          <cell r="AJ314">
            <v>0</v>
          </cell>
        </row>
        <row r="315">
          <cell r="C315">
            <v>0</v>
          </cell>
          <cell r="D315">
            <v>0</v>
          </cell>
          <cell r="O315">
            <v>0</v>
          </cell>
          <cell r="P315">
            <v>0</v>
          </cell>
          <cell r="S315">
            <v>0</v>
          </cell>
          <cell r="T315">
            <v>0</v>
          </cell>
          <cell r="AH315">
            <v>12.333333333333334</v>
          </cell>
          <cell r="AJ315">
            <v>12.333333333333334</v>
          </cell>
        </row>
        <row r="316">
          <cell r="C316">
            <v>0</v>
          </cell>
          <cell r="D316">
            <v>0</v>
          </cell>
          <cell r="O316">
            <v>0</v>
          </cell>
          <cell r="P316">
            <v>0</v>
          </cell>
          <cell r="S316">
            <v>0</v>
          </cell>
          <cell r="T316">
            <v>0</v>
          </cell>
          <cell r="AH316">
            <v>0</v>
          </cell>
          <cell r="AJ316">
            <v>0</v>
          </cell>
        </row>
        <row r="317">
          <cell r="C317">
            <v>1.6666666666666667</v>
          </cell>
          <cell r="D317">
            <v>0</v>
          </cell>
          <cell r="O317">
            <v>3</v>
          </cell>
          <cell r="P317">
            <v>1</v>
          </cell>
          <cell r="S317">
            <v>3</v>
          </cell>
          <cell r="T317">
            <v>1</v>
          </cell>
          <cell r="AH317">
            <v>57.666666666666664</v>
          </cell>
          <cell r="AJ317">
            <v>47</v>
          </cell>
        </row>
        <row r="318">
          <cell r="C318">
            <v>0</v>
          </cell>
          <cell r="D318">
            <v>0</v>
          </cell>
          <cell r="O318">
            <v>0</v>
          </cell>
          <cell r="P318">
            <v>0</v>
          </cell>
          <cell r="S318">
            <v>0</v>
          </cell>
          <cell r="T318">
            <v>0</v>
          </cell>
          <cell r="AH318">
            <v>4</v>
          </cell>
          <cell r="AJ318">
            <v>0</v>
          </cell>
        </row>
        <row r="319">
          <cell r="C319">
            <v>0</v>
          </cell>
          <cell r="D319">
            <v>0</v>
          </cell>
          <cell r="O319">
            <v>0</v>
          </cell>
          <cell r="P319">
            <v>0</v>
          </cell>
          <cell r="S319">
            <v>0</v>
          </cell>
          <cell r="T319">
            <v>0</v>
          </cell>
          <cell r="AH319">
            <v>0</v>
          </cell>
          <cell r="AJ319">
            <v>0</v>
          </cell>
        </row>
        <row r="320">
          <cell r="C320">
            <v>0</v>
          </cell>
          <cell r="D320">
            <v>0</v>
          </cell>
          <cell r="O320">
            <v>4.5</v>
          </cell>
          <cell r="P320">
            <v>1</v>
          </cell>
          <cell r="S320">
            <v>1.3333333333333333</v>
          </cell>
          <cell r="T320">
            <v>0</v>
          </cell>
          <cell r="AH320">
            <v>28.5</v>
          </cell>
          <cell r="AJ320">
            <v>23.5</v>
          </cell>
        </row>
        <row r="321">
          <cell r="C321">
            <v>0</v>
          </cell>
          <cell r="D321">
            <v>0</v>
          </cell>
          <cell r="O321">
            <v>0</v>
          </cell>
          <cell r="P321">
            <v>0</v>
          </cell>
          <cell r="S321">
            <v>1.6666666666666667</v>
          </cell>
          <cell r="T321">
            <v>1</v>
          </cell>
          <cell r="AH321">
            <v>69</v>
          </cell>
          <cell r="AJ321">
            <v>52.333333333333336</v>
          </cell>
        </row>
        <row r="322">
          <cell r="C322">
            <v>177</v>
          </cell>
          <cell r="D322">
            <v>38</v>
          </cell>
          <cell r="O322">
            <v>0</v>
          </cell>
          <cell r="P322">
            <v>0</v>
          </cell>
          <cell r="S322">
            <v>0</v>
          </cell>
          <cell r="T322">
            <v>0</v>
          </cell>
          <cell r="AH322">
            <v>177</v>
          </cell>
          <cell r="AJ322">
            <v>38</v>
          </cell>
        </row>
        <row r="323">
          <cell r="C323">
            <v>0</v>
          </cell>
          <cell r="D323">
            <v>0</v>
          </cell>
          <cell r="O323">
            <v>10</v>
          </cell>
          <cell r="P323">
            <v>3</v>
          </cell>
          <cell r="S323">
            <v>7.666666666666667</v>
          </cell>
          <cell r="T323">
            <v>3</v>
          </cell>
          <cell r="AH323">
            <v>17.666666666666668</v>
          </cell>
          <cell r="AJ323">
            <v>6</v>
          </cell>
        </row>
        <row r="324">
          <cell r="C324">
            <v>0.66666666666666663</v>
          </cell>
          <cell r="D324">
            <v>0</v>
          </cell>
          <cell r="O324">
            <v>1.3333333333333333</v>
          </cell>
          <cell r="P324">
            <v>0</v>
          </cell>
          <cell r="S324">
            <v>1</v>
          </cell>
          <cell r="T324">
            <v>0</v>
          </cell>
          <cell r="AH324">
            <v>6</v>
          </cell>
          <cell r="AJ324">
            <v>2</v>
          </cell>
        </row>
        <row r="325">
          <cell r="C325">
            <v>2.6666666666666665</v>
          </cell>
          <cell r="D325">
            <v>1</v>
          </cell>
          <cell r="O325">
            <v>1</v>
          </cell>
          <cell r="P325">
            <v>0</v>
          </cell>
          <cell r="S325">
            <v>0.66666666666666663</v>
          </cell>
          <cell r="T325">
            <v>0</v>
          </cell>
          <cell r="AH325">
            <v>9.3333333333333339</v>
          </cell>
          <cell r="AJ325">
            <v>3.3333333333333335</v>
          </cell>
        </row>
        <row r="326">
          <cell r="C326">
            <v>0</v>
          </cell>
          <cell r="D326">
            <v>0</v>
          </cell>
          <cell r="O326">
            <v>6</v>
          </cell>
          <cell r="P326">
            <v>2</v>
          </cell>
          <cell r="S326">
            <v>5</v>
          </cell>
          <cell r="T326">
            <v>2</v>
          </cell>
          <cell r="AH326">
            <v>13.333333333333334</v>
          </cell>
          <cell r="AJ326">
            <v>6.3333333333333339</v>
          </cell>
        </row>
        <row r="327">
          <cell r="C327">
            <v>0</v>
          </cell>
          <cell r="D327">
            <v>0</v>
          </cell>
          <cell r="O327">
            <v>0</v>
          </cell>
          <cell r="P327">
            <v>0</v>
          </cell>
          <cell r="S327">
            <v>0</v>
          </cell>
          <cell r="T327">
            <v>0</v>
          </cell>
          <cell r="AH327">
            <v>0</v>
          </cell>
          <cell r="AJ327">
            <v>0</v>
          </cell>
        </row>
        <row r="328">
          <cell r="C328">
            <v>0</v>
          </cell>
          <cell r="D328">
            <v>0</v>
          </cell>
          <cell r="O328">
            <v>0</v>
          </cell>
          <cell r="P328">
            <v>0</v>
          </cell>
          <cell r="S328">
            <v>0</v>
          </cell>
          <cell r="T328">
            <v>0</v>
          </cell>
          <cell r="AH328">
            <v>0</v>
          </cell>
          <cell r="AJ328">
            <v>0</v>
          </cell>
        </row>
        <row r="329">
          <cell r="C329">
            <v>9.6666666666666661</v>
          </cell>
          <cell r="D329">
            <v>2</v>
          </cell>
          <cell r="O329">
            <v>0</v>
          </cell>
          <cell r="P329">
            <v>0</v>
          </cell>
          <cell r="S329">
            <v>0</v>
          </cell>
          <cell r="T329">
            <v>0</v>
          </cell>
          <cell r="AH329">
            <v>12</v>
          </cell>
          <cell r="AJ329">
            <v>4</v>
          </cell>
        </row>
        <row r="330">
          <cell r="C330">
            <v>0</v>
          </cell>
          <cell r="D330">
            <v>0</v>
          </cell>
          <cell r="O330">
            <v>0</v>
          </cell>
          <cell r="P330">
            <v>0</v>
          </cell>
          <cell r="S330">
            <v>0</v>
          </cell>
          <cell r="T330">
            <v>0</v>
          </cell>
          <cell r="AH330">
            <v>0</v>
          </cell>
          <cell r="AJ330">
            <v>0</v>
          </cell>
        </row>
        <row r="331">
          <cell r="C331">
            <v>2.3333333333333335</v>
          </cell>
          <cell r="D331">
            <v>0</v>
          </cell>
          <cell r="O331">
            <v>0.66666666666666663</v>
          </cell>
          <cell r="P331">
            <v>0</v>
          </cell>
          <cell r="S331">
            <v>0.66666666666666663</v>
          </cell>
          <cell r="T331">
            <v>0</v>
          </cell>
          <cell r="AH331">
            <v>4.333333333333333</v>
          </cell>
          <cell r="AJ331">
            <v>0.66666666666666663</v>
          </cell>
        </row>
        <row r="332">
          <cell r="C332">
            <v>1.6666666666666667</v>
          </cell>
          <cell r="D332">
            <v>0</v>
          </cell>
          <cell r="O332">
            <v>0.66666666666666663</v>
          </cell>
          <cell r="P332">
            <v>0</v>
          </cell>
          <cell r="S332">
            <v>0.66666666666666663</v>
          </cell>
          <cell r="T332">
            <v>0</v>
          </cell>
          <cell r="AH332">
            <v>3.6666666666666665</v>
          </cell>
          <cell r="AJ332">
            <v>0.66666666666666663</v>
          </cell>
        </row>
        <row r="333">
          <cell r="C333">
            <v>6.666666666666667</v>
          </cell>
          <cell r="D333">
            <v>1</v>
          </cell>
          <cell r="O333">
            <v>3</v>
          </cell>
          <cell r="P333">
            <v>1</v>
          </cell>
          <cell r="S333">
            <v>2</v>
          </cell>
          <cell r="T333">
            <v>1</v>
          </cell>
          <cell r="AH333">
            <v>33</v>
          </cell>
          <cell r="AJ333">
            <v>17.666666666666668</v>
          </cell>
        </row>
        <row r="334">
          <cell r="C334">
            <v>0</v>
          </cell>
          <cell r="D334">
            <v>0</v>
          </cell>
          <cell r="O334">
            <v>0</v>
          </cell>
          <cell r="P334">
            <v>0</v>
          </cell>
          <cell r="S334">
            <v>0</v>
          </cell>
          <cell r="T334">
            <v>0</v>
          </cell>
          <cell r="AH334">
            <v>0</v>
          </cell>
          <cell r="AJ334">
            <v>0</v>
          </cell>
        </row>
        <row r="335">
          <cell r="C335">
            <v>0</v>
          </cell>
          <cell r="D335">
            <v>0</v>
          </cell>
          <cell r="O335">
            <v>0</v>
          </cell>
          <cell r="P335">
            <v>0</v>
          </cell>
          <cell r="S335">
            <v>0</v>
          </cell>
          <cell r="T335">
            <v>0</v>
          </cell>
          <cell r="AH335">
            <v>0</v>
          </cell>
          <cell r="AJ335">
            <v>53</v>
          </cell>
        </row>
        <row r="336">
          <cell r="C336">
            <v>1</v>
          </cell>
          <cell r="D336">
            <v>0</v>
          </cell>
          <cell r="O336">
            <v>0</v>
          </cell>
          <cell r="P336">
            <v>0</v>
          </cell>
          <cell r="S336">
            <v>0</v>
          </cell>
          <cell r="T336">
            <v>0</v>
          </cell>
          <cell r="AH336">
            <v>1</v>
          </cell>
          <cell r="AJ336">
            <v>1</v>
          </cell>
        </row>
        <row r="337">
          <cell r="C337">
            <v>0</v>
          </cell>
          <cell r="D337">
            <v>0</v>
          </cell>
          <cell r="O337">
            <v>0</v>
          </cell>
          <cell r="P337">
            <v>0</v>
          </cell>
          <cell r="S337">
            <v>0</v>
          </cell>
          <cell r="T337">
            <v>0</v>
          </cell>
          <cell r="AH337">
            <v>0</v>
          </cell>
          <cell r="AJ337">
            <v>0</v>
          </cell>
        </row>
        <row r="338">
          <cell r="C338">
            <v>0</v>
          </cell>
          <cell r="D338">
            <v>0</v>
          </cell>
          <cell r="O338">
            <v>0</v>
          </cell>
          <cell r="P338">
            <v>0</v>
          </cell>
          <cell r="S338">
            <v>0</v>
          </cell>
          <cell r="T338">
            <v>0</v>
          </cell>
          <cell r="AH338">
            <v>0</v>
          </cell>
          <cell r="AJ338">
            <v>0</v>
          </cell>
        </row>
        <row r="339">
          <cell r="C339">
            <v>2.6666666666666665</v>
          </cell>
          <cell r="D339">
            <v>1</v>
          </cell>
          <cell r="O339">
            <v>4</v>
          </cell>
          <cell r="P339">
            <v>1</v>
          </cell>
          <cell r="S339">
            <v>2</v>
          </cell>
          <cell r="T339">
            <v>1</v>
          </cell>
          <cell r="AH339">
            <v>15.666666666666666</v>
          </cell>
          <cell r="AJ339">
            <v>7</v>
          </cell>
        </row>
        <row r="340">
          <cell r="C340">
            <v>0</v>
          </cell>
          <cell r="D340">
            <v>0</v>
          </cell>
          <cell r="O340">
            <v>0</v>
          </cell>
          <cell r="P340">
            <v>0</v>
          </cell>
          <cell r="S340">
            <v>0</v>
          </cell>
          <cell r="T340">
            <v>0</v>
          </cell>
          <cell r="AH340">
            <v>0</v>
          </cell>
          <cell r="AJ340">
            <v>0</v>
          </cell>
        </row>
        <row r="341">
          <cell r="C341">
            <v>0</v>
          </cell>
          <cell r="D341">
            <v>0</v>
          </cell>
          <cell r="O341">
            <v>3.3333333333333335</v>
          </cell>
          <cell r="P341">
            <v>1</v>
          </cell>
          <cell r="S341">
            <v>0</v>
          </cell>
          <cell r="T341">
            <v>0</v>
          </cell>
          <cell r="AH341">
            <v>3.3333333333333335</v>
          </cell>
          <cell r="AJ341">
            <v>1</v>
          </cell>
        </row>
        <row r="342">
          <cell r="C342">
            <v>0.33333333333333331</v>
          </cell>
          <cell r="D342">
            <v>0</v>
          </cell>
          <cell r="O342">
            <v>0.33333333333333331</v>
          </cell>
          <cell r="P342">
            <v>0</v>
          </cell>
          <cell r="S342">
            <v>0.33333333333333331</v>
          </cell>
          <cell r="T342">
            <v>0</v>
          </cell>
          <cell r="AH342">
            <v>1.9999999999999998</v>
          </cell>
          <cell r="AJ342">
            <v>0.33333333333333331</v>
          </cell>
        </row>
        <row r="343">
          <cell r="C343">
            <v>0</v>
          </cell>
          <cell r="D343">
            <v>0</v>
          </cell>
          <cell r="O343">
            <v>0</v>
          </cell>
          <cell r="P343">
            <v>0</v>
          </cell>
          <cell r="S343">
            <v>0</v>
          </cell>
          <cell r="T343">
            <v>0</v>
          </cell>
          <cell r="AH343">
            <v>0</v>
          </cell>
          <cell r="AJ343">
            <v>0</v>
          </cell>
        </row>
        <row r="344">
          <cell r="C344">
            <v>0</v>
          </cell>
          <cell r="D344">
            <v>0</v>
          </cell>
          <cell r="O344">
            <v>0</v>
          </cell>
          <cell r="P344">
            <v>0</v>
          </cell>
          <cell r="S344">
            <v>0</v>
          </cell>
          <cell r="T344">
            <v>0</v>
          </cell>
          <cell r="AH344">
            <v>0</v>
          </cell>
          <cell r="AJ344">
            <v>0</v>
          </cell>
        </row>
        <row r="345">
          <cell r="C345">
            <v>0</v>
          </cell>
          <cell r="D345">
            <v>0</v>
          </cell>
          <cell r="O345">
            <v>0</v>
          </cell>
          <cell r="P345">
            <v>0</v>
          </cell>
          <cell r="S345">
            <v>0</v>
          </cell>
          <cell r="T345">
            <v>0</v>
          </cell>
          <cell r="AH345">
            <v>0</v>
          </cell>
          <cell r="AJ345">
            <v>0</v>
          </cell>
        </row>
        <row r="346">
          <cell r="C346">
            <v>0</v>
          </cell>
          <cell r="D346">
            <v>0</v>
          </cell>
          <cell r="O346">
            <v>0</v>
          </cell>
          <cell r="P346">
            <v>0</v>
          </cell>
          <cell r="S346">
            <v>0</v>
          </cell>
          <cell r="T346">
            <v>0</v>
          </cell>
          <cell r="AH346">
            <v>0</v>
          </cell>
          <cell r="AJ346">
            <v>0</v>
          </cell>
        </row>
        <row r="347">
          <cell r="C347">
            <v>0</v>
          </cell>
          <cell r="D347">
            <v>0</v>
          </cell>
          <cell r="O347">
            <v>0</v>
          </cell>
          <cell r="P347">
            <v>0</v>
          </cell>
          <cell r="S347">
            <v>0</v>
          </cell>
          <cell r="T347">
            <v>0</v>
          </cell>
          <cell r="AH347">
            <v>0</v>
          </cell>
          <cell r="AJ347">
            <v>0</v>
          </cell>
        </row>
        <row r="348">
          <cell r="C348">
            <v>0</v>
          </cell>
          <cell r="D348">
            <v>0</v>
          </cell>
          <cell r="O348">
            <v>0</v>
          </cell>
          <cell r="P348">
            <v>0</v>
          </cell>
          <cell r="S348">
            <v>0</v>
          </cell>
          <cell r="T348">
            <v>0</v>
          </cell>
          <cell r="AH348">
            <v>0</v>
          </cell>
          <cell r="AJ348">
            <v>0</v>
          </cell>
        </row>
        <row r="349">
          <cell r="D349">
            <v>0</v>
          </cell>
          <cell r="O349">
            <v>0</v>
          </cell>
          <cell r="P349">
            <v>0</v>
          </cell>
          <cell r="S349">
            <v>0</v>
          </cell>
          <cell r="T349">
            <v>0</v>
          </cell>
          <cell r="AH349">
            <v>0</v>
          </cell>
          <cell r="AJ349">
            <v>2</v>
          </cell>
        </row>
        <row r="350">
          <cell r="O350">
            <v>0</v>
          </cell>
          <cell r="P350">
            <v>0</v>
          </cell>
          <cell r="S350">
            <v>0</v>
          </cell>
          <cell r="T350">
            <v>0</v>
          </cell>
          <cell r="AH350">
            <v>0</v>
          </cell>
          <cell r="AJ350">
            <v>0</v>
          </cell>
        </row>
      </sheetData>
      <sheetData sheetId="35" refreshError="1">
        <row r="16">
          <cell r="AP16" t="str">
            <v>ЗАТВЕРДЖУЮ</v>
          </cell>
        </row>
        <row r="17">
          <cell r="C17" t="str">
            <v>І.В.ПЛАЧКОВ</v>
          </cell>
          <cell r="AP17" t="str">
            <v>ГОЛОВА ПРАЛІННЯ АК КЕ</v>
          </cell>
        </row>
        <row r="22">
          <cell r="AV22" t="str">
            <v>І.В.ПЛАЧКОВ</v>
          </cell>
        </row>
        <row r="30">
          <cell r="C30" t="str">
            <v>ВИКОН.ДИР.ПЛАН</v>
          </cell>
          <cell r="D30" t="str">
            <v>Е/Е</v>
          </cell>
          <cell r="E30" t="str">
            <v xml:space="preserve"> Т/Е</v>
          </cell>
          <cell r="N30" t="str">
            <v xml:space="preserve">ККМ ПЛАН </v>
          </cell>
          <cell r="O30" t="str">
            <v>ЗВІТ</v>
          </cell>
          <cell r="P30" t="str">
            <v>ВІДХ.</v>
          </cell>
          <cell r="Q30" t="str">
            <v>КТМ ПЛАН</v>
          </cell>
          <cell r="R30" t="str">
            <v>ЗВІТ</v>
          </cell>
          <cell r="S30" t="str">
            <v>ВІДХ.</v>
          </cell>
          <cell r="T30" t="str">
            <v>ТЕЦ-5   ПЛАН</v>
          </cell>
          <cell r="U30" t="str">
            <v>Е/Е</v>
          </cell>
          <cell r="V30" t="str">
            <v xml:space="preserve"> Т/Е</v>
          </cell>
          <cell r="W30" t="str">
            <v>ЗВІТ</v>
          </cell>
          <cell r="X30" t="str">
            <v>ВІДХ.</v>
          </cell>
          <cell r="Y30" t="str">
            <v>ТЕЦ-6  ПЛАН</v>
          </cell>
          <cell r="Z30" t="str">
            <v>Е/Е</v>
          </cell>
          <cell r="AA30" t="str">
            <v xml:space="preserve"> Т/Е</v>
          </cell>
          <cell r="AB30" t="str">
            <v>ЗВІТ</v>
          </cell>
          <cell r="AC30" t="str">
            <v>ВІДХ.</v>
          </cell>
          <cell r="AD30" t="str">
            <v>ТРМ ВСЬОГО ПЛАН</v>
          </cell>
          <cell r="AE30" t="str">
            <v>ТРМ АК ПЛАН</v>
          </cell>
          <cell r="AF30" t="str">
            <v>ТРМ СТОР  ПЛАН</v>
          </cell>
          <cell r="AG30" t="str">
            <v>ТРМ ВСЬОГО ЗВІТ</v>
          </cell>
          <cell r="AH30" t="str">
            <v>ТРМ АК ЗВІТ</v>
          </cell>
          <cell r="AI30" t="str">
            <v>ТРМ СТОР  ЗВІТ</v>
          </cell>
          <cell r="AJ30" t="str">
            <v>відх всього</v>
          </cell>
          <cell r="AK30" t="str">
            <v>Е/Е</v>
          </cell>
          <cell r="AL30" t="str">
            <v xml:space="preserve"> Т/Е</v>
          </cell>
          <cell r="AN30" t="str">
            <v>ДОП.ВИР. ПЛАН</v>
          </cell>
          <cell r="AO30" t="str">
            <v>ЗВІТ</v>
          </cell>
          <cell r="AP30" t="str">
            <v>АК КЕ  ПЛАН</v>
          </cell>
          <cell r="AQ30" t="str">
            <v xml:space="preserve"> Е/Е</v>
          </cell>
          <cell r="AR30" t="str">
            <v xml:space="preserve"> Т/Е</v>
          </cell>
          <cell r="AS30" t="str">
            <v>ЗВІТ</v>
          </cell>
          <cell r="AT30" t="str">
            <v>відх</v>
          </cell>
          <cell r="AU30" t="str">
            <v>СТАНЦІї ЕЛЕКТРО</v>
          </cell>
          <cell r="AV30" t="str">
            <v>СТАНЦІІ ТЕПЛОВІ</v>
          </cell>
          <cell r="AW30" t="str">
            <v>МЕРЕЖІ ЕЛЕКТРО</v>
          </cell>
          <cell r="AX30" t="str">
            <v>МЕРЕЖІ ТЕПЛОВІ</v>
          </cell>
        </row>
        <row r="31">
          <cell r="U31">
            <v>330</v>
          </cell>
          <cell r="Z31">
            <v>298</v>
          </cell>
          <cell r="AQ31">
            <v>628</v>
          </cell>
        </row>
        <row r="32">
          <cell r="U32">
            <v>291.85000000000002</v>
          </cell>
          <cell r="Z32">
            <v>268.14999999999998</v>
          </cell>
          <cell r="AQ32">
            <v>560</v>
          </cell>
        </row>
        <row r="33">
          <cell r="AQ33">
            <v>0</v>
          </cell>
        </row>
        <row r="34">
          <cell r="AQ34">
            <v>0</v>
          </cell>
        </row>
        <row r="35">
          <cell r="AQ35">
            <v>32</v>
          </cell>
        </row>
        <row r="36">
          <cell r="AQ36">
            <v>0</v>
          </cell>
        </row>
        <row r="37">
          <cell r="AQ37">
            <v>500</v>
          </cell>
        </row>
        <row r="38">
          <cell r="N38">
            <v>0</v>
          </cell>
          <cell r="AQ38">
            <v>468</v>
          </cell>
        </row>
        <row r="39">
          <cell r="C39">
            <v>20859.162484848486</v>
          </cell>
          <cell r="N39">
            <v>14796.902727272727</v>
          </cell>
          <cell r="O39">
            <v>51</v>
          </cell>
          <cell r="P39">
            <v>-14745.902727272727</v>
          </cell>
          <cell r="Q39">
            <v>44395.738575757583</v>
          </cell>
          <cell r="R39">
            <v>1921</v>
          </cell>
          <cell r="S39">
            <v>-42474.738575757583</v>
          </cell>
          <cell r="T39">
            <v>16978.723636363633</v>
          </cell>
          <cell r="W39">
            <v>504</v>
          </cell>
          <cell r="X39">
            <v>-16474.723636363633</v>
          </cell>
          <cell r="Y39">
            <v>10027.740606060592</v>
          </cell>
          <cell r="Z39">
            <v>4556</v>
          </cell>
          <cell r="AA39">
            <v>4527.307272727272</v>
          </cell>
          <cell r="AB39">
            <v>354</v>
          </cell>
          <cell r="AC39">
            <v>-9673.7406060605917</v>
          </cell>
          <cell r="AD39">
            <v>24120.28842424243</v>
          </cell>
          <cell r="AE39">
            <v>19507.011090909091</v>
          </cell>
          <cell r="AG39">
            <v>693</v>
          </cell>
          <cell r="AH39">
            <v>693</v>
          </cell>
          <cell r="AI39">
            <v>0</v>
          </cell>
          <cell r="AJ39">
            <v>-23427.28842424243</v>
          </cell>
          <cell r="AN39">
            <v>8475.2999999999993</v>
          </cell>
        </row>
        <row r="40">
          <cell r="AF40">
            <v>4613.2773333333389</v>
          </cell>
          <cell r="AI40">
            <v>0</v>
          </cell>
        </row>
        <row r="41">
          <cell r="C41">
            <v>2856.2818181818179</v>
          </cell>
          <cell r="D41">
            <v>1031</v>
          </cell>
          <cell r="E41">
            <v>1825.2818181818182</v>
          </cell>
          <cell r="N41">
            <v>4905.7127272727275</v>
          </cell>
          <cell r="Q41">
            <v>10981.60090909091</v>
          </cell>
          <cell r="T41">
            <v>4306.8772727272726</v>
          </cell>
          <cell r="U41">
            <v>2180</v>
          </cell>
          <cell r="V41">
            <v>2126.8772727272726</v>
          </cell>
          <cell r="Y41">
            <v>3481.4672727272728</v>
          </cell>
          <cell r="Z41">
            <v>1690</v>
          </cell>
          <cell r="AA41">
            <v>1791.4672727272728</v>
          </cell>
          <cell r="AE41">
            <v>8947.636363636364</v>
          </cell>
          <cell r="AG41">
            <v>535</v>
          </cell>
          <cell r="AH41">
            <v>535</v>
          </cell>
          <cell r="AN41">
            <v>545</v>
          </cell>
          <cell r="AR41">
            <v>3918.3445454545454</v>
          </cell>
        </row>
        <row r="42">
          <cell r="Q42">
            <v>970</v>
          </cell>
          <cell r="V42">
            <v>750</v>
          </cell>
          <cell r="AA42">
            <v>590</v>
          </cell>
          <cell r="AR42">
            <v>2095</v>
          </cell>
        </row>
        <row r="46">
          <cell r="C46">
            <v>3221.1759999999999</v>
          </cell>
          <cell r="D46">
            <v>1164</v>
          </cell>
          <cell r="E46">
            <v>2057.1759999999999</v>
          </cell>
          <cell r="N46">
            <v>2438.1680000000001</v>
          </cell>
          <cell r="P46">
            <v>-2438.1680000000001</v>
          </cell>
          <cell r="Q46">
            <v>4421.0159999999996</v>
          </cell>
          <cell r="S46">
            <v>-4421.0159999999996</v>
          </cell>
          <cell r="T46">
            <v>1050.8879999999999</v>
          </cell>
          <cell r="U46">
            <v>543</v>
          </cell>
          <cell r="V46">
            <v>507.88799999999992</v>
          </cell>
          <cell r="X46">
            <v>-1050.8879999999999</v>
          </cell>
          <cell r="Y46">
            <v>1577.3940000000002</v>
          </cell>
          <cell r="Z46">
            <v>869</v>
          </cell>
          <cell r="AA46">
            <v>708.39400000000012</v>
          </cell>
          <cell r="AC46">
            <v>-1577.3940000000002</v>
          </cell>
          <cell r="AD46">
            <v>2439.5913333333333</v>
          </cell>
          <cell r="AE46">
            <v>1718.93</v>
          </cell>
          <cell r="AF46">
            <v>720.66133333333323</v>
          </cell>
          <cell r="AJ46">
            <v>-2439.5913333333333</v>
          </cell>
          <cell r="AN46">
            <v>0</v>
          </cell>
          <cell r="AP46">
            <v>14758.572</v>
          </cell>
          <cell r="AQ46">
            <v>5120.1679999999997</v>
          </cell>
          <cell r="AR46">
            <v>9638.4040000000005</v>
          </cell>
          <cell r="AS46">
            <v>0</v>
          </cell>
          <cell r="AT46">
            <v>-14758.572</v>
          </cell>
          <cell r="AU46">
            <v>1412</v>
          </cell>
          <cell r="AV46">
            <v>2719</v>
          </cell>
          <cell r="AW46">
            <v>3708.1679999999997</v>
          </cell>
          <cell r="AX46">
            <v>6919.4040000000005</v>
          </cell>
        </row>
        <row r="47">
          <cell r="C47">
            <v>617</v>
          </cell>
          <cell r="E47">
            <v>617</v>
          </cell>
          <cell r="N47">
            <v>624</v>
          </cell>
          <cell r="Q47">
            <v>3327.0186666666668</v>
          </cell>
          <cell r="T47">
            <v>435.25866666666667</v>
          </cell>
          <cell r="U47">
            <v>240</v>
          </cell>
          <cell r="V47">
            <v>195.25866666666667</v>
          </cell>
          <cell r="Y47">
            <v>326.22533333333331</v>
          </cell>
          <cell r="Z47">
            <v>178</v>
          </cell>
          <cell r="AA47">
            <v>148.22533333333334</v>
          </cell>
          <cell r="AC47">
            <v>-326.22533333333331</v>
          </cell>
          <cell r="AD47">
            <v>1997.1707200000001</v>
          </cell>
          <cell r="AE47">
            <v>1860.8825001426665</v>
          </cell>
          <cell r="AF47">
            <v>64</v>
          </cell>
          <cell r="AP47">
            <v>7190.3851668093339</v>
          </cell>
        </row>
        <row r="48">
          <cell r="C48">
            <v>0</v>
          </cell>
          <cell r="E48">
            <v>0</v>
          </cell>
          <cell r="N48">
            <v>1</v>
          </cell>
          <cell r="Q48">
            <v>0</v>
          </cell>
          <cell r="T48">
            <v>114.19266666666665</v>
          </cell>
          <cell r="U48">
            <v>48</v>
          </cell>
          <cell r="V48">
            <v>66.192666666666653</v>
          </cell>
          <cell r="Y48">
            <v>253.52799999999999</v>
          </cell>
          <cell r="Z48">
            <v>102</v>
          </cell>
          <cell r="AA48">
            <v>151.52799999999999</v>
          </cell>
          <cell r="AC48">
            <v>-253.52799999999999</v>
          </cell>
          <cell r="AD48">
            <v>0</v>
          </cell>
          <cell r="AE48">
            <v>0</v>
          </cell>
          <cell r="AF48">
            <v>0</v>
          </cell>
          <cell r="AP48">
            <v>368.72066666666666</v>
          </cell>
        </row>
        <row r="49">
          <cell r="C49">
            <v>1639</v>
          </cell>
          <cell r="E49">
            <v>1639</v>
          </cell>
          <cell r="N49">
            <v>60</v>
          </cell>
          <cell r="Q49">
            <v>280.33333333333337</v>
          </cell>
          <cell r="T49">
            <v>212.62666666666667</v>
          </cell>
          <cell r="U49">
            <v>129</v>
          </cell>
          <cell r="V49">
            <v>83.626666666666665</v>
          </cell>
          <cell r="Y49">
            <v>206.78399999999999</v>
          </cell>
          <cell r="Z49">
            <v>112</v>
          </cell>
          <cell r="AA49">
            <v>94.784000000000006</v>
          </cell>
          <cell r="AC49">
            <v>-206.78399999999999</v>
          </cell>
          <cell r="AD49">
            <v>106.34026666666668</v>
          </cell>
          <cell r="AE49">
            <v>77.197208235490706</v>
          </cell>
          <cell r="AF49">
            <v>26</v>
          </cell>
          <cell r="AP49">
            <v>2475.9412082354906</v>
          </cell>
        </row>
        <row r="50">
          <cell r="C50">
            <v>33.266666666666666</v>
          </cell>
          <cell r="D50">
            <v>11</v>
          </cell>
          <cell r="E50">
            <v>22.266666666666666</v>
          </cell>
          <cell r="N50">
            <v>229.124</v>
          </cell>
          <cell r="P50">
            <v>-229.124</v>
          </cell>
          <cell r="Q50">
            <v>2545.3013333333338</v>
          </cell>
          <cell r="S50">
            <v>-2545.3013333333338</v>
          </cell>
          <cell r="T50">
            <v>5025.0773333333327</v>
          </cell>
          <cell r="U50">
            <v>2439</v>
          </cell>
          <cell r="V50">
            <v>2586.0773333333327</v>
          </cell>
          <cell r="X50">
            <v>-5025.0773333333327</v>
          </cell>
          <cell r="Y50">
            <v>475.97400000000005</v>
          </cell>
          <cell r="Z50">
            <v>228</v>
          </cell>
          <cell r="AA50">
            <v>247.97399999999999</v>
          </cell>
          <cell r="AC50">
            <v>-475.97400000000005</v>
          </cell>
          <cell r="AD50">
            <v>985.95733333333328</v>
          </cell>
          <cell r="AE50">
            <v>739.72</v>
          </cell>
          <cell r="AF50">
            <v>246.23733333333331</v>
          </cell>
          <cell r="AJ50">
            <v>-985.95733333333328</v>
          </cell>
          <cell r="AN50">
            <v>0</v>
          </cell>
          <cell r="AP50">
            <v>9000.4633333333331</v>
          </cell>
          <cell r="AQ50">
            <v>2907.1239999999998</v>
          </cell>
          <cell r="AR50">
            <v>6093.3393333333333</v>
          </cell>
          <cell r="AS50">
            <v>0</v>
          </cell>
          <cell r="AT50">
            <v>-9000.4633333333331</v>
          </cell>
          <cell r="AU50">
            <v>2667</v>
          </cell>
          <cell r="AV50">
            <v>3699</v>
          </cell>
          <cell r="AW50">
            <v>240.1239999999998</v>
          </cell>
          <cell r="AX50">
            <v>2394.3393333333333</v>
          </cell>
        </row>
        <row r="51">
          <cell r="N51">
            <v>0</v>
          </cell>
          <cell r="P51">
            <v>0</v>
          </cell>
          <cell r="Q51">
            <v>101.8</v>
          </cell>
          <cell r="S51">
            <v>-101.8</v>
          </cell>
          <cell r="T51">
            <v>4197.6000000000004</v>
          </cell>
          <cell r="U51">
            <v>1990</v>
          </cell>
          <cell r="V51">
            <v>2207.6000000000004</v>
          </cell>
          <cell r="X51">
            <v>-4197.6000000000004</v>
          </cell>
          <cell r="Y51">
            <v>78.2</v>
          </cell>
          <cell r="Z51">
            <v>38</v>
          </cell>
          <cell r="AA51">
            <v>40.200000000000003</v>
          </cell>
          <cell r="AC51">
            <v>-78.2</v>
          </cell>
          <cell r="AD51">
            <v>1</v>
          </cell>
          <cell r="AE51">
            <v>0</v>
          </cell>
          <cell r="AF51">
            <v>1</v>
          </cell>
          <cell r="AJ51">
            <v>-1</v>
          </cell>
          <cell r="AP51">
            <v>4976.6000000000004</v>
          </cell>
          <cell r="AQ51">
            <v>2627</v>
          </cell>
          <cell r="AR51">
            <v>2349.6000000000004</v>
          </cell>
          <cell r="AS51">
            <v>0</v>
          </cell>
          <cell r="AT51">
            <v>-4976.6000000000004</v>
          </cell>
          <cell r="AU51">
            <v>2028</v>
          </cell>
          <cell r="AV51">
            <v>2282</v>
          </cell>
          <cell r="AW51">
            <v>599</v>
          </cell>
          <cell r="AX51">
            <v>67.600000000000364</v>
          </cell>
        </row>
        <row r="52">
          <cell r="N52">
            <v>0</v>
          </cell>
          <cell r="P52">
            <v>0</v>
          </cell>
          <cell r="Q52">
            <v>69133</v>
          </cell>
          <cell r="S52">
            <v>-69133</v>
          </cell>
          <cell r="T52">
            <v>149098</v>
          </cell>
          <cell r="U52">
            <v>89993.347560975613</v>
          </cell>
          <cell r="V52">
            <v>59104.652439024387</v>
          </cell>
          <cell r="X52">
            <v>-149098</v>
          </cell>
          <cell r="Y52">
            <v>124226</v>
          </cell>
          <cell r="Z52">
            <v>71487.750161952048</v>
          </cell>
          <cell r="AA52">
            <v>52738.249838047945</v>
          </cell>
          <cell r="AC52">
            <v>-124226</v>
          </cell>
          <cell r="AD52">
            <v>0</v>
          </cell>
          <cell r="AE52">
            <v>0</v>
          </cell>
          <cell r="AF52">
            <v>0</v>
          </cell>
          <cell r="AJ52">
            <v>0</v>
          </cell>
          <cell r="AN52">
            <v>0</v>
          </cell>
          <cell r="AP52">
            <v>342458</v>
          </cell>
          <cell r="AQ52">
            <v>161482.09772292766</v>
          </cell>
          <cell r="AR52">
            <v>180975.90227707234</v>
          </cell>
          <cell r="AS52">
            <v>0</v>
          </cell>
          <cell r="AT52">
            <v>-342458</v>
          </cell>
          <cell r="AU52">
            <v>161481.09772292766</v>
          </cell>
          <cell r="AV52">
            <v>180976</v>
          </cell>
          <cell r="AW52">
            <v>1</v>
          </cell>
          <cell r="AX52">
            <v>-9.7722927661379799E-2</v>
          </cell>
        </row>
        <row r="53">
          <cell r="N53">
            <v>0</v>
          </cell>
          <cell r="P53">
            <v>0</v>
          </cell>
          <cell r="Q53">
            <v>69133</v>
          </cell>
          <cell r="S53">
            <v>-69133</v>
          </cell>
          <cell r="T53">
            <v>149098</v>
          </cell>
          <cell r="U53">
            <v>89993.347560975613</v>
          </cell>
          <cell r="V53">
            <v>59104.652439024387</v>
          </cell>
          <cell r="X53">
            <v>-149098</v>
          </cell>
          <cell r="Y53">
            <v>124226</v>
          </cell>
          <cell r="Z53">
            <v>71487.750161952048</v>
          </cell>
          <cell r="AA53">
            <v>52738.249838047945</v>
          </cell>
          <cell r="AC53">
            <v>-124226</v>
          </cell>
          <cell r="AD53">
            <v>0</v>
          </cell>
          <cell r="AE53">
            <v>0</v>
          </cell>
          <cell r="AF53">
            <v>0</v>
          </cell>
          <cell r="AJ53">
            <v>0</v>
          </cell>
          <cell r="AP53">
            <v>342457</v>
          </cell>
          <cell r="AQ53">
            <v>161481.09772292766</v>
          </cell>
          <cell r="AR53">
            <v>180975.90227707234</v>
          </cell>
          <cell r="AS53">
            <v>0</v>
          </cell>
          <cell r="AT53">
            <v>-342457</v>
          </cell>
          <cell r="AU53">
            <v>161481.09772292766</v>
          </cell>
          <cell r="AV53">
            <v>180976</v>
          </cell>
          <cell r="AW53">
            <v>0</v>
          </cell>
          <cell r="AX53">
            <v>-9.7722927661379799E-2</v>
          </cell>
        </row>
        <row r="54">
          <cell r="N54">
            <v>0</v>
          </cell>
          <cell r="P54">
            <v>0</v>
          </cell>
          <cell r="Q54">
            <v>0</v>
          </cell>
          <cell r="S54">
            <v>0</v>
          </cell>
          <cell r="T54">
            <v>0</v>
          </cell>
          <cell r="U54">
            <v>0</v>
          </cell>
          <cell r="Y54">
            <v>0</v>
          </cell>
          <cell r="Z54">
            <v>0</v>
          </cell>
          <cell r="AA54">
            <v>0</v>
          </cell>
          <cell r="AD54">
            <v>0</v>
          </cell>
          <cell r="AE54">
            <v>0</v>
          </cell>
          <cell r="AF54">
            <v>0</v>
          </cell>
          <cell r="AS54">
            <v>0</v>
          </cell>
          <cell r="AT54">
            <v>0</v>
          </cell>
          <cell r="AV54">
            <v>0</v>
          </cell>
        </row>
        <row r="55">
          <cell r="C55">
            <v>38.4</v>
          </cell>
          <cell r="D55">
            <v>14</v>
          </cell>
          <cell r="E55">
            <v>24.4</v>
          </cell>
          <cell r="N55">
            <v>219.08600000000001</v>
          </cell>
          <cell r="P55">
            <v>-219.08600000000001</v>
          </cell>
          <cell r="Q55">
            <v>11113.690666666667</v>
          </cell>
          <cell r="S55">
            <v>-11113.690666666667</v>
          </cell>
          <cell r="T55">
            <v>0</v>
          </cell>
          <cell r="U55">
            <v>0</v>
          </cell>
          <cell r="V55">
            <v>0</v>
          </cell>
          <cell r="X55">
            <v>0</v>
          </cell>
          <cell r="Y55">
            <v>0</v>
          </cell>
          <cell r="Z55">
            <v>0</v>
          </cell>
          <cell r="AA55">
            <v>0</v>
          </cell>
          <cell r="AC55">
            <v>0</v>
          </cell>
          <cell r="AD55">
            <v>4291.1900000000005</v>
          </cell>
          <cell r="AE55">
            <v>1816.672</v>
          </cell>
          <cell r="AF55">
            <v>2474.518</v>
          </cell>
          <cell r="AJ55">
            <v>-4291.1900000000005</v>
          </cell>
          <cell r="AN55">
            <v>0</v>
          </cell>
          <cell r="AP55">
            <v>13188.848666666669</v>
          </cell>
          <cell r="AQ55">
            <v>234.08600000000001</v>
          </cell>
          <cell r="AR55">
            <v>12954.762666666669</v>
          </cell>
          <cell r="AS55">
            <v>-1</v>
          </cell>
          <cell r="AT55">
            <v>-13189.848666666669</v>
          </cell>
          <cell r="AU55">
            <v>0</v>
          </cell>
          <cell r="AV55">
            <v>3779</v>
          </cell>
          <cell r="AW55">
            <v>234.08600000000001</v>
          </cell>
          <cell r="AX55">
            <v>9175.7626666666692</v>
          </cell>
        </row>
        <row r="56">
          <cell r="C56">
            <v>2080.2818181818179</v>
          </cell>
          <cell r="D56">
            <v>737</v>
          </cell>
          <cell r="E56">
            <v>1343.2818181818182</v>
          </cell>
          <cell r="N56">
            <v>3164.3793939393945</v>
          </cell>
          <cell r="P56">
            <v>-3164.3793939393945</v>
          </cell>
          <cell r="Q56">
            <v>5784.0554545454543</v>
          </cell>
          <cell r="S56">
            <v>-5784.0554545454543</v>
          </cell>
          <cell r="T56">
            <v>1859.6045454545456</v>
          </cell>
          <cell r="U56">
            <v>935</v>
          </cell>
          <cell r="V56">
            <v>924.60454545454559</v>
          </cell>
          <cell r="X56">
            <v>-1859.6045454545456</v>
          </cell>
          <cell r="Y56">
            <v>1648.4672727272728</v>
          </cell>
          <cell r="Z56">
            <v>799</v>
          </cell>
          <cell r="AA56">
            <v>849.46727272727276</v>
          </cell>
          <cell r="AC56">
            <v>-1648.4672727272728</v>
          </cell>
          <cell r="AD56">
            <v>6238.4354545454553</v>
          </cell>
          <cell r="AE56">
            <v>5686.545454545454</v>
          </cell>
          <cell r="AF56">
            <v>551.89000000000033</v>
          </cell>
          <cell r="AJ56">
            <v>-6238.4354545454553</v>
          </cell>
          <cell r="AN56">
            <v>0</v>
          </cell>
          <cell r="AP56">
            <v>20770.333939393939</v>
          </cell>
          <cell r="AQ56">
            <v>6005.3793939393945</v>
          </cell>
          <cell r="AR56">
            <v>14764.954545454544</v>
          </cell>
          <cell r="AS56">
            <v>0</v>
          </cell>
          <cell r="AT56">
            <v>-20770.333939393939</v>
          </cell>
          <cell r="AU56">
            <v>1734</v>
          </cell>
          <cell r="AV56">
            <v>3741</v>
          </cell>
          <cell r="AW56">
            <v>4271.3793939393945</v>
          </cell>
          <cell r="AX56">
            <v>11023.954545454544</v>
          </cell>
        </row>
        <row r="57">
          <cell r="C57">
            <v>113</v>
          </cell>
          <cell r="D57">
            <v>40</v>
          </cell>
          <cell r="E57">
            <v>73</v>
          </cell>
          <cell r="N57">
            <v>175</v>
          </cell>
          <cell r="P57">
            <v>-175</v>
          </cell>
          <cell r="Q57">
            <v>318</v>
          </cell>
          <cell r="S57">
            <v>-318</v>
          </cell>
          <cell r="T57">
            <v>101</v>
          </cell>
          <cell r="U57">
            <v>51</v>
          </cell>
          <cell r="V57">
            <v>50</v>
          </cell>
          <cell r="X57">
            <v>-101</v>
          </cell>
          <cell r="Y57">
            <v>90</v>
          </cell>
          <cell r="Z57">
            <v>44</v>
          </cell>
          <cell r="AA57">
            <v>46</v>
          </cell>
          <cell r="AC57">
            <v>-90</v>
          </cell>
          <cell r="AD57">
            <v>344</v>
          </cell>
          <cell r="AE57">
            <v>312</v>
          </cell>
          <cell r="AF57">
            <v>32</v>
          </cell>
          <cell r="AJ57">
            <v>-344</v>
          </cell>
          <cell r="AN57">
            <v>0</v>
          </cell>
          <cell r="AP57">
            <v>1138</v>
          </cell>
          <cell r="AQ57">
            <v>330</v>
          </cell>
          <cell r="AR57">
            <v>808</v>
          </cell>
          <cell r="AS57">
            <v>0</v>
          </cell>
          <cell r="AT57">
            <v>-1138</v>
          </cell>
          <cell r="AU57">
            <v>95</v>
          </cell>
          <cell r="AV57">
            <v>156</v>
          </cell>
          <cell r="AW57">
            <v>235</v>
          </cell>
          <cell r="AX57">
            <v>652</v>
          </cell>
        </row>
        <row r="58">
          <cell r="C58">
            <v>663</v>
          </cell>
          <cell r="D58">
            <v>254</v>
          </cell>
          <cell r="E58">
            <v>409</v>
          </cell>
          <cell r="N58">
            <v>1014</v>
          </cell>
          <cell r="P58">
            <v>-1014</v>
          </cell>
          <cell r="Q58">
            <v>1849</v>
          </cell>
          <cell r="S58">
            <v>-1849</v>
          </cell>
          <cell r="T58">
            <v>595</v>
          </cell>
          <cell r="U58">
            <v>299</v>
          </cell>
          <cell r="V58">
            <v>296</v>
          </cell>
          <cell r="X58">
            <v>-595</v>
          </cell>
          <cell r="Y58">
            <v>527</v>
          </cell>
          <cell r="Z58">
            <v>256</v>
          </cell>
          <cell r="AA58">
            <v>271</v>
          </cell>
          <cell r="AC58">
            <v>-527</v>
          </cell>
          <cell r="AD58">
            <v>1997</v>
          </cell>
          <cell r="AE58">
            <v>1820</v>
          </cell>
          <cell r="AF58">
            <v>177</v>
          </cell>
          <cell r="AJ58">
            <v>-1997</v>
          </cell>
          <cell r="AN58">
            <v>0</v>
          </cell>
          <cell r="AP58">
            <v>6643</v>
          </cell>
          <cell r="AQ58">
            <v>1940</v>
          </cell>
          <cell r="AR58">
            <v>4703</v>
          </cell>
          <cell r="AS58">
            <v>1</v>
          </cell>
          <cell r="AT58">
            <v>-6642</v>
          </cell>
          <cell r="AU58">
            <v>0</v>
          </cell>
          <cell r="AV58">
            <v>0</v>
          </cell>
          <cell r="AW58">
            <v>0</v>
          </cell>
          <cell r="AX58">
            <v>0</v>
          </cell>
        </row>
        <row r="59">
          <cell r="N59">
            <v>0</v>
          </cell>
          <cell r="P59">
            <v>0</v>
          </cell>
          <cell r="Q59">
            <v>0</v>
          </cell>
          <cell r="S59">
            <v>0</v>
          </cell>
          <cell r="T59">
            <v>0</v>
          </cell>
          <cell r="U59">
            <v>0</v>
          </cell>
          <cell r="V59">
            <v>0</v>
          </cell>
          <cell r="X59">
            <v>0</v>
          </cell>
          <cell r="Y59">
            <v>0</v>
          </cell>
          <cell r="Z59">
            <v>0</v>
          </cell>
          <cell r="AA59">
            <v>0</v>
          </cell>
          <cell r="AC59">
            <v>0</v>
          </cell>
          <cell r="AD59">
            <v>0</v>
          </cell>
          <cell r="AE59">
            <v>0</v>
          </cell>
          <cell r="AF59">
            <v>0</v>
          </cell>
          <cell r="AJ59">
            <v>0</v>
          </cell>
          <cell r="AN59">
            <v>37</v>
          </cell>
          <cell r="AP59">
            <v>0</v>
          </cell>
          <cell r="AQ59">
            <v>0</v>
          </cell>
          <cell r="AR59">
            <v>0</v>
          </cell>
          <cell r="AS59">
            <v>0</v>
          </cell>
          <cell r="AT59">
            <v>0</v>
          </cell>
          <cell r="AU59">
            <v>0</v>
          </cell>
          <cell r="AV59">
            <v>0</v>
          </cell>
          <cell r="AW59">
            <v>0</v>
          </cell>
          <cell r="AX59">
            <v>0</v>
          </cell>
        </row>
        <row r="60">
          <cell r="C60">
            <v>499.66666666666663</v>
          </cell>
          <cell r="D60">
            <v>175</v>
          </cell>
          <cell r="E60">
            <v>324.66666666666663</v>
          </cell>
          <cell r="N60">
            <v>3174</v>
          </cell>
          <cell r="P60">
            <v>-3174</v>
          </cell>
          <cell r="Q60">
            <v>6950</v>
          </cell>
          <cell r="S60">
            <v>-6950</v>
          </cell>
          <cell r="T60">
            <v>3715</v>
          </cell>
          <cell r="U60">
            <v>1797</v>
          </cell>
          <cell r="V60">
            <v>1918</v>
          </cell>
          <cell r="X60">
            <v>-3715</v>
          </cell>
          <cell r="Y60">
            <v>3890</v>
          </cell>
          <cell r="Z60">
            <v>1798</v>
          </cell>
          <cell r="AA60">
            <v>2092</v>
          </cell>
          <cell r="AC60">
            <v>-3890</v>
          </cell>
          <cell r="AD60">
            <v>3303.666666666667</v>
          </cell>
          <cell r="AE60">
            <v>3152.3333333333335</v>
          </cell>
          <cell r="AF60">
            <v>151.33333333333326</v>
          </cell>
          <cell r="AJ60">
            <v>-3303.666666666667</v>
          </cell>
          <cell r="AN60">
            <v>0</v>
          </cell>
          <cell r="AP60">
            <v>21339.999999999996</v>
          </cell>
          <cell r="AQ60">
            <v>6957</v>
          </cell>
          <cell r="AR60">
            <v>14382.999999999996</v>
          </cell>
          <cell r="AS60">
            <v>0</v>
          </cell>
          <cell r="AT60">
            <v>-21339.999999999996</v>
          </cell>
          <cell r="AU60">
            <v>3595</v>
          </cell>
          <cell r="AV60">
            <v>6373</v>
          </cell>
          <cell r="AW60">
            <v>3362</v>
          </cell>
          <cell r="AX60">
            <v>8009.9999999999964</v>
          </cell>
        </row>
        <row r="61">
          <cell r="N61">
            <v>0</v>
          </cell>
          <cell r="P61">
            <v>0</v>
          </cell>
          <cell r="Q61">
            <v>0</v>
          </cell>
          <cell r="S61">
            <v>0</v>
          </cell>
          <cell r="T61">
            <v>0</v>
          </cell>
          <cell r="U61">
            <v>0</v>
          </cell>
          <cell r="X61">
            <v>0</v>
          </cell>
          <cell r="Y61">
            <v>0</v>
          </cell>
          <cell r="Z61">
            <v>0</v>
          </cell>
          <cell r="AA61">
            <v>0</v>
          </cell>
          <cell r="AC61">
            <v>0</v>
          </cell>
          <cell r="AD61">
            <v>0</v>
          </cell>
          <cell r="AE61">
            <v>0</v>
          </cell>
          <cell r="AF61">
            <v>0</v>
          </cell>
          <cell r="AJ61">
            <v>0</v>
          </cell>
          <cell r="AP61">
            <v>295</v>
          </cell>
          <cell r="AS61">
            <v>0</v>
          </cell>
          <cell r="AT61">
            <v>-295</v>
          </cell>
        </row>
        <row r="62">
          <cell r="C62">
            <v>410</v>
          </cell>
          <cell r="D62">
            <v>135</v>
          </cell>
          <cell r="E62">
            <v>275</v>
          </cell>
          <cell r="N62">
            <v>3294.15</v>
          </cell>
          <cell r="P62">
            <v>-3294.15</v>
          </cell>
          <cell r="Q62">
            <v>7217.8940000000002</v>
          </cell>
          <cell r="S62">
            <v>-7217.8940000000002</v>
          </cell>
          <cell r="T62">
            <v>502.97</v>
          </cell>
          <cell r="U62">
            <v>53</v>
          </cell>
          <cell r="X62">
            <v>-502.97</v>
          </cell>
          <cell r="Y62">
            <v>780.26</v>
          </cell>
          <cell r="Z62">
            <v>28</v>
          </cell>
          <cell r="AA62">
            <v>197.76000000000002</v>
          </cell>
          <cell r="AC62">
            <v>-780.26</v>
          </cell>
          <cell r="AD62">
            <v>2119.4499999999998</v>
          </cell>
          <cell r="AE62">
            <v>1959.45</v>
          </cell>
          <cell r="AF62">
            <v>160</v>
          </cell>
          <cell r="AJ62">
            <v>-2119.4499999999998</v>
          </cell>
          <cell r="AP62">
            <v>14190.724</v>
          </cell>
          <cell r="AQ62">
            <v>3533.15</v>
          </cell>
          <cell r="AR62">
            <v>10657.574000000001</v>
          </cell>
          <cell r="AS62">
            <v>0</v>
          </cell>
          <cell r="AT62">
            <v>-14190.724</v>
          </cell>
          <cell r="AV62">
            <v>2183</v>
          </cell>
        </row>
        <row r="63">
          <cell r="C63">
            <v>0</v>
          </cell>
          <cell r="D63">
            <v>0</v>
          </cell>
          <cell r="E63">
            <v>0</v>
          </cell>
          <cell r="N63">
            <v>0</v>
          </cell>
          <cell r="P63">
            <v>0</v>
          </cell>
          <cell r="Q63">
            <v>0</v>
          </cell>
          <cell r="S63">
            <v>0</v>
          </cell>
          <cell r="T63">
            <v>0</v>
          </cell>
          <cell r="U63">
            <v>0</v>
          </cell>
          <cell r="X63">
            <v>0</v>
          </cell>
          <cell r="Y63">
            <v>0</v>
          </cell>
          <cell r="Z63">
            <v>0</v>
          </cell>
          <cell r="AA63">
            <v>0</v>
          </cell>
          <cell r="AC63">
            <v>0</v>
          </cell>
          <cell r="AD63">
            <v>0</v>
          </cell>
          <cell r="AE63">
            <v>0</v>
          </cell>
          <cell r="AF63">
            <v>0</v>
          </cell>
          <cell r="AJ63">
            <v>0</v>
          </cell>
          <cell r="AP63">
            <v>94</v>
          </cell>
          <cell r="AQ63">
            <v>94</v>
          </cell>
          <cell r="AR63">
            <v>0</v>
          </cell>
          <cell r="AS63">
            <v>0</v>
          </cell>
          <cell r="AT63">
            <v>-94</v>
          </cell>
          <cell r="AV63">
            <v>0</v>
          </cell>
        </row>
        <row r="64">
          <cell r="C64">
            <v>98.333333333333329</v>
          </cell>
          <cell r="D64">
            <v>40</v>
          </cell>
          <cell r="E64">
            <v>49.333333333333329</v>
          </cell>
          <cell r="N64">
            <v>-120.15000000000009</v>
          </cell>
          <cell r="P64">
            <v>120.15000000000009</v>
          </cell>
          <cell r="Q64">
            <v>-267.89399999999978</v>
          </cell>
          <cell r="S64">
            <v>267.89399999999978</v>
          </cell>
          <cell r="T64">
            <v>3212.0299999999997</v>
          </cell>
          <cell r="U64">
            <v>1744</v>
          </cell>
          <cell r="X64">
            <v>-3212.0299999999997</v>
          </cell>
          <cell r="Y64">
            <v>3109.74</v>
          </cell>
          <cell r="Z64">
            <v>1770</v>
          </cell>
          <cell r="AA64">
            <v>1894.24</v>
          </cell>
          <cell r="AC64">
            <v>-3109.74</v>
          </cell>
          <cell r="AD64">
            <v>1184.2166666666667</v>
          </cell>
          <cell r="AE64">
            <v>1109.8833333333334</v>
          </cell>
          <cell r="AF64">
            <v>74.333333333333258</v>
          </cell>
          <cell r="AJ64">
            <v>-1184.2166666666667</v>
          </cell>
          <cell r="AP64">
            <v>7128.9426666666659</v>
          </cell>
          <cell r="AS64">
            <v>0</v>
          </cell>
          <cell r="AT64">
            <v>-7128.9426666666659</v>
          </cell>
        </row>
        <row r="65">
          <cell r="C65">
            <v>1024.242</v>
          </cell>
          <cell r="D65">
            <v>352</v>
          </cell>
          <cell r="E65">
            <v>672.24199999999996</v>
          </cell>
          <cell r="N65">
            <v>3327.1</v>
          </cell>
          <cell r="P65">
            <v>-3327.1</v>
          </cell>
          <cell r="Q65">
            <v>7376.4954545454548</v>
          </cell>
          <cell r="S65">
            <v>-7376.4954545454548</v>
          </cell>
          <cell r="T65">
            <v>6917.4590909090903</v>
          </cell>
          <cell r="U65">
            <v>4051</v>
          </cell>
          <cell r="V65">
            <v>2866.4590909090903</v>
          </cell>
          <cell r="X65">
            <v>-6917.4590909090903</v>
          </cell>
          <cell r="Y65">
            <v>4112.3999999999996</v>
          </cell>
          <cell r="Z65">
            <v>2124</v>
          </cell>
          <cell r="AA65">
            <v>1988.4</v>
          </cell>
          <cell r="AC65">
            <v>-4112.3999999999996</v>
          </cell>
          <cell r="AD65">
            <v>4515.7636363636366</v>
          </cell>
          <cell r="AE65">
            <v>4442.7636363636366</v>
          </cell>
          <cell r="AF65">
            <v>73</v>
          </cell>
          <cell r="AJ65">
            <v>-4515.7636363636366</v>
          </cell>
          <cell r="AP65">
            <v>27128.46018181818</v>
          </cell>
          <cell r="AQ65">
            <v>9876.1</v>
          </cell>
          <cell r="AR65">
            <v>17252.360181818178</v>
          </cell>
          <cell r="AS65">
            <v>0</v>
          </cell>
          <cell r="AT65">
            <v>-27128.46018181818</v>
          </cell>
          <cell r="AU65">
            <v>6175</v>
          </cell>
          <cell r="AV65">
            <v>7363</v>
          </cell>
          <cell r="AW65">
            <v>3701.1000000000004</v>
          </cell>
          <cell r="AX65">
            <v>9889.3601818181778</v>
          </cell>
        </row>
        <row r="66">
          <cell r="C66">
            <v>0</v>
          </cell>
          <cell r="D66">
            <v>0</v>
          </cell>
          <cell r="E66">
            <v>0</v>
          </cell>
          <cell r="N66">
            <v>400.33333333333331</v>
          </cell>
          <cell r="P66">
            <v>-400.33333333333331</v>
          </cell>
          <cell r="Q66">
            <v>2205.545454545455</v>
          </cell>
          <cell r="S66">
            <v>-2205.545454545455</v>
          </cell>
          <cell r="T66">
            <v>1273.2727272727273</v>
          </cell>
          <cell r="U66">
            <v>651</v>
          </cell>
          <cell r="V66">
            <v>622.27272727272725</v>
          </cell>
          <cell r="X66">
            <v>-1273.2727272727273</v>
          </cell>
          <cell r="Y66">
            <v>883</v>
          </cell>
          <cell r="Z66">
            <v>428</v>
          </cell>
          <cell r="AA66">
            <v>455</v>
          </cell>
          <cell r="AC66">
            <v>-883</v>
          </cell>
          <cell r="AD66">
            <v>821.09090909090912</v>
          </cell>
          <cell r="AE66">
            <v>821.09090909090912</v>
          </cell>
          <cell r="AF66">
            <v>0</v>
          </cell>
          <cell r="AJ66">
            <v>-821.09090909090912</v>
          </cell>
          <cell r="AP66">
            <v>5583.2424242424249</v>
          </cell>
          <cell r="AQ66">
            <v>1479.3333333333333</v>
          </cell>
          <cell r="AR66">
            <v>4103.9090909090919</v>
          </cell>
          <cell r="AS66">
            <v>0</v>
          </cell>
          <cell r="AT66">
            <v>-5583.2424242424249</v>
          </cell>
        </row>
        <row r="67">
          <cell r="C67">
            <v>0</v>
          </cell>
          <cell r="D67">
            <v>0</v>
          </cell>
          <cell r="E67">
            <v>0</v>
          </cell>
          <cell r="N67">
            <v>23</v>
          </cell>
          <cell r="P67">
            <v>-23</v>
          </cell>
          <cell r="Q67">
            <v>121</v>
          </cell>
          <cell r="S67">
            <v>-121</v>
          </cell>
          <cell r="T67">
            <v>70</v>
          </cell>
          <cell r="U67">
            <v>36</v>
          </cell>
          <cell r="V67">
            <v>34</v>
          </cell>
          <cell r="X67">
            <v>-70</v>
          </cell>
          <cell r="Y67">
            <v>48</v>
          </cell>
          <cell r="Z67">
            <v>24</v>
          </cell>
          <cell r="AA67">
            <v>24</v>
          </cell>
          <cell r="AC67">
            <v>-48</v>
          </cell>
          <cell r="AD67">
            <v>45</v>
          </cell>
          <cell r="AE67">
            <v>45</v>
          </cell>
          <cell r="AF67">
            <v>0</v>
          </cell>
          <cell r="AJ67">
            <v>-45</v>
          </cell>
          <cell r="AP67">
            <v>369</v>
          </cell>
          <cell r="AQ67">
            <v>145</v>
          </cell>
          <cell r="AR67">
            <v>224</v>
          </cell>
          <cell r="AS67">
            <v>0</v>
          </cell>
          <cell r="AT67">
            <v>-369</v>
          </cell>
        </row>
        <row r="68">
          <cell r="C68">
            <v>0</v>
          </cell>
          <cell r="D68">
            <v>0</v>
          </cell>
          <cell r="E68">
            <v>0</v>
          </cell>
          <cell r="N68">
            <v>129</v>
          </cell>
          <cell r="P68">
            <v>-129</v>
          </cell>
          <cell r="Q68">
            <v>704</v>
          </cell>
          <cell r="S68">
            <v>-704</v>
          </cell>
          <cell r="T68">
            <v>408</v>
          </cell>
          <cell r="U68">
            <v>208</v>
          </cell>
          <cell r="V68">
            <v>200</v>
          </cell>
          <cell r="X68">
            <v>-408</v>
          </cell>
          <cell r="Y68">
            <v>285</v>
          </cell>
          <cell r="Z68">
            <v>139</v>
          </cell>
          <cell r="AA68">
            <v>146</v>
          </cell>
          <cell r="AC68">
            <v>-285</v>
          </cell>
          <cell r="AD68">
            <v>263</v>
          </cell>
          <cell r="AE68">
            <v>263</v>
          </cell>
          <cell r="AF68">
            <v>0</v>
          </cell>
          <cell r="AJ68">
            <v>-263</v>
          </cell>
          <cell r="AP68">
            <v>1789</v>
          </cell>
          <cell r="AQ68">
            <v>476</v>
          </cell>
          <cell r="AR68">
            <v>1313</v>
          </cell>
          <cell r="AS68">
            <v>620</v>
          </cell>
          <cell r="AT68">
            <v>-1169</v>
          </cell>
        </row>
        <row r="69">
          <cell r="C69">
            <v>0</v>
          </cell>
          <cell r="D69">
            <v>0</v>
          </cell>
          <cell r="E69">
            <v>0</v>
          </cell>
          <cell r="N69">
            <v>0</v>
          </cell>
          <cell r="P69">
            <v>0</v>
          </cell>
          <cell r="Q69">
            <v>0</v>
          </cell>
          <cell r="S69">
            <v>0</v>
          </cell>
          <cell r="T69">
            <v>0</v>
          </cell>
          <cell r="U69">
            <v>0</v>
          </cell>
          <cell r="V69">
            <v>0</v>
          </cell>
          <cell r="X69">
            <v>0</v>
          </cell>
          <cell r="Y69">
            <v>0</v>
          </cell>
          <cell r="Z69">
            <v>0</v>
          </cell>
          <cell r="AA69">
            <v>0</v>
          </cell>
          <cell r="AC69">
            <v>0</v>
          </cell>
          <cell r="AD69">
            <v>0</v>
          </cell>
          <cell r="AE69">
            <v>0</v>
          </cell>
          <cell r="AF69">
            <v>0</v>
          </cell>
          <cell r="AJ69">
            <v>0</v>
          </cell>
          <cell r="AP69">
            <v>-13</v>
          </cell>
          <cell r="AQ69">
            <v>-13</v>
          </cell>
          <cell r="AR69">
            <v>0</v>
          </cell>
          <cell r="AS69">
            <v>0</v>
          </cell>
          <cell r="AT69">
            <v>13</v>
          </cell>
        </row>
        <row r="70">
          <cell r="C70">
            <v>0</v>
          </cell>
          <cell r="D70">
            <v>0</v>
          </cell>
          <cell r="E70">
            <v>0</v>
          </cell>
          <cell r="N70">
            <v>1554.6</v>
          </cell>
          <cell r="P70">
            <v>-1554.6</v>
          </cell>
          <cell r="Q70">
            <v>1487</v>
          </cell>
          <cell r="S70">
            <v>-1487</v>
          </cell>
          <cell r="T70">
            <v>0</v>
          </cell>
          <cell r="U70">
            <v>2102</v>
          </cell>
          <cell r="V70">
            <v>-2102</v>
          </cell>
          <cell r="X70">
            <v>0</v>
          </cell>
          <cell r="Y70">
            <v>0</v>
          </cell>
          <cell r="Z70">
            <v>838</v>
          </cell>
          <cell r="AA70">
            <v>1754</v>
          </cell>
          <cell r="AC70">
            <v>0</v>
          </cell>
          <cell r="AD70">
            <v>1173</v>
          </cell>
          <cell r="AE70">
            <v>1883</v>
          </cell>
          <cell r="AF70">
            <v>441</v>
          </cell>
          <cell r="AJ70">
            <v>-1173</v>
          </cell>
          <cell r="AP70">
            <v>5109.6000000000004</v>
          </cell>
          <cell r="AQ70">
            <v>4679.6000000000004</v>
          </cell>
          <cell r="AS70">
            <v>0</v>
          </cell>
          <cell r="AT70">
            <v>-5109.6000000000004</v>
          </cell>
        </row>
        <row r="71">
          <cell r="C71">
            <v>0</v>
          </cell>
          <cell r="D71">
            <v>0</v>
          </cell>
          <cell r="E71">
            <v>0</v>
          </cell>
          <cell r="N71">
            <v>289</v>
          </cell>
          <cell r="P71">
            <v>-289</v>
          </cell>
          <cell r="Q71">
            <v>1765.45</v>
          </cell>
          <cell r="S71">
            <v>-1765.45</v>
          </cell>
          <cell r="T71">
            <v>0</v>
          </cell>
          <cell r="U71">
            <v>408</v>
          </cell>
          <cell r="V71">
            <v>0</v>
          </cell>
          <cell r="X71">
            <v>0</v>
          </cell>
          <cell r="Y71">
            <v>0</v>
          </cell>
          <cell r="Z71">
            <v>218</v>
          </cell>
          <cell r="AA71">
            <v>102</v>
          </cell>
          <cell r="AC71">
            <v>0</v>
          </cell>
          <cell r="AD71">
            <v>0</v>
          </cell>
          <cell r="AE71">
            <v>148.36363636363637</v>
          </cell>
          <cell r="AF71">
            <v>70</v>
          </cell>
          <cell r="AJ71">
            <v>0</v>
          </cell>
          <cell r="AP71">
            <v>2202.8136363636363</v>
          </cell>
          <cell r="AQ71">
            <v>915</v>
          </cell>
          <cell r="AS71">
            <v>0</v>
          </cell>
          <cell r="AT71">
            <v>-2202.8136363636363</v>
          </cell>
        </row>
        <row r="72">
          <cell r="C72">
            <v>10849.462666666666</v>
          </cell>
          <cell r="D72">
            <v>4207</v>
          </cell>
          <cell r="E72">
            <v>6642.4626666666672</v>
          </cell>
          <cell r="N72">
            <v>473.07000000000005</v>
          </cell>
          <cell r="P72">
            <v>-473.07000000000005</v>
          </cell>
          <cell r="Q72">
            <v>1406.3516666666667</v>
          </cell>
          <cell r="S72">
            <v>-1406.3516666666667</v>
          </cell>
          <cell r="T72">
            <v>498.45800000000003</v>
          </cell>
          <cell r="U72">
            <v>255</v>
          </cell>
          <cell r="V72">
            <v>243.45800000000003</v>
          </cell>
          <cell r="X72">
            <v>-498.45800000000003</v>
          </cell>
          <cell r="Y72">
            <v>426.31200000000001</v>
          </cell>
          <cell r="Z72">
            <v>208</v>
          </cell>
          <cell r="AA72">
            <v>218.31200000000001</v>
          </cell>
          <cell r="AC72">
            <v>-426.31200000000001</v>
          </cell>
          <cell r="AD72">
            <v>1069.9006666666667</v>
          </cell>
          <cell r="AE72">
            <v>901.93000000000006</v>
          </cell>
          <cell r="AF72">
            <v>167.97066666666666</v>
          </cell>
          <cell r="AJ72">
            <v>-1069.9006666666667</v>
          </cell>
          <cell r="AN72">
            <v>0</v>
          </cell>
          <cell r="AP72">
            <v>15543.584333333334</v>
          </cell>
          <cell r="AQ72">
            <v>5655.07</v>
          </cell>
          <cell r="AR72">
            <v>9888.5143333333344</v>
          </cell>
          <cell r="AS72">
            <v>8</v>
          </cell>
          <cell r="AT72">
            <v>-15535.584333333334</v>
          </cell>
          <cell r="AU72">
            <v>463</v>
          </cell>
          <cell r="AV72">
            <v>940</v>
          </cell>
          <cell r="AW72">
            <v>2971.07</v>
          </cell>
          <cell r="AX72">
            <v>8948.5143333333344</v>
          </cell>
        </row>
        <row r="73">
          <cell r="C73">
            <v>243</v>
          </cell>
          <cell r="D73">
            <v>103</v>
          </cell>
          <cell r="E73">
            <v>140</v>
          </cell>
          <cell r="N73">
            <v>0</v>
          </cell>
          <cell r="P73">
            <v>0</v>
          </cell>
          <cell r="Q73">
            <v>0</v>
          </cell>
          <cell r="S73">
            <v>0</v>
          </cell>
          <cell r="T73">
            <v>0</v>
          </cell>
          <cell r="U73">
            <v>0</v>
          </cell>
          <cell r="V73">
            <v>0</v>
          </cell>
          <cell r="X73">
            <v>0</v>
          </cell>
          <cell r="Y73">
            <v>0</v>
          </cell>
          <cell r="Z73">
            <v>0</v>
          </cell>
          <cell r="AA73">
            <v>0</v>
          </cell>
          <cell r="AC73">
            <v>0</v>
          </cell>
          <cell r="AD73">
            <v>0</v>
          </cell>
          <cell r="AE73">
            <v>0</v>
          </cell>
          <cell r="AF73">
            <v>0</v>
          </cell>
          <cell r="AJ73">
            <v>0</v>
          </cell>
          <cell r="AP73">
            <v>243</v>
          </cell>
          <cell r="AQ73">
            <v>103</v>
          </cell>
          <cell r="AR73">
            <v>140</v>
          </cell>
          <cell r="AS73">
            <v>0</v>
          </cell>
          <cell r="AT73">
            <v>-243</v>
          </cell>
          <cell r="AU73">
            <v>0</v>
          </cell>
          <cell r="AV73">
            <v>0</v>
          </cell>
          <cell r="AW73">
            <v>103</v>
          </cell>
          <cell r="AX73">
            <v>140</v>
          </cell>
        </row>
        <row r="74">
          <cell r="C74">
            <v>4428</v>
          </cell>
          <cell r="D74">
            <v>1883</v>
          </cell>
          <cell r="E74">
            <v>2545</v>
          </cell>
          <cell r="N74">
            <v>473.07000000000005</v>
          </cell>
          <cell r="P74">
            <v>-473.07000000000005</v>
          </cell>
          <cell r="Q74">
            <v>1406.3516666666667</v>
          </cell>
          <cell r="S74">
            <v>-1406.3516666666667</v>
          </cell>
          <cell r="T74">
            <v>498.45800000000003</v>
          </cell>
          <cell r="U74">
            <v>255</v>
          </cell>
          <cell r="V74">
            <v>243.45800000000003</v>
          </cell>
          <cell r="X74">
            <v>-498.45800000000003</v>
          </cell>
          <cell r="Y74">
            <v>426.31200000000001</v>
          </cell>
          <cell r="Z74">
            <v>208</v>
          </cell>
          <cell r="AA74">
            <v>218.31200000000001</v>
          </cell>
          <cell r="AC74">
            <v>-426.31200000000001</v>
          </cell>
          <cell r="AD74">
            <v>1069.9006666666667</v>
          </cell>
          <cell r="AE74">
            <v>901.32999999999993</v>
          </cell>
          <cell r="AF74">
            <v>168.57066666666665</v>
          </cell>
          <cell r="AJ74">
            <v>-1069.9006666666667</v>
          </cell>
          <cell r="AN74">
            <v>0</v>
          </cell>
          <cell r="AP74">
            <v>9121.5216666666656</v>
          </cell>
          <cell r="AQ74">
            <v>3331.07</v>
          </cell>
          <cell r="AR74">
            <v>5790.4516666666659</v>
          </cell>
          <cell r="AS74">
            <v>8</v>
          </cell>
          <cell r="AT74">
            <v>-9113.5216666666656</v>
          </cell>
          <cell r="AU74">
            <v>463</v>
          </cell>
          <cell r="AV74">
            <v>940</v>
          </cell>
          <cell r="AW74">
            <v>2868.07</v>
          </cell>
          <cell r="AX74">
            <v>4850.4516666666659</v>
          </cell>
        </row>
        <row r="75">
          <cell r="C75">
            <v>1177</v>
          </cell>
          <cell r="D75">
            <v>494</v>
          </cell>
          <cell r="E75">
            <v>683</v>
          </cell>
          <cell r="N75">
            <v>313.07</v>
          </cell>
          <cell r="P75">
            <v>-313.07</v>
          </cell>
          <cell r="Q75">
            <v>738.91</v>
          </cell>
          <cell r="S75">
            <v>-738.91</v>
          </cell>
          <cell r="T75">
            <v>272.80799999999999</v>
          </cell>
          <cell r="U75">
            <v>142</v>
          </cell>
          <cell r="V75">
            <v>130.80799999999999</v>
          </cell>
          <cell r="X75">
            <v>-272.80799999999999</v>
          </cell>
          <cell r="Y75">
            <v>178.36199999999999</v>
          </cell>
          <cell r="Z75">
            <v>153</v>
          </cell>
          <cell r="AA75">
            <v>25.361999999999988</v>
          </cell>
          <cell r="AC75">
            <v>-178.36199999999999</v>
          </cell>
          <cell r="AD75">
            <v>686.10066666666671</v>
          </cell>
          <cell r="AE75">
            <v>625.48</v>
          </cell>
          <cell r="AF75">
            <v>60.620666666666651</v>
          </cell>
          <cell r="AJ75">
            <v>-686.10066666666671</v>
          </cell>
          <cell r="AP75">
            <v>3490.63</v>
          </cell>
          <cell r="AQ75">
            <v>1266.07</v>
          </cell>
          <cell r="AR75">
            <v>2224.5600000000004</v>
          </cell>
          <cell r="AS75">
            <v>0</v>
          </cell>
          <cell r="AT75">
            <v>-3490.63</v>
          </cell>
          <cell r="AX75">
            <v>2224.5600000000004</v>
          </cell>
        </row>
        <row r="76">
          <cell r="C76">
            <v>33</v>
          </cell>
          <cell r="D76">
            <v>15</v>
          </cell>
          <cell r="E76">
            <v>18</v>
          </cell>
          <cell r="N76">
            <v>0</v>
          </cell>
          <cell r="P76">
            <v>0</v>
          </cell>
          <cell r="Q76">
            <v>0</v>
          </cell>
          <cell r="S76">
            <v>0</v>
          </cell>
          <cell r="T76">
            <v>0</v>
          </cell>
          <cell r="U76">
            <v>0</v>
          </cell>
          <cell r="V76">
            <v>0</v>
          </cell>
          <cell r="X76">
            <v>0</v>
          </cell>
          <cell r="Y76">
            <v>0</v>
          </cell>
          <cell r="Z76">
            <v>0</v>
          </cell>
          <cell r="AA76">
            <v>0</v>
          </cell>
          <cell r="AC76">
            <v>0</v>
          </cell>
          <cell r="AD76">
            <v>0</v>
          </cell>
          <cell r="AE76">
            <v>0</v>
          </cell>
          <cell r="AF76">
            <v>0</v>
          </cell>
          <cell r="AJ76">
            <v>0</v>
          </cell>
          <cell r="AP76">
            <v>609</v>
          </cell>
          <cell r="AQ76">
            <v>354</v>
          </cell>
          <cell r="AR76">
            <v>255</v>
          </cell>
          <cell r="AS76">
            <v>0</v>
          </cell>
          <cell r="AT76">
            <v>-609</v>
          </cell>
          <cell r="AX76">
            <v>255</v>
          </cell>
        </row>
        <row r="77">
          <cell r="C77">
            <v>307</v>
          </cell>
          <cell r="D77">
            <v>134</v>
          </cell>
          <cell r="E77">
            <v>173</v>
          </cell>
          <cell r="N77">
            <v>58.75</v>
          </cell>
          <cell r="Q77">
            <v>415.4666666666667</v>
          </cell>
          <cell r="T77">
            <v>101.6</v>
          </cell>
          <cell r="U77">
            <v>8</v>
          </cell>
          <cell r="V77">
            <v>93.6</v>
          </cell>
          <cell r="Y77">
            <v>75.150000000000006</v>
          </cell>
          <cell r="Z77">
            <v>10</v>
          </cell>
          <cell r="AA77">
            <v>27.200000000000003</v>
          </cell>
          <cell r="AD77">
            <v>188.75</v>
          </cell>
          <cell r="AE77">
            <v>132.85</v>
          </cell>
          <cell r="AF77">
            <v>55.900000000000006</v>
          </cell>
        </row>
        <row r="78">
          <cell r="C78">
            <v>1549</v>
          </cell>
          <cell r="D78">
            <v>634</v>
          </cell>
          <cell r="E78">
            <v>915</v>
          </cell>
          <cell r="N78">
            <v>100.25</v>
          </cell>
          <cell r="Q78">
            <v>251.97500000000002</v>
          </cell>
          <cell r="T78">
            <v>123.05</v>
          </cell>
          <cell r="U78">
            <v>14</v>
          </cell>
          <cell r="V78">
            <v>109.05</v>
          </cell>
          <cell r="Y78">
            <v>172.8</v>
          </cell>
          <cell r="Z78">
            <v>14</v>
          </cell>
          <cell r="AA78">
            <v>67.599999999999994</v>
          </cell>
          <cell r="AD78">
            <v>194.05</v>
          </cell>
          <cell r="AE78">
            <v>143</v>
          </cell>
          <cell r="AF78">
            <v>51.050000000000004</v>
          </cell>
        </row>
        <row r="79">
          <cell r="C79">
            <v>0</v>
          </cell>
          <cell r="D79">
            <v>0</v>
          </cell>
          <cell r="E79">
            <v>0</v>
          </cell>
          <cell r="N79">
            <v>15.1</v>
          </cell>
          <cell r="P79">
            <v>-15.1</v>
          </cell>
          <cell r="Q79">
            <v>7.5</v>
          </cell>
          <cell r="S79">
            <v>-7.5</v>
          </cell>
          <cell r="T79">
            <v>0</v>
          </cell>
          <cell r="X79">
            <v>0</v>
          </cell>
          <cell r="Y79">
            <v>6.7</v>
          </cell>
          <cell r="Z79">
            <v>0</v>
          </cell>
          <cell r="AA79">
            <v>6.7</v>
          </cell>
          <cell r="AC79">
            <v>-6.7</v>
          </cell>
          <cell r="AD79">
            <v>38.799999999999997</v>
          </cell>
          <cell r="AE79">
            <v>34</v>
          </cell>
          <cell r="AF79">
            <v>4.7999999999999972</v>
          </cell>
          <cell r="AJ79">
            <v>-38.799999999999997</v>
          </cell>
          <cell r="AP79">
            <v>578.30000000000007</v>
          </cell>
          <cell r="AQ79">
            <v>530.1</v>
          </cell>
          <cell r="AS79">
            <v>0</v>
          </cell>
          <cell r="AT79">
            <v>-578.30000000000007</v>
          </cell>
        </row>
        <row r="80">
          <cell r="C80">
            <v>18522.495818181818</v>
          </cell>
          <cell r="D80">
            <v>6954</v>
          </cell>
          <cell r="E80">
            <v>11568.495818181818</v>
          </cell>
          <cell r="N80">
            <v>14213.927393939395</v>
          </cell>
          <cell r="O80">
            <v>0</v>
          </cell>
          <cell r="P80">
            <v>-14213.927393939395</v>
          </cell>
          <cell r="Q80">
            <v>110896.91057575757</v>
          </cell>
          <cell r="R80">
            <v>0</v>
          </cell>
          <cell r="S80">
            <v>-110896.91057575757</v>
          </cell>
          <cell r="T80">
            <v>168860.48696969697</v>
          </cell>
          <cell r="U80">
            <v>100363.34756097561</v>
          </cell>
          <cell r="V80">
            <v>68497.139408721356</v>
          </cell>
          <cell r="W80">
            <v>0</v>
          </cell>
          <cell r="X80">
            <v>-168860.48696969697</v>
          </cell>
          <cell r="Y80">
            <v>136973.54727272727</v>
          </cell>
          <cell r="Z80">
            <v>77813.750161952048</v>
          </cell>
          <cell r="AA80">
            <v>59159.797110775216</v>
          </cell>
          <cell r="AB80">
            <v>0</v>
          </cell>
          <cell r="AC80">
            <v>-136973.54727272727</v>
          </cell>
          <cell r="AD80">
            <v>25185.505090909097</v>
          </cell>
          <cell r="AE80">
            <v>20590.894424242426</v>
          </cell>
          <cell r="AF80">
            <v>4594.6106666666674</v>
          </cell>
          <cell r="AG80">
            <v>0</v>
          </cell>
          <cell r="AH80">
            <v>0</v>
          </cell>
          <cell r="AI80">
            <v>0</v>
          </cell>
          <cell r="AJ80">
            <v>-25185.505090909097</v>
          </cell>
          <cell r="AL80">
            <v>0</v>
          </cell>
          <cell r="AN80">
            <v>37</v>
          </cell>
          <cell r="AP80">
            <v>471969.26245454542</v>
          </cell>
          <cell r="AQ80">
            <v>200507.02511686707</v>
          </cell>
          <cell r="AR80">
            <v>271462.23733767844</v>
          </cell>
          <cell r="AS80">
            <v>8</v>
          </cell>
          <cell r="AT80">
            <v>-471961.26245454542</v>
          </cell>
          <cell r="AU80">
            <v>177622.09772292766</v>
          </cell>
          <cell r="AV80">
            <v>209746</v>
          </cell>
          <cell r="AW80">
            <v>18723.927393939397</v>
          </cell>
          <cell r="AX80">
            <v>57013.237337678387</v>
          </cell>
        </row>
        <row r="81">
          <cell r="C81">
            <v>18279.495818181818</v>
          </cell>
          <cell r="D81">
            <v>6851</v>
          </cell>
          <cell r="E81">
            <v>11428.495818181818</v>
          </cell>
          <cell r="P81">
            <v>0</v>
          </cell>
          <cell r="S81">
            <v>0</v>
          </cell>
          <cell r="X81">
            <v>0</v>
          </cell>
          <cell r="AC81">
            <v>0</v>
          </cell>
          <cell r="AJ81">
            <v>0</v>
          </cell>
          <cell r="AP81">
            <v>129511.26245454542</v>
          </cell>
          <cell r="AQ81">
            <v>39024.927393939404</v>
          </cell>
          <cell r="AR81">
            <v>90486.335060606099</v>
          </cell>
          <cell r="AS81">
            <v>0</v>
          </cell>
          <cell r="AT81">
            <v>-129511.26245454542</v>
          </cell>
          <cell r="AU81">
            <v>16141</v>
          </cell>
          <cell r="AV81">
            <v>28770</v>
          </cell>
          <cell r="AW81">
            <v>18722.927393939397</v>
          </cell>
          <cell r="AX81">
            <v>57013.335060606049</v>
          </cell>
        </row>
        <row r="82">
          <cell r="N82">
            <v>3564.712727272728</v>
          </cell>
          <cell r="O82">
            <v>0</v>
          </cell>
          <cell r="P82">
            <v>-3564.712727272728</v>
          </cell>
          <cell r="Q82">
            <v>7989.6009090909092</v>
          </cell>
          <cell r="R82">
            <v>0</v>
          </cell>
          <cell r="S82">
            <v>-7989.6009090909092</v>
          </cell>
          <cell r="T82">
            <v>3132.8772727272726</v>
          </cell>
          <cell r="U82">
            <v>1586</v>
          </cell>
          <cell r="V82">
            <v>1546.8772727272728</v>
          </cell>
          <cell r="W82">
            <v>0</v>
          </cell>
          <cell r="X82">
            <v>-3132.8772727272726</v>
          </cell>
          <cell r="Y82">
            <v>2531.4672727272728</v>
          </cell>
          <cell r="Z82">
            <v>1227</v>
          </cell>
          <cell r="AA82">
            <v>1304.4672727272728</v>
          </cell>
          <cell r="AB82">
            <v>0</v>
          </cell>
          <cell r="AC82">
            <v>-2531.4672727272728</v>
          </cell>
          <cell r="AD82">
            <v>7059.5263636363643</v>
          </cell>
          <cell r="AE82">
            <v>6507.6363636363631</v>
          </cell>
          <cell r="AF82">
            <v>551.89000000000033</v>
          </cell>
          <cell r="AG82">
            <v>0</v>
          </cell>
          <cell r="AH82">
            <v>0</v>
          </cell>
          <cell r="AI82">
            <v>0</v>
          </cell>
          <cell r="AJ82">
            <v>-7059.5263636363643</v>
          </cell>
          <cell r="AN82">
            <v>0</v>
          </cell>
          <cell r="AP82">
            <v>26353.576363636363</v>
          </cell>
          <cell r="AS82">
            <v>0</v>
          </cell>
          <cell r="AT82">
            <v>-26353.576363636363</v>
          </cell>
        </row>
        <row r="83">
          <cell r="C83">
            <v>11727</v>
          </cell>
          <cell r="D83">
            <v>11727</v>
          </cell>
          <cell r="E83">
            <v>0</v>
          </cell>
          <cell r="P83">
            <v>0</v>
          </cell>
          <cell r="S83">
            <v>0</v>
          </cell>
          <cell r="X83">
            <v>0</v>
          </cell>
          <cell r="AC83">
            <v>0</v>
          </cell>
          <cell r="AJ83">
            <v>0</v>
          </cell>
          <cell r="AP83">
            <v>11727</v>
          </cell>
          <cell r="AQ83">
            <v>11727</v>
          </cell>
          <cell r="AR83">
            <v>0</v>
          </cell>
          <cell r="AS83">
            <v>0</v>
          </cell>
          <cell r="AT83">
            <v>-11727</v>
          </cell>
          <cell r="AU83">
            <v>0</v>
          </cell>
          <cell r="AV83">
            <v>0</v>
          </cell>
          <cell r="AW83">
            <v>0</v>
          </cell>
          <cell r="AX83">
            <v>0</v>
          </cell>
        </row>
        <row r="84">
          <cell r="C84">
            <v>30249.495818181818</v>
          </cell>
          <cell r="D84">
            <v>18681</v>
          </cell>
          <cell r="E84">
            <v>11568.495818181818</v>
          </cell>
          <cell r="N84">
            <v>14213.927393939395</v>
          </cell>
          <cell r="O84">
            <v>0</v>
          </cell>
          <cell r="P84">
            <v>-14213.927393939395</v>
          </cell>
          <cell r="Q84">
            <v>110896.91057575757</v>
          </cell>
          <cell r="R84">
            <v>0</v>
          </cell>
          <cell r="S84">
            <v>-110896.91057575757</v>
          </cell>
          <cell r="T84">
            <v>168860.48696969697</v>
          </cell>
          <cell r="U84">
            <v>100363.34756097561</v>
          </cell>
          <cell r="V84">
            <v>68497.139408721356</v>
          </cell>
          <cell r="W84">
            <v>0</v>
          </cell>
          <cell r="X84">
            <v>-168860.48696969697</v>
          </cell>
          <cell r="Y84">
            <v>136973.54727272727</v>
          </cell>
          <cell r="Z84">
            <v>77813.750161952048</v>
          </cell>
          <cell r="AA84">
            <v>59159.797110775216</v>
          </cell>
          <cell r="AB84">
            <v>0</v>
          </cell>
          <cell r="AC84">
            <v>-136973.54727272727</v>
          </cell>
          <cell r="AD84">
            <v>25185.505090909097</v>
          </cell>
          <cell r="AE84">
            <v>20590.894424242426</v>
          </cell>
          <cell r="AF84">
            <v>4594.6106666666674</v>
          </cell>
          <cell r="AG84">
            <v>0</v>
          </cell>
          <cell r="AH84">
            <v>0</v>
          </cell>
          <cell r="AI84">
            <v>0</v>
          </cell>
          <cell r="AJ84">
            <v>-25185.505090909097</v>
          </cell>
          <cell r="AL84">
            <v>0</v>
          </cell>
          <cell r="AN84">
            <v>37</v>
          </cell>
          <cell r="AP84">
            <v>483696.26245454542</v>
          </cell>
          <cell r="AQ84">
            <v>212234.02511686707</v>
          </cell>
          <cell r="AR84">
            <v>271462.23733767844</v>
          </cell>
          <cell r="AS84">
            <v>8</v>
          </cell>
          <cell r="AT84">
            <v>-483688.26245454542</v>
          </cell>
          <cell r="AU84">
            <v>177622.09772292766</v>
          </cell>
          <cell r="AV84">
            <v>209746</v>
          </cell>
          <cell r="AW84">
            <v>18723.927393939397</v>
          </cell>
          <cell r="AX84">
            <v>57013.237337678387</v>
          </cell>
        </row>
        <row r="85">
          <cell r="C85">
            <v>0</v>
          </cell>
          <cell r="D85">
            <v>0</v>
          </cell>
          <cell r="E85">
            <v>0</v>
          </cell>
          <cell r="N85">
            <v>0</v>
          </cell>
          <cell r="P85">
            <v>0</v>
          </cell>
          <cell r="Q85">
            <v>0</v>
          </cell>
          <cell r="S85">
            <v>0</v>
          </cell>
          <cell r="T85">
            <v>0</v>
          </cell>
          <cell r="U85">
            <v>0</v>
          </cell>
          <cell r="V85">
            <v>0</v>
          </cell>
          <cell r="X85">
            <v>0</v>
          </cell>
          <cell r="Y85">
            <v>0</v>
          </cell>
          <cell r="AC85">
            <v>0</v>
          </cell>
          <cell r="AI85">
            <v>0</v>
          </cell>
          <cell r="AJ85">
            <v>0</v>
          </cell>
          <cell r="AP85">
            <v>-1</v>
          </cell>
          <cell r="AQ85">
            <v>0</v>
          </cell>
          <cell r="AR85">
            <v>-1</v>
          </cell>
          <cell r="AS85">
            <v>0</v>
          </cell>
          <cell r="AT85">
            <v>1</v>
          </cell>
          <cell r="AU85">
            <v>0</v>
          </cell>
          <cell r="AV85">
            <v>0</v>
          </cell>
          <cell r="AW85">
            <v>0</v>
          </cell>
          <cell r="AX85">
            <v>-1</v>
          </cell>
        </row>
        <row r="86">
          <cell r="C86">
            <v>898</v>
          </cell>
          <cell r="D86">
            <v>709</v>
          </cell>
          <cell r="E86">
            <v>189</v>
          </cell>
          <cell r="N86">
            <v>0</v>
          </cell>
          <cell r="P86">
            <v>0</v>
          </cell>
          <cell r="Q86">
            <v>0</v>
          </cell>
          <cell r="S86">
            <v>0</v>
          </cell>
          <cell r="T86">
            <v>0</v>
          </cell>
          <cell r="U86">
            <v>0</v>
          </cell>
          <cell r="V86">
            <v>0</v>
          </cell>
          <cell r="X86">
            <v>0</v>
          </cell>
          <cell r="Y86">
            <v>0</v>
          </cell>
          <cell r="AC86">
            <v>0</v>
          </cell>
          <cell r="AI86">
            <v>0</v>
          </cell>
          <cell r="AJ86">
            <v>0</v>
          </cell>
          <cell r="AP86">
            <v>898</v>
          </cell>
          <cell r="AQ86">
            <v>709</v>
          </cell>
          <cell r="AR86">
            <v>189</v>
          </cell>
          <cell r="AS86">
            <v>0</v>
          </cell>
          <cell r="AT86">
            <v>-898</v>
          </cell>
          <cell r="AU86">
            <v>0</v>
          </cell>
          <cell r="AV86">
            <v>0</v>
          </cell>
          <cell r="AW86">
            <v>709</v>
          </cell>
          <cell r="AX86">
            <v>189</v>
          </cell>
        </row>
        <row r="87">
          <cell r="C87">
            <v>194</v>
          </cell>
          <cell r="D87">
            <v>113.16775798446338</v>
          </cell>
          <cell r="E87">
            <v>80.832242015536622</v>
          </cell>
          <cell r="N87">
            <v>0</v>
          </cell>
          <cell r="P87">
            <v>0</v>
          </cell>
          <cell r="Q87">
            <v>0</v>
          </cell>
          <cell r="S87">
            <v>0</v>
          </cell>
          <cell r="T87">
            <v>0</v>
          </cell>
          <cell r="U87">
            <v>0</v>
          </cell>
          <cell r="V87">
            <v>0</v>
          </cell>
          <cell r="X87">
            <v>0</v>
          </cell>
          <cell r="Y87">
            <v>0</v>
          </cell>
          <cell r="Z87">
            <v>0</v>
          </cell>
          <cell r="AA87">
            <v>0</v>
          </cell>
          <cell r="AC87">
            <v>0</v>
          </cell>
          <cell r="AI87">
            <v>0</v>
          </cell>
          <cell r="AJ87">
            <v>0</v>
          </cell>
          <cell r="AP87">
            <v>193</v>
          </cell>
          <cell r="AQ87">
            <v>113.16775798446338</v>
          </cell>
          <cell r="AR87">
            <v>79.832242015536622</v>
          </cell>
          <cell r="AS87">
            <v>-1</v>
          </cell>
          <cell r="AT87">
            <v>-194</v>
          </cell>
          <cell r="AU87">
            <v>0</v>
          </cell>
          <cell r="AV87">
            <v>0</v>
          </cell>
          <cell r="AW87">
            <v>113.16775798446338</v>
          </cell>
          <cell r="AX87">
            <v>79.832242015536622</v>
          </cell>
        </row>
        <row r="88">
          <cell r="C88">
            <v>30</v>
          </cell>
          <cell r="D88">
            <v>17.548513572396324</v>
          </cell>
          <cell r="E88">
            <v>12.451486427603676</v>
          </cell>
          <cell r="N88">
            <v>118.13333333333333</v>
          </cell>
          <cell r="O88">
            <v>51</v>
          </cell>
          <cell r="P88">
            <v>-67.133333333333326</v>
          </cell>
          <cell r="Q88">
            <v>101.6</v>
          </cell>
          <cell r="S88">
            <v>-101.6</v>
          </cell>
          <cell r="T88">
            <v>428.26666666666665</v>
          </cell>
          <cell r="U88">
            <v>176</v>
          </cell>
          <cell r="V88">
            <v>252.26666666666665</v>
          </cell>
          <cell r="X88">
            <v>-428.26666666666665</v>
          </cell>
          <cell r="Y88">
            <v>389.93333333333328</v>
          </cell>
          <cell r="AB88">
            <v>0</v>
          </cell>
          <cell r="AC88">
            <v>-389.93333333333328</v>
          </cell>
          <cell r="AD88">
            <v>119</v>
          </cell>
          <cell r="AE88">
            <v>26</v>
          </cell>
          <cell r="AF88">
            <v>93</v>
          </cell>
          <cell r="AJ88">
            <v>-119</v>
          </cell>
          <cell r="AP88">
            <v>998.93333333333339</v>
          </cell>
          <cell r="AQ88">
            <v>242.68184690572969</v>
          </cell>
          <cell r="AR88">
            <v>756.25148642760371</v>
          </cell>
          <cell r="AS88">
            <v>50</v>
          </cell>
          <cell r="AT88">
            <v>-948.93333333333339</v>
          </cell>
          <cell r="AU88">
            <v>176</v>
          </cell>
          <cell r="AV88">
            <v>280</v>
          </cell>
          <cell r="AW88">
            <v>66.681846905729685</v>
          </cell>
          <cell r="AX88">
            <v>476.25148642760371</v>
          </cell>
        </row>
        <row r="89">
          <cell r="C89">
            <v>31371.495818181818</v>
          </cell>
          <cell r="D89">
            <v>19520.716271556859</v>
          </cell>
          <cell r="E89">
            <v>11850.779546624959</v>
          </cell>
          <cell r="N89">
            <v>14332.060727272728</v>
          </cell>
          <cell r="O89">
            <v>51</v>
          </cell>
          <cell r="P89">
            <v>-14281.060727272728</v>
          </cell>
          <cell r="Q89">
            <v>110998.51057575758</v>
          </cell>
          <cell r="R89">
            <v>0</v>
          </cell>
          <cell r="S89">
            <v>-110998.51057575758</v>
          </cell>
          <cell r="T89">
            <v>169288.75363636363</v>
          </cell>
          <cell r="U89">
            <v>100539.34756097561</v>
          </cell>
          <cell r="V89">
            <v>68749.406075388019</v>
          </cell>
          <cell r="W89">
            <v>0</v>
          </cell>
          <cell r="X89">
            <v>-169288.75363636363</v>
          </cell>
          <cell r="Y89">
            <v>137363.48060606059</v>
          </cell>
          <cell r="Z89">
            <v>77813.750161952048</v>
          </cell>
          <cell r="AA89">
            <v>59159.797110775216</v>
          </cell>
          <cell r="AB89">
            <v>0</v>
          </cell>
          <cell r="AC89">
            <v>-137363.48060606059</v>
          </cell>
          <cell r="AD89">
            <v>25304.505090909097</v>
          </cell>
          <cell r="AE89">
            <v>20616.894424242426</v>
          </cell>
          <cell r="AF89">
            <v>4687.6106666666674</v>
          </cell>
          <cell r="AJ89">
            <v>-25304.505090909097</v>
          </cell>
          <cell r="AK89">
            <v>0</v>
          </cell>
          <cell r="AN89">
            <v>37</v>
          </cell>
          <cell r="AP89">
            <v>485787.19578787877</v>
          </cell>
          <cell r="AQ89">
            <v>213299.87472175725</v>
          </cell>
          <cell r="AR89">
            <v>272487.32106612157</v>
          </cell>
          <cell r="AS89">
            <v>57</v>
          </cell>
          <cell r="AT89">
            <v>-485730.19578787877</v>
          </cell>
          <cell r="AU89">
            <v>177798.09772292766</v>
          </cell>
          <cell r="AV89">
            <v>210026</v>
          </cell>
          <cell r="AW89">
            <v>19612.776998829588</v>
          </cell>
          <cell r="AX89">
            <v>57757.321066121527</v>
          </cell>
        </row>
        <row r="90">
          <cell r="C90">
            <v>19644.495818181818</v>
          </cell>
          <cell r="D90">
            <v>7793.7162715568593</v>
          </cell>
          <cell r="E90">
            <v>11850.779546624959</v>
          </cell>
          <cell r="N90">
            <v>14332.060727272728</v>
          </cell>
          <cell r="O90">
            <v>51</v>
          </cell>
          <cell r="P90">
            <v>-14281.060727272728</v>
          </cell>
          <cell r="Q90">
            <v>41865.51057575758</v>
          </cell>
          <cell r="R90">
            <v>0</v>
          </cell>
          <cell r="S90">
            <v>-41865.51057575758</v>
          </cell>
          <cell r="T90">
            <v>20190.753636363632</v>
          </cell>
          <cell r="U90">
            <v>10546</v>
          </cell>
          <cell r="V90">
            <v>9644.7536363636318</v>
          </cell>
          <cell r="W90">
            <v>0</v>
          </cell>
          <cell r="X90">
            <v>-20190.753636363632</v>
          </cell>
          <cell r="Y90">
            <v>13137.480606060592</v>
          </cell>
          <cell r="Z90">
            <v>6326</v>
          </cell>
          <cell r="AA90">
            <v>6421.5472727272718</v>
          </cell>
          <cell r="AB90">
            <v>0</v>
          </cell>
          <cell r="AC90">
            <v>-13137.480606060592</v>
          </cell>
          <cell r="AD90">
            <v>25304.505090909097</v>
          </cell>
          <cell r="AE90">
            <v>20616.894424242426</v>
          </cell>
          <cell r="AF90">
            <v>4687.6106666666674</v>
          </cell>
          <cell r="AJ90">
            <v>-25304.505090909097</v>
          </cell>
          <cell r="AN90">
            <v>37</v>
          </cell>
          <cell r="AP90">
            <v>131602.19578787877</v>
          </cell>
          <cell r="AQ90">
            <v>40090.776998829591</v>
          </cell>
          <cell r="AR90">
            <v>91511.418789049232</v>
          </cell>
          <cell r="AS90">
            <v>57</v>
          </cell>
          <cell r="AT90">
            <v>-131545.19578787877</v>
          </cell>
          <cell r="AU90">
            <v>16317</v>
          </cell>
          <cell r="AV90">
            <v>29050</v>
          </cell>
          <cell r="AW90">
            <v>19611.776998829588</v>
          </cell>
          <cell r="AX90">
            <v>57757.418789049188</v>
          </cell>
        </row>
        <row r="91">
          <cell r="C91">
            <v>2080.2818181818179</v>
          </cell>
          <cell r="D91">
            <v>737</v>
          </cell>
          <cell r="E91">
            <v>1343.2818181818182</v>
          </cell>
          <cell r="N91">
            <v>3564.7127272727275</v>
          </cell>
          <cell r="O91">
            <v>0</v>
          </cell>
          <cell r="P91">
            <v>-3564.7127272727275</v>
          </cell>
          <cell r="Q91">
            <v>7989.6009090909092</v>
          </cell>
          <cell r="R91">
            <v>0</v>
          </cell>
          <cell r="S91">
            <v>-7989.6009090909092</v>
          </cell>
          <cell r="T91">
            <v>3132.8772727272726</v>
          </cell>
          <cell r="U91">
            <v>1586</v>
          </cell>
          <cell r="V91">
            <v>1546.8772727272728</v>
          </cell>
          <cell r="W91">
            <v>0</v>
          </cell>
          <cell r="X91">
            <v>-3132.8772727272726</v>
          </cell>
          <cell r="Y91">
            <v>2531.4672727272728</v>
          </cell>
          <cell r="Z91">
            <v>1227</v>
          </cell>
          <cell r="AA91">
            <v>1304.4672727272728</v>
          </cell>
          <cell r="AB91">
            <v>0</v>
          </cell>
          <cell r="AC91">
            <v>-2531.4672727272728</v>
          </cell>
          <cell r="AD91">
            <v>7059.5263636363643</v>
          </cell>
          <cell r="AE91">
            <v>6507.6363636363631</v>
          </cell>
          <cell r="AF91">
            <v>551.89000000000033</v>
          </cell>
          <cell r="AG91">
            <v>0</v>
          </cell>
          <cell r="AH91">
            <v>0</v>
          </cell>
          <cell r="AI91">
            <v>0</v>
          </cell>
          <cell r="AJ91">
            <v>-7059.5263636363643</v>
          </cell>
          <cell r="AN91">
            <v>0</v>
          </cell>
          <cell r="AP91">
            <v>26353.576363636363</v>
          </cell>
          <cell r="AQ91">
            <v>486070.19578787882</v>
          </cell>
          <cell r="AR91">
            <v>213370.87472175725</v>
          </cell>
          <cell r="AS91">
            <v>0</v>
          </cell>
        </row>
        <row r="92">
          <cell r="C92">
            <v>30006.495818181818</v>
          </cell>
          <cell r="P92">
            <v>0</v>
          </cell>
          <cell r="S92">
            <v>0</v>
          </cell>
          <cell r="X92">
            <v>0</v>
          </cell>
          <cell r="AC92">
            <v>0</v>
          </cell>
          <cell r="AJ92">
            <v>0</v>
          </cell>
          <cell r="AP92">
            <v>122996.30136363635</v>
          </cell>
          <cell r="AQ92">
            <v>283.00000000005821</v>
          </cell>
        </row>
        <row r="93">
          <cell r="C93">
            <v>1405</v>
          </cell>
          <cell r="N93">
            <v>3638.65</v>
          </cell>
          <cell r="P93">
            <v>-3638.65</v>
          </cell>
          <cell r="Q93">
            <v>8863.0939999999991</v>
          </cell>
          <cell r="S93">
            <v>-8863.0939999999991</v>
          </cell>
          <cell r="T93">
            <v>502.97</v>
          </cell>
          <cell r="X93">
            <v>-502.97</v>
          </cell>
          <cell r="Y93">
            <v>780.26</v>
          </cell>
          <cell r="AB93">
            <v>432</v>
          </cell>
          <cell r="AC93">
            <v>-348.26</v>
          </cell>
          <cell r="AD93">
            <v>2119</v>
          </cell>
          <cell r="AE93">
            <v>2119</v>
          </cell>
          <cell r="AF93">
            <v>0</v>
          </cell>
          <cell r="AI93">
            <v>0</v>
          </cell>
          <cell r="AJ93" t="e">
            <v>#REF!</v>
          </cell>
          <cell r="AN93">
            <v>2363</v>
          </cell>
          <cell r="AO93">
            <v>1616</v>
          </cell>
          <cell r="AP93">
            <v>20091.973999999998</v>
          </cell>
          <cell r="AS93">
            <v>2048</v>
          </cell>
        </row>
        <row r="94">
          <cell r="C94">
            <v>92</v>
          </cell>
          <cell r="N94">
            <v>3294.15</v>
          </cell>
          <cell r="P94">
            <v>-3294.15</v>
          </cell>
          <cell r="Q94">
            <v>7217.8940000000002</v>
          </cell>
          <cell r="S94">
            <v>-7217.8940000000002</v>
          </cell>
          <cell r="T94">
            <v>503.47</v>
          </cell>
          <cell r="W94">
            <v>0</v>
          </cell>
          <cell r="X94">
            <v>-503.47</v>
          </cell>
          <cell r="Y94">
            <v>780.76</v>
          </cell>
          <cell r="AB94">
            <v>432</v>
          </cell>
          <cell r="AC94">
            <v>-348.76</v>
          </cell>
          <cell r="AD94">
            <v>2119</v>
          </cell>
          <cell r="AE94">
            <v>2119</v>
          </cell>
          <cell r="AF94">
            <v>0</v>
          </cell>
          <cell r="AI94">
            <v>0</v>
          </cell>
          <cell r="AJ94">
            <v>-2119</v>
          </cell>
          <cell r="AN94">
            <v>12</v>
          </cell>
          <cell r="AP94">
            <v>14036.273999999999</v>
          </cell>
          <cell r="AS94">
            <v>432</v>
          </cell>
        </row>
        <row r="95">
          <cell r="C95">
            <v>0</v>
          </cell>
          <cell r="N95">
            <v>0</v>
          </cell>
          <cell r="P95">
            <v>0</v>
          </cell>
          <cell r="Q95">
            <v>0</v>
          </cell>
          <cell r="S95">
            <v>0</v>
          </cell>
          <cell r="T95">
            <v>9</v>
          </cell>
          <cell r="X95">
            <v>-9</v>
          </cell>
          <cell r="Y95">
            <v>0</v>
          </cell>
          <cell r="AC95">
            <v>0</v>
          </cell>
          <cell r="AD95">
            <v>0</v>
          </cell>
          <cell r="AE95">
            <v>0</v>
          </cell>
          <cell r="AF95">
            <v>0</v>
          </cell>
          <cell r="AI95">
            <v>0</v>
          </cell>
          <cell r="AJ95">
            <v>0</v>
          </cell>
          <cell r="AN95">
            <v>0</v>
          </cell>
          <cell r="AP95">
            <v>9</v>
          </cell>
          <cell r="AS95">
            <v>0</v>
          </cell>
        </row>
        <row r="96">
          <cell r="C96">
            <v>1313</v>
          </cell>
          <cell r="N96">
            <v>344.5</v>
          </cell>
          <cell r="P96">
            <v>-344.5</v>
          </cell>
          <cell r="Q96">
            <v>1645.2</v>
          </cell>
          <cell r="R96">
            <v>0</v>
          </cell>
          <cell r="S96">
            <v>-1645.2</v>
          </cell>
          <cell r="T96">
            <v>0</v>
          </cell>
          <cell r="X96">
            <v>0</v>
          </cell>
          <cell r="Y96">
            <v>0</v>
          </cell>
          <cell r="AC96">
            <v>0</v>
          </cell>
          <cell r="AD96">
            <v>0.29999999999998295</v>
          </cell>
          <cell r="AE96">
            <v>0</v>
          </cell>
          <cell r="AF96">
            <v>0.29999999999998295</v>
          </cell>
          <cell r="AI96">
            <v>0</v>
          </cell>
          <cell r="AJ96">
            <v>-0.29999999999998295</v>
          </cell>
          <cell r="AN96">
            <v>0</v>
          </cell>
          <cell r="AP96">
            <v>3502.7</v>
          </cell>
          <cell r="AS96">
            <v>0</v>
          </cell>
        </row>
        <row r="97">
          <cell r="P97">
            <v>0</v>
          </cell>
          <cell r="S97">
            <v>0</v>
          </cell>
          <cell r="X97">
            <v>0</v>
          </cell>
          <cell r="AC97">
            <v>0</v>
          </cell>
          <cell r="AF97">
            <v>0</v>
          </cell>
          <cell r="AI97">
            <v>0</v>
          </cell>
          <cell r="AJ97">
            <v>0</v>
          </cell>
          <cell r="AN97" t="e">
            <v>#REF!</v>
          </cell>
          <cell r="AP97" t="e">
            <v>#REF!</v>
          </cell>
          <cell r="AS97">
            <v>0</v>
          </cell>
        </row>
        <row r="98">
          <cell r="P98">
            <v>0</v>
          </cell>
          <cell r="S98">
            <v>0</v>
          </cell>
          <cell r="X98">
            <v>0</v>
          </cell>
          <cell r="AC98">
            <v>0</v>
          </cell>
          <cell r="AF98">
            <v>0</v>
          </cell>
          <cell r="AI98">
            <v>0</v>
          </cell>
          <cell r="AJ98">
            <v>0</v>
          </cell>
          <cell r="AN98" t="e">
            <v>#REF!</v>
          </cell>
          <cell r="AP98" t="e">
            <v>#REF!</v>
          </cell>
          <cell r="AS98">
            <v>0</v>
          </cell>
        </row>
        <row r="99">
          <cell r="P99">
            <v>0</v>
          </cell>
          <cell r="S99">
            <v>0</v>
          </cell>
          <cell r="X99">
            <v>0</v>
          </cell>
          <cell r="AC99">
            <v>0</v>
          </cell>
          <cell r="AF99">
            <v>0</v>
          </cell>
          <cell r="AI99">
            <v>0</v>
          </cell>
          <cell r="AJ99">
            <v>0</v>
          </cell>
          <cell r="AN99">
            <v>3770.5939393939398</v>
          </cell>
          <cell r="AP99">
            <v>3770.5939393939398</v>
          </cell>
          <cell r="AS99">
            <v>0</v>
          </cell>
        </row>
        <row r="100">
          <cell r="P100">
            <v>0</v>
          </cell>
          <cell r="S100">
            <v>0</v>
          </cell>
          <cell r="X100">
            <v>0</v>
          </cell>
          <cell r="AC100">
            <v>0</v>
          </cell>
          <cell r="AI100">
            <v>0</v>
          </cell>
          <cell r="AJ100">
            <v>0</v>
          </cell>
          <cell r="AN100">
            <v>3770.5939393939398</v>
          </cell>
          <cell r="AP100">
            <v>3770.5939393939398</v>
          </cell>
          <cell r="AS100">
            <v>0</v>
          </cell>
        </row>
        <row r="101">
          <cell r="C101">
            <v>1313</v>
          </cell>
          <cell r="N101">
            <v>344.69200000000001</v>
          </cell>
          <cell r="P101">
            <v>-344.69200000000001</v>
          </cell>
          <cell r="Q101">
            <v>1369.88</v>
          </cell>
          <cell r="R101">
            <v>31</v>
          </cell>
          <cell r="S101">
            <v>-1338.88</v>
          </cell>
          <cell r="T101">
            <v>0</v>
          </cell>
          <cell r="W101">
            <v>2</v>
          </cell>
          <cell r="X101">
            <v>2</v>
          </cell>
          <cell r="Y101">
            <v>0</v>
          </cell>
          <cell r="AB101">
            <v>10</v>
          </cell>
          <cell r="AC101">
            <v>10</v>
          </cell>
          <cell r="AD101">
            <v>0</v>
          </cell>
          <cell r="AE101">
            <v>0</v>
          </cell>
          <cell r="AF101">
            <v>0</v>
          </cell>
          <cell r="AG101">
            <v>128</v>
          </cell>
          <cell r="AH101">
            <v>128</v>
          </cell>
          <cell r="AI101">
            <v>0</v>
          </cell>
          <cell r="AJ101">
            <v>128</v>
          </cell>
          <cell r="AN101">
            <v>7036.3</v>
          </cell>
          <cell r="AP101">
            <v>25001.272000000001</v>
          </cell>
          <cell r="AS101">
            <v>140</v>
          </cell>
        </row>
        <row r="102">
          <cell r="C102">
            <v>1313</v>
          </cell>
          <cell r="N102">
            <v>344.5</v>
          </cell>
          <cell r="P102">
            <v>-344.5</v>
          </cell>
          <cell r="Q102">
            <v>1369.2</v>
          </cell>
          <cell r="R102">
            <v>0</v>
          </cell>
          <cell r="S102">
            <v>-1369.2</v>
          </cell>
          <cell r="T102">
            <v>0</v>
          </cell>
          <cell r="X102">
            <v>0</v>
          </cell>
          <cell r="Y102">
            <v>0</v>
          </cell>
          <cell r="AC102">
            <v>0</v>
          </cell>
          <cell r="AD102">
            <v>0</v>
          </cell>
          <cell r="AE102">
            <v>0</v>
          </cell>
          <cell r="AF102">
            <v>0</v>
          </cell>
          <cell r="AI102">
            <v>0</v>
          </cell>
          <cell r="AJ102">
            <v>0</v>
          </cell>
          <cell r="AN102">
            <v>3334.3</v>
          </cell>
          <cell r="AP102">
            <v>6361</v>
          </cell>
          <cell r="AS102">
            <v>0</v>
          </cell>
        </row>
        <row r="103">
          <cell r="C103">
            <v>0</v>
          </cell>
          <cell r="N103">
            <v>0</v>
          </cell>
          <cell r="P103">
            <v>0</v>
          </cell>
          <cell r="Q103">
            <v>0</v>
          </cell>
          <cell r="S103">
            <v>0</v>
          </cell>
          <cell r="T103">
            <v>0</v>
          </cell>
          <cell r="X103">
            <v>0</v>
          </cell>
          <cell r="Y103">
            <v>0</v>
          </cell>
          <cell r="AC103">
            <v>0</v>
          </cell>
          <cell r="AD103">
            <v>0</v>
          </cell>
          <cell r="AE103">
            <v>0</v>
          </cell>
          <cell r="AF103">
            <v>0</v>
          </cell>
          <cell r="AI103">
            <v>0</v>
          </cell>
          <cell r="AJ103">
            <v>0</v>
          </cell>
          <cell r="AN103">
            <v>0</v>
          </cell>
          <cell r="AP103">
            <v>0</v>
          </cell>
          <cell r="AS103">
            <v>0</v>
          </cell>
        </row>
        <row r="104">
          <cell r="C104">
            <v>0</v>
          </cell>
          <cell r="N104">
            <v>0</v>
          </cell>
          <cell r="P104">
            <v>0</v>
          </cell>
          <cell r="Q104">
            <v>0</v>
          </cell>
          <cell r="R104">
            <v>31</v>
          </cell>
          <cell r="S104">
            <v>31</v>
          </cell>
          <cell r="T104">
            <v>0</v>
          </cell>
          <cell r="W104">
            <v>2</v>
          </cell>
          <cell r="X104">
            <v>2</v>
          </cell>
          <cell r="Y104">
            <v>0</v>
          </cell>
          <cell r="AB104">
            <v>10</v>
          </cell>
          <cell r="AC104">
            <v>10</v>
          </cell>
          <cell r="AD104">
            <v>0</v>
          </cell>
          <cell r="AE104">
            <v>0</v>
          </cell>
          <cell r="AF104">
            <v>0</v>
          </cell>
          <cell r="AG104">
            <v>128</v>
          </cell>
          <cell r="AH104">
            <v>128</v>
          </cell>
          <cell r="AI104">
            <v>0</v>
          </cell>
          <cell r="AJ104">
            <v>128</v>
          </cell>
          <cell r="AN104">
            <v>3702</v>
          </cell>
          <cell r="AP104">
            <v>3702</v>
          </cell>
          <cell r="AS104">
            <v>140</v>
          </cell>
        </row>
        <row r="105">
          <cell r="C105">
            <v>0</v>
          </cell>
          <cell r="N105">
            <v>0</v>
          </cell>
          <cell r="P105">
            <v>0</v>
          </cell>
          <cell r="Q105">
            <v>365.404</v>
          </cell>
          <cell r="R105">
            <v>154</v>
          </cell>
          <cell r="S105">
            <v>-211.404</v>
          </cell>
          <cell r="T105">
            <v>0</v>
          </cell>
          <cell r="W105">
            <v>79</v>
          </cell>
          <cell r="X105">
            <v>79</v>
          </cell>
          <cell r="Y105">
            <v>0</v>
          </cell>
          <cell r="AB105">
            <v>86</v>
          </cell>
          <cell r="AC105">
            <v>86</v>
          </cell>
          <cell r="AD105">
            <v>0</v>
          </cell>
          <cell r="AE105">
            <v>0</v>
          </cell>
          <cell r="AF105">
            <v>0</v>
          </cell>
          <cell r="AG105">
            <v>30</v>
          </cell>
          <cell r="AH105">
            <v>30</v>
          </cell>
          <cell r="AI105">
            <v>0</v>
          </cell>
          <cell r="AJ105">
            <v>30</v>
          </cell>
          <cell r="AN105">
            <v>875</v>
          </cell>
          <cell r="AP105">
            <v>1240.404</v>
          </cell>
          <cell r="AS105">
            <v>195</v>
          </cell>
        </row>
        <row r="106">
          <cell r="C106">
            <v>0</v>
          </cell>
          <cell r="N106">
            <v>0</v>
          </cell>
          <cell r="P106">
            <v>0</v>
          </cell>
          <cell r="Q106">
            <v>364.64</v>
          </cell>
          <cell r="R106">
            <v>0</v>
          </cell>
          <cell r="S106">
            <v>-364.64</v>
          </cell>
          <cell r="T106">
            <v>0</v>
          </cell>
          <cell r="W106">
            <v>0</v>
          </cell>
          <cell r="X106">
            <v>0</v>
          </cell>
          <cell r="Y106">
            <v>0</v>
          </cell>
          <cell r="AB106">
            <v>0</v>
          </cell>
          <cell r="AC106">
            <v>0</v>
          </cell>
          <cell r="AD106">
            <v>0</v>
          </cell>
          <cell r="AE106">
            <v>0</v>
          </cell>
          <cell r="AF106">
            <v>0</v>
          </cell>
          <cell r="AI106">
            <v>0</v>
          </cell>
          <cell r="AJ106">
            <v>0</v>
          </cell>
          <cell r="AN106">
            <v>80</v>
          </cell>
          <cell r="AP106">
            <v>444.64</v>
          </cell>
          <cell r="AS106">
            <v>0</v>
          </cell>
        </row>
        <row r="107">
          <cell r="C107">
            <v>0</v>
          </cell>
          <cell r="N107">
            <v>0</v>
          </cell>
          <cell r="P107">
            <v>0</v>
          </cell>
          <cell r="Q107">
            <v>0</v>
          </cell>
          <cell r="R107">
            <v>154</v>
          </cell>
          <cell r="S107">
            <v>154</v>
          </cell>
          <cell r="T107">
            <v>0</v>
          </cell>
          <cell r="W107">
            <v>79</v>
          </cell>
          <cell r="X107">
            <v>79</v>
          </cell>
          <cell r="Y107">
            <v>0</v>
          </cell>
          <cell r="AB107">
            <v>86</v>
          </cell>
          <cell r="AC107">
            <v>86</v>
          </cell>
          <cell r="AD107">
            <v>0</v>
          </cell>
          <cell r="AE107">
            <v>0</v>
          </cell>
          <cell r="AF107">
            <v>0</v>
          </cell>
          <cell r="AG107">
            <v>30</v>
          </cell>
          <cell r="AH107">
            <v>30</v>
          </cell>
          <cell r="AI107">
            <v>0</v>
          </cell>
          <cell r="AJ107">
            <v>30</v>
          </cell>
          <cell r="AN107">
            <v>822</v>
          </cell>
          <cell r="AP107">
            <v>822</v>
          </cell>
          <cell r="AS107">
            <v>195</v>
          </cell>
        </row>
        <row r="108">
          <cell r="C108">
            <v>0</v>
          </cell>
          <cell r="N108">
            <v>0</v>
          </cell>
          <cell r="P108">
            <v>0</v>
          </cell>
          <cell r="Q108">
            <v>527.04999999999995</v>
          </cell>
          <cell r="R108">
            <v>800</v>
          </cell>
          <cell r="S108">
            <v>272.95000000000005</v>
          </cell>
          <cell r="T108">
            <v>0</v>
          </cell>
          <cell r="X108">
            <v>0</v>
          </cell>
          <cell r="Y108">
            <v>0</v>
          </cell>
          <cell r="AC108">
            <v>0</v>
          </cell>
          <cell r="AD108">
            <v>0</v>
          </cell>
          <cell r="AE108">
            <v>0</v>
          </cell>
          <cell r="AF108">
            <v>0</v>
          </cell>
          <cell r="AI108">
            <v>0</v>
          </cell>
          <cell r="AJ108">
            <v>0</v>
          </cell>
          <cell r="AN108">
            <v>0</v>
          </cell>
          <cell r="AP108">
            <v>527.04999999999995</v>
          </cell>
          <cell r="AQ108">
            <v>-3236.8874721757256</v>
          </cell>
          <cell r="AR108">
            <v>-21648.532106612158</v>
          </cell>
          <cell r="AS108">
            <v>0</v>
          </cell>
        </row>
        <row r="109">
          <cell r="C109">
            <v>0</v>
          </cell>
          <cell r="N109">
            <v>0</v>
          </cell>
          <cell r="P109">
            <v>0</v>
          </cell>
          <cell r="Q109">
            <v>527.04999999999995</v>
          </cell>
          <cell r="R109">
            <v>800</v>
          </cell>
          <cell r="S109">
            <v>272.95000000000005</v>
          </cell>
          <cell r="T109">
            <v>0</v>
          </cell>
          <cell r="X109">
            <v>0</v>
          </cell>
          <cell r="Y109">
            <v>0</v>
          </cell>
          <cell r="AC109">
            <v>0</v>
          </cell>
          <cell r="AD109">
            <v>0</v>
          </cell>
          <cell r="AE109">
            <v>0</v>
          </cell>
          <cell r="AF109">
            <v>0</v>
          </cell>
          <cell r="AI109">
            <v>0</v>
          </cell>
          <cell r="AJ109">
            <v>0</v>
          </cell>
          <cell r="AN109">
            <v>0</v>
          </cell>
          <cell r="AP109">
            <v>527.04999999999995</v>
          </cell>
          <cell r="AS109">
            <v>0</v>
          </cell>
        </row>
        <row r="110">
          <cell r="C110">
            <v>0</v>
          </cell>
          <cell r="N110">
            <v>0</v>
          </cell>
          <cell r="P110">
            <v>0</v>
          </cell>
          <cell r="Q110">
            <v>0</v>
          </cell>
          <cell r="S110">
            <v>0</v>
          </cell>
          <cell r="T110">
            <v>0</v>
          </cell>
          <cell r="X110">
            <v>0</v>
          </cell>
          <cell r="Y110">
            <v>0</v>
          </cell>
          <cell r="AC110">
            <v>0</v>
          </cell>
          <cell r="AD110">
            <v>0</v>
          </cell>
          <cell r="AE110">
            <v>0</v>
          </cell>
          <cell r="AF110">
            <v>0</v>
          </cell>
          <cell r="AI110">
            <v>0</v>
          </cell>
          <cell r="AJ110">
            <v>0</v>
          </cell>
          <cell r="AN110">
            <v>0</v>
          </cell>
          <cell r="AP110">
            <v>0</v>
          </cell>
          <cell r="AQ110">
            <v>0</v>
          </cell>
          <cell r="AR110">
            <v>0</v>
          </cell>
          <cell r="AS110">
            <v>0</v>
          </cell>
        </row>
        <row r="111">
          <cell r="C111">
            <v>0</v>
          </cell>
          <cell r="N111">
            <v>0</v>
          </cell>
          <cell r="P111">
            <v>0</v>
          </cell>
          <cell r="Q111">
            <v>0</v>
          </cell>
          <cell r="S111">
            <v>0</v>
          </cell>
          <cell r="T111">
            <v>0</v>
          </cell>
          <cell r="X111">
            <v>0</v>
          </cell>
          <cell r="Y111">
            <v>0</v>
          </cell>
          <cell r="AC111">
            <v>0</v>
          </cell>
          <cell r="AD111">
            <v>0</v>
          </cell>
          <cell r="AE111">
            <v>0</v>
          </cell>
          <cell r="AF111">
            <v>0</v>
          </cell>
          <cell r="AI111">
            <v>0</v>
          </cell>
          <cell r="AJ111">
            <v>0</v>
          </cell>
          <cell r="AN111">
            <v>0</v>
          </cell>
          <cell r="AP111">
            <v>0</v>
          </cell>
          <cell r="AS111">
            <v>0</v>
          </cell>
        </row>
        <row r="112">
          <cell r="C112">
            <v>0</v>
          </cell>
          <cell r="N112">
            <v>0</v>
          </cell>
          <cell r="P112">
            <v>0</v>
          </cell>
          <cell r="Q112">
            <v>0</v>
          </cell>
          <cell r="R112">
            <v>928</v>
          </cell>
          <cell r="S112">
            <v>928</v>
          </cell>
          <cell r="T112">
            <v>0</v>
          </cell>
          <cell r="W112">
            <v>366</v>
          </cell>
          <cell r="X112">
            <v>366</v>
          </cell>
          <cell r="Y112">
            <v>0</v>
          </cell>
          <cell r="AB112">
            <v>251</v>
          </cell>
          <cell r="AC112">
            <v>251</v>
          </cell>
          <cell r="AD112">
            <v>0</v>
          </cell>
          <cell r="AE112">
            <v>0</v>
          </cell>
          <cell r="AF112">
            <v>0</v>
          </cell>
          <cell r="AG112">
            <v>535</v>
          </cell>
          <cell r="AH112">
            <v>535</v>
          </cell>
          <cell r="AI112">
            <v>0</v>
          </cell>
          <cell r="AJ112">
            <v>535</v>
          </cell>
          <cell r="AN112">
            <v>508</v>
          </cell>
          <cell r="AP112">
            <v>508</v>
          </cell>
          <cell r="AS112">
            <v>1152</v>
          </cell>
        </row>
        <row r="113">
          <cell r="C113">
            <v>0</v>
          </cell>
          <cell r="N113">
            <v>0</v>
          </cell>
          <cell r="P113">
            <v>0</v>
          </cell>
          <cell r="R113">
            <v>8</v>
          </cell>
          <cell r="S113">
            <v>8</v>
          </cell>
          <cell r="T113">
            <v>0</v>
          </cell>
          <cell r="W113">
            <v>57</v>
          </cell>
          <cell r="X113">
            <v>57</v>
          </cell>
          <cell r="Y113">
            <v>0</v>
          </cell>
          <cell r="AB113">
            <v>7</v>
          </cell>
          <cell r="AC113">
            <v>7</v>
          </cell>
          <cell r="AD113">
            <v>0</v>
          </cell>
          <cell r="AE113">
            <v>0</v>
          </cell>
          <cell r="AF113">
            <v>0</v>
          </cell>
          <cell r="AI113">
            <v>0</v>
          </cell>
          <cell r="AJ113">
            <v>0</v>
          </cell>
          <cell r="AN113">
            <v>19</v>
          </cell>
          <cell r="AP113">
            <v>19</v>
          </cell>
          <cell r="AS113">
            <v>64</v>
          </cell>
        </row>
        <row r="114">
          <cell r="C114">
            <v>1295</v>
          </cell>
          <cell r="N114">
            <v>0</v>
          </cell>
          <cell r="P114">
            <v>0</v>
          </cell>
          <cell r="Q114">
            <v>0</v>
          </cell>
          <cell r="S114">
            <v>0</v>
          </cell>
          <cell r="T114">
            <v>0</v>
          </cell>
          <cell r="X114">
            <v>0</v>
          </cell>
          <cell r="Y114">
            <v>0</v>
          </cell>
          <cell r="AC114">
            <v>0</v>
          </cell>
          <cell r="AD114">
            <v>0</v>
          </cell>
          <cell r="AE114">
            <v>0</v>
          </cell>
          <cell r="AF114">
            <v>0</v>
          </cell>
          <cell r="AI114">
            <v>0</v>
          </cell>
          <cell r="AJ114">
            <v>0</v>
          </cell>
          <cell r="AN114">
            <v>0</v>
          </cell>
          <cell r="AP114">
            <v>1295</v>
          </cell>
          <cell r="AS114">
            <v>0</v>
          </cell>
        </row>
        <row r="115">
          <cell r="C115">
            <v>1000</v>
          </cell>
          <cell r="P115">
            <v>0</v>
          </cell>
          <cell r="S115">
            <v>0</v>
          </cell>
          <cell r="X115">
            <v>0</v>
          </cell>
          <cell r="AC115">
            <v>0</v>
          </cell>
          <cell r="AF115">
            <v>0</v>
          </cell>
          <cell r="AI115">
            <v>0</v>
          </cell>
          <cell r="AJ115">
            <v>0</v>
          </cell>
          <cell r="AP115">
            <v>1000</v>
          </cell>
          <cell r="AS115">
            <v>0</v>
          </cell>
        </row>
        <row r="116">
          <cell r="C116">
            <v>6305</v>
          </cell>
          <cell r="P116">
            <v>0</v>
          </cell>
          <cell r="S116">
            <v>0</v>
          </cell>
          <cell r="X116">
            <v>0</v>
          </cell>
          <cell r="AC116">
            <v>0</v>
          </cell>
          <cell r="AF116">
            <v>0</v>
          </cell>
          <cell r="AI116">
            <v>0</v>
          </cell>
          <cell r="AJ116">
            <v>0</v>
          </cell>
          <cell r="AP116">
            <v>6305</v>
          </cell>
          <cell r="AS116">
            <v>0</v>
          </cell>
        </row>
        <row r="117">
          <cell r="C117">
            <v>0</v>
          </cell>
        </row>
        <row r="120">
          <cell r="P120">
            <v>0</v>
          </cell>
          <cell r="S120">
            <v>0</v>
          </cell>
          <cell r="X120">
            <v>0</v>
          </cell>
          <cell r="AC120">
            <v>0</v>
          </cell>
          <cell r="AE120">
            <v>0</v>
          </cell>
          <cell r="AF120">
            <v>0</v>
          </cell>
          <cell r="AI120">
            <v>0</v>
          </cell>
          <cell r="AJ120">
            <v>0</v>
          </cell>
          <cell r="AN120">
            <v>0</v>
          </cell>
          <cell r="AP120">
            <v>36465</v>
          </cell>
          <cell r="AQ120">
            <v>-206256.39845151512</v>
          </cell>
          <cell r="AS120">
            <v>0</v>
          </cell>
        </row>
        <row r="121">
          <cell r="C121">
            <v>0</v>
          </cell>
          <cell r="P121">
            <v>0</v>
          </cell>
          <cell r="S121">
            <v>0</v>
          </cell>
          <cell r="X121">
            <v>0</v>
          </cell>
          <cell r="AC121">
            <v>0</v>
          </cell>
          <cell r="AJ121">
            <v>0</v>
          </cell>
          <cell r="AN121">
            <v>0</v>
          </cell>
          <cell r="AP121">
            <v>0</v>
          </cell>
          <cell r="AS121">
            <v>0</v>
          </cell>
        </row>
        <row r="122">
          <cell r="C122">
            <v>1313</v>
          </cell>
          <cell r="D122">
            <v>0</v>
          </cell>
          <cell r="E122">
            <v>0</v>
          </cell>
          <cell r="N122">
            <v>344.69200000000001</v>
          </cell>
          <cell r="O122">
            <v>0</v>
          </cell>
          <cell r="P122">
            <v>-344.69200000000001</v>
          </cell>
          <cell r="Q122">
            <v>2262.3339999999998</v>
          </cell>
          <cell r="R122">
            <v>1921</v>
          </cell>
          <cell r="S122">
            <v>-341.33399999999983</v>
          </cell>
          <cell r="T122">
            <v>0</v>
          </cell>
          <cell r="U122">
            <v>0</v>
          </cell>
          <cell r="V122">
            <v>0</v>
          </cell>
          <cell r="W122">
            <v>504</v>
          </cell>
          <cell r="X122">
            <v>504</v>
          </cell>
          <cell r="Y122">
            <v>0</v>
          </cell>
          <cell r="Z122">
            <v>0</v>
          </cell>
          <cell r="AA122">
            <v>0</v>
          </cell>
          <cell r="AB122">
            <v>354</v>
          </cell>
          <cell r="AC122">
            <v>354</v>
          </cell>
          <cell r="AD122">
            <v>0</v>
          </cell>
          <cell r="AE122">
            <v>0</v>
          </cell>
          <cell r="AF122">
            <v>0</v>
          </cell>
          <cell r="AG122">
            <v>693</v>
          </cell>
          <cell r="AH122">
            <v>693</v>
          </cell>
          <cell r="AI122">
            <v>0</v>
          </cell>
          <cell r="AJ122">
            <v>693</v>
          </cell>
          <cell r="AN122">
            <v>8438.2999999999993</v>
          </cell>
          <cell r="AP122">
            <v>35895.725999999995</v>
          </cell>
          <cell r="AU122">
            <v>0</v>
          </cell>
          <cell r="AV122">
            <v>0</v>
          </cell>
          <cell r="AW122">
            <v>0</v>
          </cell>
          <cell r="AX122">
            <v>0</v>
          </cell>
        </row>
        <row r="123">
          <cell r="C123">
            <v>9913</v>
          </cell>
          <cell r="D123">
            <v>0</v>
          </cell>
          <cell r="E123">
            <v>0</v>
          </cell>
          <cell r="N123">
            <v>344.5</v>
          </cell>
          <cell r="P123">
            <v>-344.5</v>
          </cell>
          <cell r="Q123">
            <v>2260.8900000000003</v>
          </cell>
          <cell r="T123">
            <v>0</v>
          </cell>
          <cell r="U123">
            <v>0</v>
          </cell>
          <cell r="V123">
            <v>0</v>
          </cell>
          <cell r="X123">
            <v>0</v>
          </cell>
          <cell r="Y123">
            <v>0</v>
          </cell>
          <cell r="Z123">
            <v>0</v>
          </cell>
          <cell r="AA123">
            <v>0</v>
          </cell>
          <cell r="AC123">
            <v>0</v>
          </cell>
          <cell r="AJ123">
            <v>0</v>
          </cell>
          <cell r="AN123">
            <v>8438.2999999999993</v>
          </cell>
          <cell r="AP123">
            <v>72360.725999999995</v>
          </cell>
        </row>
        <row r="124">
          <cell r="P124">
            <v>0</v>
          </cell>
          <cell r="X124">
            <v>0</v>
          </cell>
          <cell r="AC124">
            <v>0</v>
          </cell>
          <cell r="AJ124">
            <v>0</v>
          </cell>
          <cell r="AP124">
            <v>-170360.67245151513</v>
          </cell>
        </row>
        <row r="125">
          <cell r="P125">
            <v>0</v>
          </cell>
          <cell r="X125">
            <v>0</v>
          </cell>
          <cell r="AC125">
            <v>0</v>
          </cell>
          <cell r="AJ125">
            <v>0</v>
          </cell>
          <cell r="AP125">
            <v>-170360.67245151513</v>
          </cell>
        </row>
        <row r="126">
          <cell r="P126">
            <v>0</v>
          </cell>
          <cell r="X126">
            <v>0</v>
          </cell>
          <cell r="AC126">
            <v>0</v>
          </cell>
          <cell r="AJ126">
            <v>0</v>
          </cell>
          <cell r="AP126">
            <v>-246253.19578787877</v>
          </cell>
          <cell r="AQ126">
            <v>-32368.874721757253</v>
          </cell>
          <cell r="AR126">
            <v>-216485.32106612157</v>
          </cell>
        </row>
        <row r="127">
          <cell r="P127">
            <v>0</v>
          </cell>
          <cell r="X127">
            <v>0</v>
          </cell>
          <cell r="AC127">
            <v>0</v>
          </cell>
          <cell r="AJ127">
            <v>0</v>
          </cell>
        </row>
        <row r="128">
          <cell r="P128">
            <v>0</v>
          </cell>
          <cell r="X128">
            <v>0</v>
          </cell>
          <cell r="AC128">
            <v>0</v>
          </cell>
          <cell r="AJ128">
            <v>0</v>
          </cell>
          <cell r="AP128">
            <v>-75892.523336363636</v>
          </cell>
          <cell r="AU128">
            <v>0</v>
          </cell>
        </row>
        <row r="129">
          <cell r="P129">
            <v>0</v>
          </cell>
          <cell r="X129">
            <v>0</v>
          </cell>
          <cell r="AC129">
            <v>0</v>
          </cell>
          <cell r="AJ129">
            <v>0</v>
          </cell>
        </row>
        <row r="130">
          <cell r="P130">
            <v>0</v>
          </cell>
          <cell r="X130">
            <v>0</v>
          </cell>
          <cell r="AC130">
            <v>0</v>
          </cell>
          <cell r="AJ130">
            <v>0</v>
          </cell>
        </row>
        <row r="131">
          <cell r="P131">
            <v>0</v>
          </cell>
          <cell r="X131">
            <v>0</v>
          </cell>
          <cell r="AC131">
            <v>0</v>
          </cell>
          <cell r="AJ131">
            <v>0</v>
          </cell>
          <cell r="AP131">
            <v>56002</v>
          </cell>
          <cell r="AR131">
            <v>56002</v>
          </cell>
          <cell r="AU131">
            <v>0</v>
          </cell>
          <cell r="AW131">
            <v>0</v>
          </cell>
        </row>
        <row r="132">
          <cell r="P132">
            <v>0</v>
          </cell>
          <cell r="X132">
            <v>0</v>
          </cell>
          <cell r="AC132">
            <v>0</v>
          </cell>
          <cell r="AJ132">
            <v>0</v>
          </cell>
          <cell r="AP132">
            <v>-216485.32106612157</v>
          </cell>
          <cell r="AU132">
            <v>0</v>
          </cell>
        </row>
        <row r="133">
          <cell r="P133">
            <v>0</v>
          </cell>
          <cell r="X133">
            <v>0</v>
          </cell>
          <cell r="AC133">
            <v>0</v>
          </cell>
          <cell r="AJ133">
            <v>0</v>
          </cell>
          <cell r="AP133">
            <v>26.73</v>
          </cell>
          <cell r="AU133" t="e">
            <v>#DIV/0!</v>
          </cell>
        </row>
        <row r="134">
          <cell r="P134">
            <v>0</v>
          </cell>
          <cell r="X134">
            <v>0</v>
          </cell>
          <cell r="AC134">
            <v>0</v>
          </cell>
          <cell r="AJ134">
            <v>0</v>
          </cell>
          <cell r="AP134">
            <v>130.07</v>
          </cell>
          <cell r="AU134" t="e">
            <v>#DIV/0!</v>
          </cell>
        </row>
        <row r="135">
          <cell r="P135">
            <v>0</v>
          </cell>
          <cell r="X135">
            <v>0</v>
          </cell>
          <cell r="AC135">
            <v>0</v>
          </cell>
          <cell r="AJ135">
            <v>0</v>
          </cell>
          <cell r="AP135">
            <v>0</v>
          </cell>
          <cell r="AU135">
            <v>0</v>
          </cell>
        </row>
        <row r="136">
          <cell r="P136">
            <v>0</v>
          </cell>
          <cell r="X136">
            <v>0</v>
          </cell>
          <cell r="AC136">
            <v>0</v>
          </cell>
          <cell r="AJ136">
            <v>0</v>
          </cell>
        </row>
        <row r="137">
          <cell r="P137">
            <v>0</v>
          </cell>
          <cell r="X137">
            <v>0</v>
          </cell>
          <cell r="AC137">
            <v>0</v>
          </cell>
          <cell r="AJ137">
            <v>0</v>
          </cell>
          <cell r="AP137">
            <v>36.19</v>
          </cell>
          <cell r="AU137" t="e">
            <v>#DIV/0!</v>
          </cell>
        </row>
        <row r="138">
          <cell r="P138">
            <v>0</v>
          </cell>
          <cell r="X138">
            <v>0</v>
          </cell>
          <cell r="AC138">
            <v>0</v>
          </cell>
          <cell r="AJ138">
            <v>0</v>
          </cell>
        </row>
        <row r="139">
          <cell r="P139">
            <v>0</v>
          </cell>
          <cell r="X139">
            <v>0</v>
          </cell>
          <cell r="AC139">
            <v>0</v>
          </cell>
          <cell r="AJ139">
            <v>0</v>
          </cell>
          <cell r="AN139">
            <v>0</v>
          </cell>
          <cell r="AP139">
            <v>42.66</v>
          </cell>
          <cell r="AU139" t="e">
            <v>#DIV/0!</v>
          </cell>
        </row>
        <row r="140">
          <cell r="P140">
            <v>0</v>
          </cell>
          <cell r="X140">
            <v>0</v>
          </cell>
          <cell r="AC140">
            <v>0</v>
          </cell>
          <cell r="AJ140">
            <v>0</v>
          </cell>
          <cell r="AP140">
            <v>180931</v>
          </cell>
          <cell r="AQ140">
            <v>180931</v>
          </cell>
        </row>
        <row r="141">
          <cell r="C141" t="str">
            <v>коп/кВтг</v>
          </cell>
          <cell r="P141">
            <v>0</v>
          </cell>
          <cell r="X141">
            <v>0</v>
          </cell>
          <cell r="AC141">
            <v>0</v>
          </cell>
          <cell r="AJ141">
            <v>0</v>
          </cell>
        </row>
        <row r="142">
          <cell r="P142">
            <v>0</v>
          </cell>
          <cell r="X142">
            <v>0</v>
          </cell>
          <cell r="AC142">
            <v>0</v>
          </cell>
          <cell r="AJ142">
            <v>0</v>
          </cell>
          <cell r="AN142">
            <v>0</v>
          </cell>
          <cell r="AP142">
            <v>0</v>
          </cell>
        </row>
        <row r="143">
          <cell r="P143">
            <v>0</v>
          </cell>
          <cell r="Q143">
            <v>0</v>
          </cell>
          <cell r="X143">
            <v>0</v>
          </cell>
          <cell r="AC143">
            <v>0</v>
          </cell>
          <cell r="AJ143">
            <v>0</v>
          </cell>
          <cell r="AP143">
            <v>2601</v>
          </cell>
        </row>
        <row r="144">
          <cell r="P144">
            <v>0</v>
          </cell>
          <cell r="X144">
            <v>0</v>
          </cell>
          <cell r="AC144">
            <v>0</v>
          </cell>
          <cell r="AJ144">
            <v>0</v>
          </cell>
          <cell r="AN144">
            <v>0</v>
          </cell>
          <cell r="AP144">
            <v>236933</v>
          </cell>
          <cell r="AQ144">
            <v>180931</v>
          </cell>
          <cell r="AR144">
            <v>56002</v>
          </cell>
          <cell r="AU144">
            <v>0</v>
          </cell>
        </row>
        <row r="145">
          <cell r="P145">
            <v>0</v>
          </cell>
          <cell r="X145">
            <v>0</v>
          </cell>
          <cell r="AC145">
            <v>0</v>
          </cell>
          <cell r="AJ145">
            <v>0</v>
          </cell>
          <cell r="AP145">
            <v>0</v>
          </cell>
        </row>
        <row r="146">
          <cell r="P146">
            <v>0</v>
          </cell>
          <cell r="X146">
            <v>0</v>
          </cell>
          <cell r="AC146">
            <v>0</v>
          </cell>
          <cell r="AJ146">
            <v>0</v>
          </cell>
          <cell r="AP146">
            <v>236933</v>
          </cell>
          <cell r="AQ146">
            <v>180931</v>
          </cell>
          <cell r="AR146">
            <v>56002</v>
          </cell>
        </row>
        <row r="147">
          <cell r="P147">
            <v>0</v>
          </cell>
          <cell r="X147">
            <v>0</v>
          </cell>
          <cell r="AC147">
            <v>0</v>
          </cell>
          <cell r="AJ147">
            <v>0</v>
          </cell>
          <cell r="AU147">
            <v>16317</v>
          </cell>
          <cell r="AV147">
            <v>29050</v>
          </cell>
          <cell r="AW147">
            <v>19611.776998829588</v>
          </cell>
          <cell r="AX147">
            <v>57757.418789049188</v>
          </cell>
        </row>
        <row r="148">
          <cell r="P148">
            <v>0</v>
          </cell>
          <cell r="X148">
            <v>0</v>
          </cell>
          <cell r="AC148">
            <v>0</v>
          </cell>
          <cell r="AJ148">
            <v>0</v>
          </cell>
          <cell r="AP148">
            <v>-50.7</v>
          </cell>
          <cell r="AQ148">
            <v>-15.2</v>
          </cell>
          <cell r="AR148">
            <v>-79.400000000000006</v>
          </cell>
        </row>
        <row r="149">
          <cell r="P149">
            <v>0</v>
          </cell>
          <cell r="X149">
            <v>0</v>
          </cell>
          <cell r="AC149">
            <v>0</v>
          </cell>
          <cell r="AJ149">
            <v>0</v>
          </cell>
        </row>
        <row r="150">
          <cell r="C150">
            <v>0</v>
          </cell>
          <cell r="N150">
            <v>0</v>
          </cell>
          <cell r="P150">
            <v>0</v>
          </cell>
          <cell r="Q150">
            <v>0</v>
          </cell>
          <cell r="T150">
            <v>0</v>
          </cell>
          <cell r="X150">
            <v>0</v>
          </cell>
          <cell r="Y150">
            <v>0</v>
          </cell>
          <cell r="AC150">
            <v>0</v>
          </cell>
          <cell r="AJ150">
            <v>0</v>
          </cell>
          <cell r="AN150">
            <v>0</v>
          </cell>
        </row>
        <row r="152">
          <cell r="C152">
            <v>524</v>
          </cell>
          <cell r="N152">
            <v>1554.6</v>
          </cell>
          <cell r="P152">
            <v>-1554.6</v>
          </cell>
          <cell r="Q152">
            <v>2706.75</v>
          </cell>
          <cell r="S152">
            <v>-2706.75</v>
          </cell>
          <cell r="T152">
            <v>4521.1499999999996</v>
          </cell>
          <cell r="W152">
            <v>1510</v>
          </cell>
          <cell r="X152">
            <v>-3011.1499999999996</v>
          </cell>
          <cell r="Y152">
            <v>2132.6999999999998</v>
          </cell>
          <cell r="AC152">
            <v>-2132.6999999999998</v>
          </cell>
          <cell r="AD152">
            <v>2072</v>
          </cell>
          <cell r="AE152">
            <v>1999</v>
          </cell>
          <cell r="AF152">
            <v>73</v>
          </cell>
          <cell r="AG152">
            <v>0</v>
          </cell>
          <cell r="AH152">
            <v>938</v>
          </cell>
          <cell r="AI152">
            <v>0</v>
          </cell>
          <cell r="AJ152">
            <v>-2072</v>
          </cell>
          <cell r="AN152">
            <v>197</v>
          </cell>
          <cell r="AP152">
            <v>13708.2</v>
          </cell>
        </row>
        <row r="153">
          <cell r="C153">
            <v>524</v>
          </cell>
        </row>
        <row r="154">
          <cell r="N154">
            <v>552.33333333333326</v>
          </cell>
          <cell r="O154">
            <v>0</v>
          </cell>
          <cell r="P154">
            <v>-552.33333333333326</v>
          </cell>
          <cell r="Q154">
            <v>3030.545454545455</v>
          </cell>
          <cell r="R154">
            <v>0</v>
          </cell>
          <cell r="S154">
            <v>-3030.545454545455</v>
          </cell>
          <cell r="T154">
            <v>1751.2727272727273</v>
          </cell>
          <cell r="U154">
            <v>895</v>
          </cell>
          <cell r="V154">
            <v>856.27272727272725</v>
          </cell>
          <cell r="W154">
            <v>0</v>
          </cell>
          <cell r="X154">
            <v>-1751.2727272727273</v>
          </cell>
          <cell r="Y154">
            <v>1216</v>
          </cell>
          <cell r="Z154">
            <v>591</v>
          </cell>
          <cell r="AA154">
            <v>625</v>
          </cell>
          <cell r="AB154">
            <v>0</v>
          </cell>
          <cell r="AC154">
            <v>-1216</v>
          </cell>
          <cell r="AD154">
            <v>1129.090909090909</v>
          </cell>
          <cell r="AE154">
            <v>1129.090909090909</v>
          </cell>
          <cell r="AF154">
            <v>0</v>
          </cell>
          <cell r="AG154">
            <v>0</v>
          </cell>
          <cell r="AH154">
            <v>0</v>
          </cell>
          <cell r="AI154">
            <v>0</v>
          </cell>
          <cell r="AJ154">
            <v>-1129.090909090909</v>
          </cell>
          <cell r="AN154">
            <v>0</v>
          </cell>
        </row>
        <row r="155">
          <cell r="N155">
            <v>0</v>
          </cell>
          <cell r="P155">
            <v>0</v>
          </cell>
          <cell r="Q155">
            <v>0</v>
          </cell>
          <cell r="S155">
            <v>0</v>
          </cell>
          <cell r="T155">
            <v>70</v>
          </cell>
          <cell r="X155">
            <v>-70</v>
          </cell>
          <cell r="Y155">
            <v>24</v>
          </cell>
          <cell r="AC155">
            <v>-24</v>
          </cell>
          <cell r="AJ155">
            <v>0</v>
          </cell>
          <cell r="AP155" t="e">
            <v>#REF!</v>
          </cell>
        </row>
        <row r="156">
          <cell r="N156">
            <v>0</v>
          </cell>
          <cell r="P156">
            <v>0</v>
          </cell>
          <cell r="Q156">
            <v>0</v>
          </cell>
          <cell r="S156">
            <v>0</v>
          </cell>
          <cell r="T156">
            <v>0</v>
          </cell>
          <cell r="X156">
            <v>0</v>
          </cell>
          <cell r="Y156">
            <v>0</v>
          </cell>
          <cell r="AC156">
            <v>0</v>
          </cell>
          <cell r="AJ156">
            <v>0</v>
          </cell>
          <cell r="AP156" t="e">
            <v>#REF!</v>
          </cell>
        </row>
        <row r="157">
          <cell r="C157">
            <v>0</v>
          </cell>
          <cell r="N157">
            <v>681</v>
          </cell>
          <cell r="P157">
            <v>-681</v>
          </cell>
          <cell r="Q157">
            <v>1041.8333333333333</v>
          </cell>
          <cell r="S157">
            <v>-1041.8333333333333</v>
          </cell>
          <cell r="T157">
            <v>213</v>
          </cell>
          <cell r="X157">
            <v>-213</v>
          </cell>
          <cell r="Y157">
            <v>2086.9051145454541</v>
          </cell>
          <cell r="AC157">
            <v>-2086.9051145454541</v>
          </cell>
          <cell r="AJ157">
            <v>0</v>
          </cell>
          <cell r="AP157" t="e">
            <v>#REF!</v>
          </cell>
        </row>
        <row r="158">
          <cell r="C158">
            <v>0</v>
          </cell>
          <cell r="N158">
            <v>47</v>
          </cell>
          <cell r="P158">
            <v>-47</v>
          </cell>
          <cell r="Q158">
            <v>140</v>
          </cell>
          <cell r="S158">
            <v>-140</v>
          </cell>
          <cell r="T158">
            <v>105</v>
          </cell>
          <cell r="X158">
            <v>-105</v>
          </cell>
          <cell r="Y158">
            <v>190</v>
          </cell>
          <cell r="AC158">
            <v>-190</v>
          </cell>
          <cell r="AJ158">
            <v>0</v>
          </cell>
          <cell r="AP158" t="e">
            <v>#REF!</v>
          </cell>
        </row>
        <row r="159">
          <cell r="C159">
            <v>0</v>
          </cell>
          <cell r="N159">
            <v>1507.6</v>
          </cell>
          <cell r="P159">
            <v>-1507.6</v>
          </cell>
          <cell r="Q159">
            <v>140</v>
          </cell>
          <cell r="S159">
            <v>-140</v>
          </cell>
          <cell r="T159" t="str">
            <v xml:space="preserve">                   КОРИГУВАННЯ   ПЛАНУ   НА   СЕРПЕНЬ  1998 р</v>
          </cell>
          <cell r="X159" t="e">
            <v>#VALUE!</v>
          </cell>
          <cell r="Y159">
            <v>1942.6999999999998</v>
          </cell>
          <cell r="AC159">
            <v>-1942.6999999999998</v>
          </cell>
          <cell r="AJ159">
            <v>0</v>
          </cell>
          <cell r="AP159" t="e">
            <v>#VALUE!</v>
          </cell>
        </row>
        <row r="160">
          <cell r="C160">
            <v>0</v>
          </cell>
          <cell r="N160">
            <v>1554.6</v>
          </cell>
          <cell r="P160">
            <v>-1554.6</v>
          </cell>
          <cell r="Q160">
            <v>280</v>
          </cell>
          <cell r="S160">
            <v>-280</v>
          </cell>
          <cell r="X160">
            <v>0</v>
          </cell>
          <cell r="Y160">
            <v>2132.6999999999998</v>
          </cell>
          <cell r="AC160">
            <v>-2132.6999999999998</v>
          </cell>
          <cell r="AJ160">
            <v>0</v>
          </cell>
        </row>
        <row r="161">
          <cell r="N161">
            <v>0</v>
          </cell>
          <cell r="P161">
            <v>0</v>
          </cell>
          <cell r="Q161">
            <v>2426.75</v>
          </cell>
          <cell r="S161">
            <v>-2426.75</v>
          </cell>
          <cell r="X161">
            <v>0</v>
          </cell>
          <cell r="Y161">
            <v>0</v>
          </cell>
          <cell r="AC161">
            <v>0</v>
          </cell>
          <cell r="AJ161">
            <v>0</v>
          </cell>
          <cell r="AP161" t="e">
            <v>#REF!</v>
          </cell>
        </row>
        <row r="162">
          <cell r="C162">
            <v>0</v>
          </cell>
          <cell r="N162" t="e">
            <v>#REF!</v>
          </cell>
          <cell r="P162" t="e">
            <v>#REF!</v>
          </cell>
          <cell r="Q162">
            <v>0</v>
          </cell>
          <cell r="S162">
            <v>0</v>
          </cell>
          <cell r="X162">
            <v>0</v>
          </cell>
          <cell r="Y162" t="e">
            <v>#REF!</v>
          </cell>
          <cell r="AC162" t="e">
            <v>#REF!</v>
          </cell>
          <cell r="AJ162">
            <v>0</v>
          </cell>
          <cell r="AP162" t="e">
            <v>#REF!</v>
          </cell>
        </row>
        <row r="163">
          <cell r="C163">
            <v>1405</v>
          </cell>
          <cell r="N163">
            <v>3638.65</v>
          </cell>
          <cell r="O163">
            <v>0</v>
          </cell>
          <cell r="P163">
            <v>-3638.65</v>
          </cell>
          <cell r="Q163">
            <v>4446.2</v>
          </cell>
          <cell r="R163">
            <v>800</v>
          </cell>
          <cell r="S163">
            <v>-3646.2</v>
          </cell>
          <cell r="T163">
            <v>502.97</v>
          </cell>
          <cell r="U163">
            <v>0</v>
          </cell>
          <cell r="V163">
            <v>0</v>
          </cell>
          <cell r="W163">
            <v>0</v>
          </cell>
          <cell r="X163">
            <v>-502.97</v>
          </cell>
          <cell r="Y163">
            <v>780.26</v>
          </cell>
          <cell r="Z163">
            <v>0</v>
          </cell>
          <cell r="AA163">
            <v>0</v>
          </cell>
          <cell r="AB163">
            <v>432</v>
          </cell>
          <cell r="AC163">
            <v>-348.26</v>
          </cell>
          <cell r="AD163" t="e">
            <v>#REF!</v>
          </cell>
          <cell r="AE163">
            <v>2119</v>
          </cell>
          <cell r="AF163">
            <v>0</v>
          </cell>
          <cell r="AG163">
            <v>0</v>
          </cell>
          <cell r="AH163">
            <v>0</v>
          </cell>
          <cell r="AI163">
            <v>0</v>
          </cell>
          <cell r="AJ163" t="e">
            <v>#REF!</v>
          </cell>
          <cell r="AK163">
            <v>0</v>
          </cell>
          <cell r="AL163">
            <v>0</v>
          </cell>
          <cell r="AM163">
            <v>0</v>
          </cell>
          <cell r="AN163">
            <v>2443</v>
          </cell>
          <cell r="AO163">
            <v>1616</v>
          </cell>
          <cell r="AP163">
            <v>21063.663999999997</v>
          </cell>
          <cell r="AS163">
            <v>2048</v>
          </cell>
        </row>
        <row r="164">
          <cell r="C164">
            <v>0</v>
          </cell>
          <cell r="N164">
            <v>0</v>
          </cell>
          <cell r="O164">
            <v>0</v>
          </cell>
          <cell r="P164">
            <v>0</v>
          </cell>
          <cell r="Q164">
            <v>0</v>
          </cell>
          <cell r="R164">
            <v>154</v>
          </cell>
          <cell r="S164">
            <v>154</v>
          </cell>
          <cell r="T164">
            <v>0</v>
          </cell>
          <cell r="U164">
            <v>0</v>
          </cell>
          <cell r="V164">
            <v>0</v>
          </cell>
          <cell r="W164">
            <v>79</v>
          </cell>
          <cell r="X164">
            <v>79</v>
          </cell>
          <cell r="Y164">
            <v>0</v>
          </cell>
          <cell r="Z164">
            <v>0</v>
          </cell>
          <cell r="AA164">
            <v>0</v>
          </cell>
          <cell r="AB164">
            <v>86</v>
          </cell>
          <cell r="AC164">
            <v>86</v>
          </cell>
          <cell r="AD164">
            <v>0</v>
          </cell>
          <cell r="AE164">
            <v>0</v>
          </cell>
          <cell r="AF164">
            <v>0</v>
          </cell>
          <cell r="AG164">
            <v>30</v>
          </cell>
          <cell r="AH164">
            <v>30</v>
          </cell>
          <cell r="AI164">
            <v>0</v>
          </cell>
          <cell r="AJ164">
            <v>30</v>
          </cell>
          <cell r="AK164">
            <v>0</v>
          </cell>
          <cell r="AL164">
            <v>0</v>
          </cell>
          <cell r="AM164">
            <v>0</v>
          </cell>
          <cell r="AN164">
            <v>822</v>
          </cell>
          <cell r="AO164">
            <v>0</v>
          </cell>
          <cell r="AP164">
            <v>822</v>
          </cell>
          <cell r="AS164">
            <v>195</v>
          </cell>
        </row>
        <row r="165">
          <cell r="C165">
            <v>2856.2818181818179</v>
          </cell>
          <cell r="N165">
            <v>4905.7127272727275</v>
          </cell>
          <cell r="O165">
            <v>0</v>
          </cell>
          <cell r="P165">
            <v>-4905.7127272727275</v>
          </cell>
          <cell r="Q165">
            <v>10981.60090909091</v>
          </cell>
          <cell r="R165">
            <v>928</v>
          </cell>
          <cell r="S165">
            <v>-10053.60090909091</v>
          </cell>
          <cell r="T165">
            <v>4306.8772727272726</v>
          </cell>
          <cell r="U165">
            <v>2180</v>
          </cell>
          <cell r="V165">
            <v>2126.8772727272726</v>
          </cell>
          <cell r="W165">
            <v>366</v>
          </cell>
          <cell r="X165">
            <v>-3940.8772727272726</v>
          </cell>
          <cell r="Y165">
            <v>3481.4672727272728</v>
          </cell>
          <cell r="Z165">
            <v>1690</v>
          </cell>
          <cell r="AA165">
            <v>1791.4672727272728</v>
          </cell>
          <cell r="AB165">
            <v>251</v>
          </cell>
          <cell r="AC165">
            <v>-3230.4672727272728</v>
          </cell>
          <cell r="AD165">
            <v>9708.5263636363652</v>
          </cell>
          <cell r="AE165">
            <v>8947.636363636364</v>
          </cell>
          <cell r="AF165">
            <v>760.89000000000033</v>
          </cell>
          <cell r="AG165">
            <v>535</v>
          </cell>
          <cell r="AH165">
            <v>535</v>
          </cell>
          <cell r="AI165">
            <v>0</v>
          </cell>
          <cell r="AJ165">
            <v>-9173.5263636363652</v>
          </cell>
          <cell r="AK165">
            <v>0</v>
          </cell>
          <cell r="AL165">
            <v>0</v>
          </cell>
          <cell r="AM165">
            <v>0</v>
          </cell>
          <cell r="AN165">
            <v>545</v>
          </cell>
          <cell r="AO165">
            <v>0</v>
          </cell>
          <cell r="AP165">
            <v>36787.576363636363</v>
          </cell>
          <cell r="AS165">
            <v>1773</v>
          </cell>
        </row>
        <row r="166">
          <cell r="C166">
            <v>30</v>
          </cell>
          <cell r="N166">
            <v>118.13333333333333</v>
          </cell>
          <cell r="O166">
            <v>51</v>
          </cell>
          <cell r="P166">
            <v>-67.133333333333326</v>
          </cell>
          <cell r="Q166">
            <v>203.39999999999998</v>
          </cell>
          <cell r="R166">
            <v>8</v>
          </cell>
          <cell r="S166">
            <v>-195.39999999999998</v>
          </cell>
          <cell r="T166">
            <v>4625.8666666666668</v>
          </cell>
          <cell r="U166">
            <v>2166</v>
          </cell>
          <cell r="V166">
            <v>2459.8666666666668</v>
          </cell>
          <cell r="W166">
            <v>57</v>
          </cell>
          <cell r="X166">
            <v>-4568.8666666666668</v>
          </cell>
          <cell r="Y166">
            <v>468.13333333333327</v>
          </cell>
          <cell r="Z166">
            <v>38</v>
          </cell>
          <cell r="AA166">
            <v>40.200000000000003</v>
          </cell>
          <cell r="AB166">
            <v>7</v>
          </cell>
          <cell r="AC166">
            <v>-461.13333333333327</v>
          </cell>
          <cell r="AD166">
            <v>120</v>
          </cell>
          <cell r="AE166">
            <v>26</v>
          </cell>
          <cell r="AF166">
            <v>94</v>
          </cell>
          <cell r="AG166">
            <v>0</v>
          </cell>
          <cell r="AH166">
            <v>0</v>
          </cell>
          <cell r="AI166">
            <v>0</v>
          </cell>
          <cell r="AJ166">
            <v>-120</v>
          </cell>
          <cell r="AK166">
            <v>0</v>
          </cell>
          <cell r="AL166">
            <v>0</v>
          </cell>
          <cell r="AM166">
            <v>0</v>
          </cell>
          <cell r="AN166">
            <v>19</v>
          </cell>
          <cell r="AO166">
            <v>0</v>
          </cell>
          <cell r="AP166">
            <v>5994.5333333333338</v>
          </cell>
          <cell r="AS166">
            <v>114</v>
          </cell>
        </row>
        <row r="167">
          <cell r="C167">
            <v>-4815.2818181818184</v>
          </cell>
          <cell r="N167">
            <v>5132.1399999999985</v>
          </cell>
          <cell r="Q167">
            <v>29088.33312121213</v>
          </cell>
          <cell r="T167">
            <v>4773.1324242424198</v>
          </cell>
          <cell r="Y167">
            <v>4381.1799999999857</v>
          </cell>
          <cell r="AE167">
            <v>7544.4656363636359</v>
          </cell>
          <cell r="AG167">
            <v>128</v>
          </cell>
          <cell r="AH167">
            <v>-810</v>
          </cell>
          <cell r="AN167">
            <v>4449.2999999999993</v>
          </cell>
          <cell r="AP167">
            <v>65476.669363636363</v>
          </cell>
        </row>
        <row r="168">
          <cell r="C168">
            <v>0</v>
          </cell>
          <cell r="N168">
            <v>3294.15</v>
          </cell>
        </row>
        <row r="169">
          <cell r="C169">
            <v>474</v>
          </cell>
        </row>
        <row r="170">
          <cell r="C170">
            <v>87.333333333333329</v>
          </cell>
        </row>
        <row r="171">
          <cell r="AV171">
            <v>1507.2</v>
          </cell>
        </row>
        <row r="174">
          <cell r="C174" t="str">
            <v>АПАРАТ ВСЬОГО</v>
          </cell>
          <cell r="D174" t="str">
            <v>АПАРАТ ЕЛЕКТРО</v>
          </cell>
          <cell r="E174" t="str">
            <v>АПАРАТ ТЕПЛО</v>
          </cell>
          <cell r="N174" t="str">
            <v>ККМ</v>
          </cell>
          <cell r="Q174" t="str">
            <v>КТМ</v>
          </cell>
          <cell r="U174">
            <v>250</v>
          </cell>
          <cell r="Y174" t="str">
            <v>ТЕЦ-6 ВСЬОГО</v>
          </cell>
          <cell r="Z174" t="str">
            <v>Е/Е</v>
          </cell>
          <cell r="AA174" t="str">
            <v xml:space="preserve"> Т/Е</v>
          </cell>
          <cell r="AN174" t="str">
            <v>ДОП.ВИР. СТ.ОРГ.</v>
          </cell>
          <cell r="AP174" t="str">
            <v>АК КЕ ВСЬОГО</v>
          </cell>
          <cell r="AQ174" t="str">
            <v>Е/Е</v>
          </cell>
          <cell r="AR174" t="str">
            <v xml:space="preserve"> Т/Е</v>
          </cell>
          <cell r="AU174" t="str">
            <v>очикуваемАК КЕ ВСЬОГО</v>
          </cell>
          <cell r="AV174" t="str">
            <v>Е/Е</v>
          </cell>
          <cell r="AW174" t="str">
            <v xml:space="preserve"> Т/Е</v>
          </cell>
        </row>
        <row r="175">
          <cell r="C175">
            <v>1.895</v>
          </cell>
          <cell r="N175">
            <v>1.847</v>
          </cell>
          <cell r="Q175">
            <v>1.895</v>
          </cell>
          <cell r="U175">
            <v>1.895</v>
          </cell>
          <cell r="V175">
            <v>1.895</v>
          </cell>
          <cell r="Y175">
            <v>1.895</v>
          </cell>
          <cell r="Z175">
            <v>1.895</v>
          </cell>
          <cell r="AA175">
            <v>1.895</v>
          </cell>
          <cell r="AN175">
            <v>1.895</v>
          </cell>
          <cell r="AP175">
            <v>1.895</v>
          </cell>
          <cell r="AQ175">
            <v>1.895</v>
          </cell>
          <cell r="AU175">
            <v>1.905</v>
          </cell>
          <cell r="AV175">
            <v>1.895</v>
          </cell>
        </row>
        <row r="177">
          <cell r="Q177">
            <v>132.19999999999999</v>
          </cell>
          <cell r="Y177">
            <v>68.7</v>
          </cell>
          <cell r="AP177">
            <v>200.89999999999998</v>
          </cell>
          <cell r="AU177">
            <v>251.12700000000001</v>
          </cell>
        </row>
        <row r="178">
          <cell r="Q178">
            <v>150.5</v>
          </cell>
          <cell r="U178">
            <v>150.5</v>
          </cell>
          <cell r="Y178">
            <v>78.3</v>
          </cell>
          <cell r="AP178">
            <v>228.8</v>
          </cell>
          <cell r="AU178">
            <v>288.28500000000003</v>
          </cell>
        </row>
        <row r="179">
          <cell r="N179">
            <v>0</v>
          </cell>
          <cell r="Q179">
            <v>82.5</v>
          </cell>
          <cell r="U179">
            <v>82.5</v>
          </cell>
          <cell r="Y179">
            <v>82.5</v>
          </cell>
          <cell r="AP179">
            <v>82.5</v>
          </cell>
          <cell r="AU179">
            <v>66</v>
          </cell>
        </row>
        <row r="180">
          <cell r="N180">
            <v>0</v>
          </cell>
          <cell r="Q180">
            <v>156.34</v>
          </cell>
          <cell r="U180">
            <v>156.34</v>
          </cell>
          <cell r="Y180">
            <v>156.34</v>
          </cell>
          <cell r="AP180">
            <v>156.34</v>
          </cell>
          <cell r="AU180">
            <v>125.73</v>
          </cell>
        </row>
        <row r="181">
          <cell r="Q181">
            <v>20668</v>
          </cell>
          <cell r="U181">
            <v>0</v>
          </cell>
          <cell r="Y181">
            <v>10741</v>
          </cell>
          <cell r="AP181">
            <v>31409</v>
          </cell>
          <cell r="AU181">
            <v>31574</v>
          </cell>
        </row>
        <row r="182">
          <cell r="AP182">
            <v>31409</v>
          </cell>
          <cell r="AU182" t="e">
            <v>#REF!</v>
          </cell>
        </row>
        <row r="183">
          <cell r="Q183">
            <v>0</v>
          </cell>
          <cell r="U183">
            <v>0</v>
          </cell>
          <cell r="Y183">
            <v>52.1</v>
          </cell>
          <cell r="AP183">
            <v>52.1</v>
          </cell>
          <cell r="AU183">
            <v>67.933000000000007</v>
          </cell>
        </row>
        <row r="184">
          <cell r="Q184">
            <v>0</v>
          </cell>
          <cell r="U184">
            <v>0</v>
          </cell>
          <cell r="Y184">
            <v>71.3</v>
          </cell>
          <cell r="AP184">
            <v>71.3</v>
          </cell>
          <cell r="AU184">
            <v>91.201999999999998</v>
          </cell>
        </row>
        <row r="185">
          <cell r="C185">
            <v>75</v>
          </cell>
          <cell r="N185">
            <v>75</v>
          </cell>
          <cell r="AN185">
            <v>0</v>
          </cell>
          <cell r="AP185">
            <v>98.96042216358839</v>
          </cell>
          <cell r="AU185">
            <v>98.96042216358839</v>
          </cell>
        </row>
        <row r="186">
          <cell r="Q186">
            <v>187.53</v>
          </cell>
          <cell r="U186">
            <v>0</v>
          </cell>
          <cell r="Y186">
            <v>187.53</v>
          </cell>
          <cell r="AP186">
            <v>187.53</v>
          </cell>
          <cell r="AU186">
            <v>187.53</v>
          </cell>
        </row>
        <row r="187">
          <cell r="Q187">
            <v>0</v>
          </cell>
          <cell r="T187">
            <v>0</v>
          </cell>
          <cell r="Y187">
            <v>9770</v>
          </cell>
          <cell r="AP187">
            <v>9770</v>
          </cell>
          <cell r="AU187">
            <v>12739</v>
          </cell>
        </row>
        <row r="188">
          <cell r="AP188">
            <v>9770</v>
          </cell>
          <cell r="AU188" t="e">
            <v>#REF!</v>
          </cell>
        </row>
        <row r="189">
          <cell r="Q189">
            <v>150.5</v>
          </cell>
          <cell r="T189">
            <v>0</v>
          </cell>
          <cell r="U189">
            <v>51.4</v>
          </cell>
          <cell r="V189">
            <v>-51.4</v>
          </cell>
          <cell r="Y189">
            <v>149.6</v>
          </cell>
          <cell r="Z189">
            <v>52.7</v>
          </cell>
          <cell r="AA189">
            <v>96.899999999999991</v>
          </cell>
          <cell r="AP189">
            <v>300.10000000000002</v>
          </cell>
          <cell r="AQ189">
            <v>104.1</v>
          </cell>
          <cell r="AR189">
            <v>196</v>
          </cell>
          <cell r="AU189">
            <v>379.48700000000002</v>
          </cell>
          <cell r="AV189">
            <v>83.676000000000002</v>
          </cell>
          <cell r="AW189">
            <v>295.81100000000004</v>
          </cell>
        </row>
        <row r="190">
          <cell r="Q190">
            <v>20668</v>
          </cell>
          <cell r="T190">
            <v>0</v>
          </cell>
          <cell r="U190" t="e">
            <v>#DIV/0!</v>
          </cell>
          <cell r="V190" t="e">
            <v>#DIV/0!</v>
          </cell>
          <cell r="Y190">
            <v>20511</v>
          </cell>
          <cell r="Z190">
            <v>7225</v>
          </cell>
          <cell r="AA190">
            <v>13286</v>
          </cell>
          <cell r="AP190" t="e">
            <v>#DIV/0!</v>
          </cell>
          <cell r="AQ190" t="e">
            <v>#DIV/0!</v>
          </cell>
          <cell r="AR190" t="e">
            <v>#DIV/0!</v>
          </cell>
          <cell r="AU190">
            <v>44313</v>
          </cell>
          <cell r="AV190">
            <v>9770.9133329995493</v>
          </cell>
          <cell r="AW190">
            <v>34542.086667000447</v>
          </cell>
        </row>
        <row r="191">
          <cell r="Q191">
            <v>137.33000000000001</v>
          </cell>
          <cell r="T191" t="e">
            <v>#DIV/0!</v>
          </cell>
          <cell r="U191" t="e">
            <v>#DIV/0!</v>
          </cell>
          <cell r="V191" t="e">
            <v>#DIV/0!</v>
          </cell>
          <cell r="Y191">
            <v>137.11000000000001</v>
          </cell>
          <cell r="Z191">
            <v>137.1</v>
          </cell>
          <cell r="AA191">
            <v>137.11000000000001</v>
          </cell>
          <cell r="AN191">
            <v>0</v>
          </cell>
          <cell r="AP191" t="e">
            <v>#DIV/0!</v>
          </cell>
          <cell r="AQ191" t="e">
            <v>#DIV/0!</v>
          </cell>
          <cell r="AR191" t="e">
            <v>#DIV/0!</v>
          </cell>
          <cell r="AU191">
            <v>116.77</v>
          </cell>
          <cell r="AV191">
            <v>116.77</v>
          </cell>
          <cell r="AW191">
            <v>116.77</v>
          </cell>
        </row>
        <row r="192">
          <cell r="AP192">
            <v>0</v>
          </cell>
          <cell r="AQ192">
            <v>0</v>
          </cell>
          <cell r="AR192">
            <v>0</v>
          </cell>
          <cell r="AU192">
            <v>0</v>
          </cell>
          <cell r="AV192">
            <v>0</v>
          </cell>
          <cell r="AW192">
            <v>0</v>
          </cell>
        </row>
        <row r="193">
          <cell r="T193" t="e">
            <v>#DIV/0!</v>
          </cell>
          <cell r="Y193">
            <v>20511</v>
          </cell>
          <cell r="AP193" t="e">
            <v>#DIV/0!</v>
          </cell>
          <cell r="AQ193" t="e">
            <v>#DIV/0!</v>
          </cell>
          <cell r="AR193" t="e">
            <v>#DIV/0!</v>
          </cell>
          <cell r="AU193">
            <v>44313</v>
          </cell>
          <cell r="AV193">
            <v>9770.9133329995493</v>
          </cell>
          <cell r="AW193">
            <v>34542.086667000447</v>
          </cell>
        </row>
        <row r="196">
          <cell r="T196" t="str">
            <v>ТЕЦ-5 ВСЬОГО</v>
          </cell>
          <cell r="U196" t="str">
            <v>Е/Е</v>
          </cell>
          <cell r="V196" t="str">
            <v xml:space="preserve"> Т/Е</v>
          </cell>
          <cell r="Y196" t="str">
            <v>ТЕЦ-6 ВСЬОГО</v>
          </cell>
          <cell r="Z196" t="str">
            <v>Е/Е</v>
          </cell>
          <cell r="AA196" t="str">
            <v xml:space="preserve"> Т/Е</v>
          </cell>
          <cell r="AP196" t="str">
            <v>АК КЕ ВСЬОГО</v>
          </cell>
          <cell r="AQ196" t="str">
            <v>Е/Е</v>
          </cell>
          <cell r="AR196" t="str">
            <v xml:space="preserve"> Т/Е</v>
          </cell>
        </row>
        <row r="197">
          <cell r="U197">
            <v>291.85000000000002</v>
          </cell>
          <cell r="V197">
            <v>750</v>
          </cell>
          <cell r="Z197">
            <v>268.14999999999998</v>
          </cell>
          <cell r="AA197">
            <v>590</v>
          </cell>
        </row>
        <row r="198">
          <cell r="U198">
            <v>176.1</v>
          </cell>
          <cell r="V198">
            <v>163.6</v>
          </cell>
          <cell r="Z198">
            <v>196.5</v>
          </cell>
          <cell r="AA198">
            <v>164.2</v>
          </cell>
        </row>
        <row r="199">
          <cell r="U199">
            <v>306.60000000000002</v>
          </cell>
          <cell r="V199">
            <v>112.8</v>
          </cell>
          <cell r="Z199">
            <v>301.89999999999998</v>
          </cell>
          <cell r="AA199">
            <v>116.3</v>
          </cell>
        </row>
        <row r="200">
          <cell r="U200">
            <v>130.50000000000003</v>
          </cell>
          <cell r="V200">
            <v>-50.8</v>
          </cell>
          <cell r="Z200">
            <v>105.39999999999998</v>
          </cell>
          <cell r="AA200">
            <v>-47.899999999999991</v>
          </cell>
        </row>
        <row r="201">
          <cell r="U201" t="e">
            <v>#DIV/0!</v>
          </cell>
          <cell r="V201" t="e">
            <v>#DIV/0!</v>
          </cell>
          <cell r="Z201">
            <v>137.1</v>
          </cell>
          <cell r="AA201">
            <v>137.11000000000001</v>
          </cell>
        </row>
        <row r="202">
          <cell r="U202" t="e">
            <v>#DIV/0!</v>
          </cell>
          <cell r="V202" t="e">
            <v>#DIV/0!</v>
          </cell>
          <cell r="Z202">
            <v>14.450339999999997</v>
          </cell>
          <cell r="AA202">
            <v>-6.5675689999999998</v>
          </cell>
        </row>
        <row r="203">
          <cell r="U203" t="e">
            <v>#DIV/0!</v>
          </cell>
          <cell r="V203" t="e">
            <v>#DIV/0!</v>
          </cell>
          <cell r="Z203">
            <v>3874.858670999999</v>
          </cell>
          <cell r="AA203">
            <v>-3874.86571</v>
          </cell>
          <cell r="AQ203" t="e">
            <v>#DIV/0!</v>
          </cell>
          <cell r="AR203" t="e">
            <v>#DIV/0!</v>
          </cell>
        </row>
        <row r="205">
          <cell r="AV205">
            <v>1507.2</v>
          </cell>
        </row>
        <row r="219">
          <cell r="Y219" t="str">
            <v>ЗАТВЕРДЖУЮ</v>
          </cell>
        </row>
        <row r="220">
          <cell r="Y220" t="str">
            <v>ГОЛОВА ПРАЛІННЯ АК КЕ</v>
          </cell>
        </row>
        <row r="221">
          <cell r="Z221" t="str">
            <v>І.В.ПЛАЧКОВ</v>
          </cell>
        </row>
        <row r="222">
          <cell r="C222" t="str">
            <v>ПОТРЕБА   В КОШТАХ НА  1 КВАРТАЛ 1998 року</v>
          </cell>
        </row>
        <row r="223">
          <cell r="C223" t="str">
            <v>ПО ФІЛІАЛАХ АК КИЇВЕНЕРГО</v>
          </cell>
        </row>
        <row r="225">
          <cell r="C225" t="str">
            <v>ВИКОН.ДИР.</v>
          </cell>
          <cell r="D225" t="str">
            <v>АПАРАТ ЕЛЕКТРО</v>
          </cell>
          <cell r="E225" t="str">
            <v>АПАРАТ ТЕПЛО</v>
          </cell>
          <cell r="N225" t="str">
            <v>ККМ</v>
          </cell>
          <cell r="Q225" t="str">
            <v>КТМ</v>
          </cell>
          <cell r="T225" t="str">
            <v>ТЕЦ-5 ВСЬОГО</v>
          </cell>
          <cell r="U225" t="str">
            <v>Е/Е</v>
          </cell>
          <cell r="V225" t="str">
            <v xml:space="preserve"> Т/Е</v>
          </cell>
          <cell r="Y225" t="str">
            <v>ТЕЦ-6 ВСЬОГО</v>
          </cell>
          <cell r="Z225" t="str">
            <v>Е/Е</v>
          </cell>
          <cell r="AA225" t="str">
            <v xml:space="preserve"> Т/Е</v>
          </cell>
          <cell r="AN225" t="str">
            <v>ДОП.ВИР. СТ.ОРГ.</v>
          </cell>
          <cell r="AP225" t="str">
            <v>АК КЕ ВСЬОГО</v>
          </cell>
          <cell r="AQ225" t="str">
            <v>Е/Е</v>
          </cell>
          <cell r="AR225" t="str">
            <v xml:space="preserve"> Т/Е</v>
          </cell>
          <cell r="AU225" t="str">
            <v>СТАНЦІї ЕЛЕКТРО</v>
          </cell>
          <cell r="AV225" t="str">
            <v>СТАНЦІІ ТЕПЛОВІ</v>
          </cell>
          <cell r="AW225" t="str">
            <v>МЕРЕЖІ ЕЛЕКТРО</v>
          </cell>
          <cell r="AX225" t="str">
            <v>МЕРЕЖІ ТЕПЛОВІ</v>
          </cell>
        </row>
        <row r="228">
          <cell r="C228">
            <v>32684.495818181818</v>
          </cell>
          <cell r="N228" t="e">
            <v>#REF!</v>
          </cell>
          <cell r="Q228">
            <v>44127.844575757583</v>
          </cell>
          <cell r="T228">
            <v>20190.753636363632</v>
          </cell>
          <cell r="Y228" t="e">
            <v>#REF!</v>
          </cell>
          <cell r="AN228">
            <v>8475.2999999999993</v>
          </cell>
          <cell r="AP228" t="e">
            <v>#REF!</v>
          </cell>
          <cell r="AQ228" t="e">
            <v>#REF!</v>
          </cell>
        </row>
        <row r="229">
          <cell r="C229">
            <v>27009.813999999998</v>
          </cell>
          <cell r="N229" t="e">
            <v>#REF!</v>
          </cell>
          <cell r="Q229">
            <v>17782.400999999998</v>
          </cell>
          <cell r="T229">
            <v>10444.198363636357</v>
          </cell>
          <cell r="Y229" t="e">
            <v>#REF!</v>
          </cell>
          <cell r="AP229" t="e">
            <v>#REF!</v>
          </cell>
          <cell r="AQ229" t="e">
            <v>#REF!</v>
          </cell>
        </row>
        <row r="231">
          <cell r="C231">
            <v>2856.2818181818179</v>
          </cell>
          <cell r="N231">
            <v>4905.7127272727275</v>
          </cell>
          <cell r="Q231">
            <v>10981.60090909091</v>
          </cell>
          <cell r="T231">
            <v>4306.8772727272726</v>
          </cell>
          <cell r="Y231">
            <v>3481.4672727272728</v>
          </cell>
          <cell r="AN231">
            <v>545</v>
          </cell>
          <cell r="AP231">
            <v>36787.576363636363</v>
          </cell>
          <cell r="AQ231" t="e">
            <v>#REF!</v>
          </cell>
        </row>
        <row r="232">
          <cell r="C232">
            <v>776</v>
          </cell>
          <cell r="N232">
            <v>1341</v>
          </cell>
          <cell r="Q232">
            <v>2992</v>
          </cell>
          <cell r="T232">
            <v>1174</v>
          </cell>
          <cell r="Y232">
            <v>950</v>
          </cell>
          <cell r="AP232">
            <v>10064.545454545456</v>
          </cell>
          <cell r="AQ232" t="e">
            <v>#REF!</v>
          </cell>
        </row>
        <row r="233">
          <cell r="AQ233" t="e">
            <v>#REF!</v>
          </cell>
        </row>
        <row r="234">
          <cell r="C234">
            <v>0</v>
          </cell>
          <cell r="N234">
            <v>0</v>
          </cell>
          <cell r="Q234">
            <v>101.8</v>
          </cell>
          <cell r="T234">
            <v>4197.6000000000004</v>
          </cell>
          <cell r="Y234">
            <v>78.2</v>
          </cell>
          <cell r="AP234">
            <v>4976.6000000000004</v>
          </cell>
          <cell r="AQ234" t="e">
            <v>#REF!</v>
          </cell>
        </row>
        <row r="235">
          <cell r="C235">
            <v>0</v>
          </cell>
          <cell r="N235">
            <v>0</v>
          </cell>
          <cell r="Q235">
            <v>0</v>
          </cell>
          <cell r="T235">
            <v>0</v>
          </cell>
          <cell r="Y235">
            <v>0</v>
          </cell>
          <cell r="AP235">
            <v>19</v>
          </cell>
          <cell r="AQ235" t="e">
            <v>#REF!</v>
          </cell>
        </row>
        <row r="236">
          <cell r="C236">
            <v>1092</v>
          </cell>
          <cell r="N236">
            <v>0</v>
          </cell>
          <cell r="Q236">
            <v>527.04999999999995</v>
          </cell>
          <cell r="T236">
            <v>0</v>
          </cell>
          <cell r="Y236">
            <v>0</v>
          </cell>
          <cell r="AP236">
            <v>1617.05</v>
          </cell>
          <cell r="AQ236" t="e">
            <v>#REF!</v>
          </cell>
        </row>
        <row r="237">
          <cell r="AQ237" t="e">
            <v>#REF!</v>
          </cell>
        </row>
        <row r="238">
          <cell r="C238">
            <v>1405</v>
          </cell>
          <cell r="N238">
            <v>3638.65</v>
          </cell>
          <cell r="Q238">
            <v>4446.2</v>
          </cell>
          <cell r="T238">
            <v>502.97</v>
          </cell>
          <cell r="Y238">
            <v>780.26</v>
          </cell>
          <cell r="AP238" t="e">
            <v>#REF!</v>
          </cell>
          <cell r="AQ238" t="e">
            <v>#REF!</v>
          </cell>
        </row>
        <row r="239">
          <cell r="C239">
            <v>524</v>
          </cell>
          <cell r="N239">
            <v>0</v>
          </cell>
          <cell r="Q239">
            <v>0</v>
          </cell>
          <cell r="T239">
            <v>0</v>
          </cell>
          <cell r="Y239">
            <v>0</v>
          </cell>
          <cell r="AP239">
            <v>0</v>
          </cell>
          <cell r="AQ239" t="e">
            <v>#REF!</v>
          </cell>
        </row>
        <row r="240">
          <cell r="AQ240" t="e">
            <v>#REF!</v>
          </cell>
        </row>
        <row r="241">
          <cell r="C241">
            <v>0</v>
          </cell>
          <cell r="N241" t="e">
            <v>#REF!</v>
          </cell>
          <cell r="Q241">
            <v>0</v>
          </cell>
          <cell r="T241">
            <v>0</v>
          </cell>
          <cell r="Y241" t="e">
            <v>#REF!</v>
          </cell>
          <cell r="AP241" t="e">
            <v>#REF!</v>
          </cell>
          <cell r="AQ241" t="e">
            <v>#REF!</v>
          </cell>
        </row>
        <row r="242">
          <cell r="AQ242" t="e">
            <v>#REF!</v>
          </cell>
        </row>
        <row r="243">
          <cell r="AQ243" t="e">
            <v>#REF!</v>
          </cell>
        </row>
        <row r="244">
          <cell r="C244">
            <v>617</v>
          </cell>
          <cell r="N244">
            <v>624</v>
          </cell>
          <cell r="Q244">
            <v>3327.0186666666668</v>
          </cell>
          <cell r="T244">
            <v>435.25866666666667</v>
          </cell>
          <cell r="Y244">
            <v>326.22533333333331</v>
          </cell>
          <cell r="AP244">
            <v>7190.3851668093339</v>
          </cell>
          <cell r="AQ244" t="e">
            <v>#REF!</v>
          </cell>
        </row>
        <row r="245">
          <cell r="C245">
            <v>1639</v>
          </cell>
          <cell r="N245">
            <v>60</v>
          </cell>
          <cell r="Q245">
            <v>280.33333333333337</v>
          </cell>
          <cell r="T245">
            <v>212.62666666666667</v>
          </cell>
          <cell r="Y245">
            <v>206.78399999999999</v>
          </cell>
          <cell r="AP245">
            <v>2475.9412082354906</v>
          </cell>
          <cell r="AQ245" t="e">
            <v>#REF!</v>
          </cell>
        </row>
        <row r="246">
          <cell r="AQ246" t="e">
            <v>#REF!</v>
          </cell>
        </row>
        <row r="247">
          <cell r="C247">
            <v>0</v>
          </cell>
          <cell r="N247">
            <v>1</v>
          </cell>
          <cell r="Q247">
            <v>0</v>
          </cell>
          <cell r="T247">
            <v>114.19266666666665</v>
          </cell>
          <cell r="Y247">
            <v>253.52799999999999</v>
          </cell>
          <cell r="AP247">
            <v>368.72066666666666</v>
          </cell>
          <cell r="AQ247" t="e">
            <v>#REF!</v>
          </cell>
        </row>
        <row r="248">
          <cell r="C248">
            <v>38.4</v>
          </cell>
          <cell r="N248">
            <v>219.08600000000001</v>
          </cell>
          <cell r="Q248">
            <v>11113.690666666667</v>
          </cell>
          <cell r="T248">
            <v>0</v>
          </cell>
          <cell r="Y248">
            <v>0</v>
          </cell>
          <cell r="AP248">
            <v>13188.848666666669</v>
          </cell>
          <cell r="AQ248" t="e">
            <v>#REF!</v>
          </cell>
        </row>
        <row r="249">
          <cell r="C249">
            <v>33</v>
          </cell>
          <cell r="N249">
            <v>0</v>
          </cell>
          <cell r="Q249">
            <v>0</v>
          </cell>
          <cell r="T249">
            <v>0</v>
          </cell>
          <cell r="Y249">
            <v>0</v>
          </cell>
          <cell r="AP249">
            <v>609</v>
          </cell>
          <cell r="AQ249" t="e">
            <v>#REF!</v>
          </cell>
        </row>
        <row r="250">
          <cell r="C250">
            <v>243</v>
          </cell>
          <cell r="N250">
            <v>0</v>
          </cell>
          <cell r="Q250">
            <v>0</v>
          </cell>
          <cell r="T250">
            <v>0</v>
          </cell>
          <cell r="Y250">
            <v>0</v>
          </cell>
          <cell r="AP250">
            <v>243</v>
          </cell>
          <cell r="AQ250" t="e">
            <v>#REF!</v>
          </cell>
        </row>
        <row r="251">
          <cell r="C251">
            <v>0</v>
          </cell>
          <cell r="N251">
            <v>0</v>
          </cell>
          <cell r="Q251">
            <v>0.76400000000001</v>
          </cell>
          <cell r="T251">
            <v>0</v>
          </cell>
          <cell r="Y251">
            <v>0</v>
          </cell>
          <cell r="AP251">
            <v>795.76400000000001</v>
          </cell>
          <cell r="AQ251" t="e">
            <v>#REF!</v>
          </cell>
        </row>
        <row r="252">
          <cell r="C252">
            <v>0</v>
          </cell>
          <cell r="N252">
            <v>0.19200000000000728</v>
          </cell>
          <cell r="Q252">
            <v>0.68000000000006366</v>
          </cell>
          <cell r="T252">
            <v>0</v>
          </cell>
          <cell r="Y252">
            <v>0</v>
          </cell>
          <cell r="AP252">
            <v>18640.272000000001</v>
          </cell>
          <cell r="AQ252" t="e">
            <v>#REF!</v>
          </cell>
        </row>
        <row r="253">
          <cell r="C253">
            <v>24236.813999999998</v>
          </cell>
          <cell r="N253" t="e">
            <v>#REF!</v>
          </cell>
          <cell r="Q253">
            <v>12807.707000000008</v>
          </cell>
          <cell r="T253">
            <v>9941.2283636363591</v>
          </cell>
          <cell r="Y253" t="e">
            <v>#REF!</v>
          </cell>
          <cell r="AP253" t="e">
            <v>#REF!</v>
          </cell>
          <cell r="AQ253" t="e">
            <v>#REF!</v>
          </cell>
        </row>
        <row r="254">
          <cell r="Q254">
            <v>541</v>
          </cell>
          <cell r="T254">
            <v>480</v>
          </cell>
          <cell r="Y254">
            <v>44</v>
          </cell>
          <cell r="AP254">
            <v>524</v>
          </cell>
          <cell r="AQ254" t="e">
            <v>#REF!</v>
          </cell>
        </row>
        <row r="294">
          <cell r="T294" t="str">
            <v>Собівартість</v>
          </cell>
        </row>
        <row r="295">
          <cell r="V295">
            <v>-25</v>
          </cell>
        </row>
        <row r="296">
          <cell r="V296">
            <v>-1.375</v>
          </cell>
        </row>
        <row r="297">
          <cell r="V297">
            <v>-8</v>
          </cell>
        </row>
        <row r="298">
          <cell r="V298">
            <v>-2.1590909090909096</v>
          </cell>
        </row>
        <row r="304">
          <cell r="T304" t="str">
            <v>ФМЗ ( з відрахуван)</v>
          </cell>
          <cell r="V304">
            <v>25</v>
          </cell>
        </row>
      </sheetData>
      <sheetData sheetId="36" refreshError="1">
        <row r="8">
          <cell r="S8" t="str">
            <v>ЗАТВЕРДЖУЮ</v>
          </cell>
        </row>
        <row r="16">
          <cell r="AP16" t="str">
            <v>ЗАТВЕРДЖУЮ</v>
          </cell>
        </row>
        <row r="17">
          <cell r="C17" t="str">
            <v>І.В.ПЛАЧКОВ</v>
          </cell>
          <cell r="AP17" t="str">
            <v>ГОЛОВА ПРАЛІННЯ АК КЕ</v>
          </cell>
        </row>
        <row r="22">
          <cell r="U22" t="str">
            <v>ЗАТВЕРДЖУЮ</v>
          </cell>
          <cell r="AV22" t="str">
            <v>І.В.ПЛАЧКОВ</v>
          </cell>
        </row>
        <row r="27">
          <cell r="U27" t="str">
            <v>ГЕНЕРАЛЬНИЙ ДИРЕКТОР -</v>
          </cell>
        </row>
        <row r="28">
          <cell r="U28" t="str">
            <v>ГОЛОВА ПРАВЛІННЯ КЕ</v>
          </cell>
          <cell r="X28" t="str">
            <v>ВЕРЕСЕНЬ очІк.</v>
          </cell>
          <cell r="Y28" t="str">
            <v>8 мес звіт</v>
          </cell>
          <cell r="Z28" t="str">
            <v>9 мес.очІк.</v>
          </cell>
          <cell r="AA28" t="str">
            <v>4 кв. план</v>
          </cell>
          <cell r="AB28" t="str">
            <v>1998 рік очІк.</v>
          </cell>
        </row>
        <row r="29">
          <cell r="Q29" t="str">
            <v>-</v>
          </cell>
        </row>
        <row r="30">
          <cell r="C30" t="str">
            <v>ВИКОН.ДИР.ПЛАН</v>
          </cell>
          <cell r="D30" t="str">
            <v>Е/Е</v>
          </cell>
          <cell r="E30" t="str">
            <v xml:space="preserve"> Т/Е</v>
          </cell>
          <cell r="N30" t="str">
            <v xml:space="preserve">ККМ ПЛАН </v>
          </cell>
          <cell r="O30" t="str">
            <v>ЗВІТ</v>
          </cell>
          <cell r="P30" t="str">
            <v>ВІДХ.</v>
          </cell>
          <cell r="Q30" t="str">
            <v>КТМ ПЛАН</v>
          </cell>
          <cell r="R30" t="str">
            <v>ЗВІТ</v>
          </cell>
          <cell r="S30" t="str">
            <v>ВІДХ.</v>
          </cell>
          <cell r="T30" t="str">
            <v>ТЕЦ-5   ПЛАН</v>
          </cell>
          <cell r="U30" t="str">
            <v>Е/Е</v>
          </cell>
          <cell r="V30" t="str">
            <v xml:space="preserve"> Т/Е</v>
          </cell>
          <cell r="W30" t="str">
            <v>ЗВІТ</v>
          </cell>
          <cell r="X30" t="str">
            <v>ВІДХ.</v>
          </cell>
          <cell r="Y30" t="str">
            <v>ТЕЦ-6  ПЛАН</v>
          </cell>
          <cell r="Z30" t="str">
            <v>Е/Е</v>
          </cell>
          <cell r="AA30" t="str">
            <v xml:space="preserve"> Т/Е</v>
          </cell>
          <cell r="AB30" t="str">
            <v>ЗВІТ</v>
          </cell>
          <cell r="AC30" t="str">
            <v>ВІДХ.</v>
          </cell>
          <cell r="AD30" t="str">
            <v>ТРМ ВСЬОГО ПЛАН</v>
          </cell>
          <cell r="AE30" t="str">
            <v>ТРМ АК ПЛАН</v>
          </cell>
          <cell r="AF30" t="str">
            <v>ТРМ СТОР  ПЛАН</v>
          </cell>
          <cell r="AG30" t="str">
            <v>ТРМ ВСЬОГО ЗВІТ</v>
          </cell>
          <cell r="AH30" t="str">
            <v>ТРМ АК ЗВІТ</v>
          </cell>
          <cell r="AI30" t="str">
            <v>ТРМ СТОР  ЗВІТ</v>
          </cell>
          <cell r="AJ30" t="str">
            <v>відх всього</v>
          </cell>
          <cell r="AK30" t="str">
            <v>Е/Е</v>
          </cell>
          <cell r="AL30" t="str">
            <v xml:space="preserve"> Т/Е</v>
          </cell>
          <cell r="AN30" t="str">
            <v>ДОП.ВИР. ПЛАН</v>
          </cell>
          <cell r="AO30" t="str">
            <v>ЗВІТ</v>
          </cell>
          <cell r="AP30" t="str">
            <v>АК КЕ  ПЛАН</v>
          </cell>
          <cell r="AQ30" t="str">
            <v xml:space="preserve"> Е/Е</v>
          </cell>
          <cell r="AR30" t="str">
            <v xml:space="preserve"> Т/Е</v>
          </cell>
          <cell r="AS30" t="str">
            <v>ЗВІТ</v>
          </cell>
          <cell r="AT30" t="str">
            <v>відх</v>
          </cell>
          <cell r="AU30" t="str">
            <v>СТАНЦІї ЕЛЕКТРО</v>
          </cell>
          <cell r="AV30" t="str">
            <v>СТАНЦІІ ТЕПЛОВІ</v>
          </cell>
          <cell r="AW30" t="str">
            <v>МЕРЕЖІ ЕЛЕКТРО</v>
          </cell>
          <cell r="AX30" t="str">
            <v>МЕРЕЖІ ТЕПЛОВІ</v>
          </cell>
        </row>
        <row r="31">
          <cell r="S31" t="str">
            <v>ЗАТВЕРДЖУЮ</v>
          </cell>
          <cell r="U31">
            <v>330</v>
          </cell>
          <cell r="Z31">
            <v>298</v>
          </cell>
          <cell r="AQ31">
            <v>628</v>
          </cell>
        </row>
        <row r="32">
          <cell r="S32" t="str">
            <v>ГОЛОВА ПРАЛІННЯ  КЕ</v>
          </cell>
          <cell r="U32">
            <v>291.85000000000002</v>
          </cell>
          <cell r="Z32">
            <v>268.14999999999998</v>
          </cell>
          <cell r="AQ32">
            <v>560</v>
          </cell>
        </row>
        <row r="33">
          <cell r="AQ33">
            <v>0</v>
          </cell>
        </row>
        <row r="34">
          <cell r="AQ34">
            <v>0</v>
          </cell>
        </row>
        <row r="35">
          <cell r="S35" t="str">
            <v xml:space="preserve">                   ПЛАЧКОВ І.В.</v>
          </cell>
          <cell r="T35" t="str">
            <v>І.В.ПЛАЧКОВ</v>
          </cell>
          <cell r="AQ35">
            <v>32</v>
          </cell>
        </row>
        <row r="36">
          <cell r="AQ36">
            <v>0</v>
          </cell>
        </row>
        <row r="37">
          <cell r="U37" t="str">
            <v xml:space="preserve">                      ПЛАЧКОВ І.В.</v>
          </cell>
          <cell r="AQ37">
            <v>500</v>
          </cell>
        </row>
        <row r="38">
          <cell r="C38" t="str">
            <v>ВИК.ДИР.</v>
          </cell>
          <cell r="D38" t="str">
            <v>Е/Е</v>
          </cell>
          <cell r="E38" t="str">
            <v xml:space="preserve"> Т/Е</v>
          </cell>
          <cell r="N38">
            <v>0</v>
          </cell>
          <cell r="O38" t="str">
            <v xml:space="preserve"> Т/Е</v>
          </cell>
          <cell r="P38" t="str">
            <v>ТЕЦ-6 ВСЬОГО</v>
          </cell>
          <cell r="Q38" t="str">
            <v>Е/Е</v>
          </cell>
          <cell r="R38" t="str">
            <v xml:space="preserve"> Т/Е</v>
          </cell>
          <cell r="S38" t="str">
            <v xml:space="preserve">ДОП.ВИР. </v>
          </cell>
          <cell r="T38" t="str">
            <v>ДОП.ВИР. СТ.ОРГ.</v>
          </cell>
          <cell r="U38" t="str">
            <v>АК КЕ ВСЬОГО</v>
          </cell>
          <cell r="V38" t="str">
            <v>Е/Е</v>
          </cell>
          <cell r="W38" t="str">
            <v xml:space="preserve"> Т/Е</v>
          </cell>
          <cell r="X38" t="str">
            <v xml:space="preserve"> Т/Е</v>
          </cell>
          <cell r="Y38" t="str">
            <v xml:space="preserve"> Т/Е</v>
          </cell>
          <cell r="Z38" t="str">
            <v xml:space="preserve"> Т/Е</v>
          </cell>
          <cell r="AB38" t="str">
            <v xml:space="preserve"> Т/Е</v>
          </cell>
          <cell r="AC38" t="str">
            <v>СТАНЦІї ЕЛЕКТРО</v>
          </cell>
          <cell r="AD38" t="str">
            <v>СТАНЦІІ ТЕПЛОВІ</v>
          </cell>
          <cell r="AE38" t="str">
            <v>МЕРЕЖІ ЕЛЕКТРО</v>
          </cell>
          <cell r="AF38" t="str">
            <v>МЕРЕЖІ ТЕПЛОВІ</v>
          </cell>
          <cell r="AQ38">
            <v>468</v>
          </cell>
        </row>
        <row r="39">
          <cell r="C39" t="e">
            <v>#REF!</v>
          </cell>
          <cell r="N39">
            <v>17877.730727272734</v>
          </cell>
          <cell r="O39">
            <v>6571</v>
          </cell>
          <cell r="P39">
            <v>-11306.730727272734</v>
          </cell>
          <cell r="Q39">
            <v>52962.258575757587</v>
          </cell>
          <cell r="R39">
            <v>23576</v>
          </cell>
          <cell r="S39">
            <v>-29386.258575757587</v>
          </cell>
          <cell r="T39">
            <v>19554.09145454544</v>
          </cell>
          <cell r="V39">
            <v>380</v>
          </cell>
          <cell r="W39">
            <v>8380</v>
          </cell>
          <cell r="X39">
            <v>-11174.09145454544</v>
          </cell>
          <cell r="Y39">
            <v>12737.657696969683</v>
          </cell>
          <cell r="Z39">
            <v>6454</v>
          </cell>
          <cell r="AA39">
            <v>5893.3763636363637</v>
          </cell>
          <cell r="AB39">
            <v>5452</v>
          </cell>
          <cell r="AC39">
            <v>-7285.6576969696835</v>
          </cell>
          <cell r="AD39">
            <v>28587.80260606061</v>
          </cell>
          <cell r="AG39">
            <v>8513</v>
          </cell>
          <cell r="AH39">
            <v>6481</v>
          </cell>
          <cell r="AI39">
            <v>2032</v>
          </cell>
          <cell r="AJ39">
            <v>-20074.80260606061</v>
          </cell>
          <cell r="AN39" t="e">
            <v>#REF!</v>
          </cell>
        </row>
        <row r="40">
          <cell r="C40">
            <v>12426.396999999997</v>
          </cell>
          <cell r="N40">
            <v>202.3</v>
          </cell>
          <cell r="Q40">
            <v>145</v>
          </cell>
          <cell r="V40">
            <v>347.3</v>
          </cell>
        </row>
        <row r="41">
          <cell r="C41">
            <v>1651.8969999999999</v>
          </cell>
          <cell r="D41">
            <v>443</v>
          </cell>
          <cell r="E41">
            <v>1208.8969999999999</v>
          </cell>
          <cell r="N41">
            <v>5904.3327272727274</v>
          </cell>
          <cell r="Q41">
            <v>13067.120909090911</v>
          </cell>
          <cell r="T41">
            <v>5028.8272727272724</v>
          </cell>
          <cell r="U41">
            <v>2766</v>
          </cell>
          <cell r="V41">
            <v>2262.8272727272729</v>
          </cell>
          <cell r="Y41">
            <v>4079.1272727272726</v>
          </cell>
          <cell r="Z41">
            <v>2165</v>
          </cell>
          <cell r="AA41">
            <v>1914.1272727272726</v>
          </cell>
          <cell r="AE41">
            <v>10579.936363636363</v>
          </cell>
          <cell r="AG41">
            <v>4464</v>
          </cell>
          <cell r="AH41">
            <v>3202</v>
          </cell>
          <cell r="AN41" t="e">
            <v>#REF!</v>
          </cell>
          <cell r="AR41">
            <v>4176.954545454546</v>
          </cell>
        </row>
        <row r="42">
          <cell r="Q42">
            <v>970</v>
          </cell>
          <cell r="V42">
            <v>750</v>
          </cell>
          <cell r="AA42">
            <v>590</v>
          </cell>
          <cell r="AR42">
            <v>2095</v>
          </cell>
        </row>
        <row r="43">
          <cell r="V43">
            <v>0</v>
          </cell>
        </row>
        <row r="44">
          <cell r="V44">
            <v>0</v>
          </cell>
        </row>
        <row r="45">
          <cell r="V45">
            <v>350</v>
          </cell>
        </row>
        <row r="46">
          <cell r="C46">
            <v>2157</v>
          </cell>
          <cell r="D46">
            <v>327</v>
          </cell>
          <cell r="E46">
            <v>1830</v>
          </cell>
          <cell r="N46">
            <v>2758.1680000000001</v>
          </cell>
          <cell r="O46">
            <v>1204</v>
          </cell>
          <cell r="P46">
            <v>-1554.1680000000001</v>
          </cell>
          <cell r="Q46">
            <v>5334.0159999999996</v>
          </cell>
          <cell r="R46">
            <v>2125</v>
          </cell>
          <cell r="S46">
            <v>-3209.0159999999996</v>
          </cell>
          <cell r="T46">
            <v>1237.8879999999999</v>
          </cell>
          <cell r="U46">
            <v>695</v>
          </cell>
          <cell r="V46">
            <v>542.88799999999992</v>
          </cell>
          <cell r="W46">
            <v>431</v>
          </cell>
          <cell r="X46">
            <v>-806.88799999999992</v>
          </cell>
          <cell r="Y46">
            <v>1625.3940000000002</v>
          </cell>
          <cell r="Z46">
            <v>907</v>
          </cell>
          <cell r="AA46">
            <v>718.39400000000023</v>
          </cell>
          <cell r="AB46">
            <v>400</v>
          </cell>
          <cell r="AC46">
            <v>-1225.3940000000002</v>
          </cell>
          <cell r="AD46">
            <v>2922.5913333333333</v>
          </cell>
          <cell r="AE46">
            <v>2118.9300000000003</v>
          </cell>
          <cell r="AF46">
            <v>803.661333333333</v>
          </cell>
          <cell r="AG46">
            <v>1087</v>
          </cell>
          <cell r="AH46">
            <v>292</v>
          </cell>
          <cell r="AI46">
            <v>134</v>
          </cell>
          <cell r="AJ46">
            <v>-1835.5913333333333</v>
          </cell>
          <cell r="AN46">
            <v>0</v>
          </cell>
          <cell r="AP46">
            <v>15485.116000000002</v>
          </cell>
          <cell r="AQ46">
            <v>4865.768</v>
          </cell>
          <cell r="AR46">
            <v>10619.348000000002</v>
          </cell>
          <cell r="AS46">
            <v>4452</v>
          </cell>
          <cell r="AT46">
            <v>-11033.116000000002</v>
          </cell>
          <cell r="AU46">
            <v>1602</v>
          </cell>
          <cell r="AV46">
            <v>3075</v>
          </cell>
          <cell r="AW46">
            <v>3263.768</v>
          </cell>
          <cell r="AX46">
            <v>7544.3480000000018</v>
          </cell>
        </row>
        <row r="47">
          <cell r="C47">
            <v>393</v>
          </cell>
          <cell r="E47">
            <v>393</v>
          </cell>
          <cell r="N47">
            <v>924</v>
          </cell>
          <cell r="O47">
            <v>160</v>
          </cell>
          <cell r="Q47">
            <v>3963.0186666666668</v>
          </cell>
          <cell r="R47">
            <v>145</v>
          </cell>
          <cell r="T47">
            <v>567.25866666666661</v>
          </cell>
          <cell r="U47">
            <v>347</v>
          </cell>
          <cell r="V47">
            <v>220.25866666666661</v>
          </cell>
          <cell r="W47">
            <v>385</v>
          </cell>
          <cell r="Y47">
            <v>426.22533333333331</v>
          </cell>
          <cell r="Z47">
            <v>257</v>
          </cell>
          <cell r="AA47">
            <v>169.22533333333331</v>
          </cell>
          <cell r="AC47">
            <v>-426.22533333333331</v>
          </cell>
          <cell r="AD47">
            <v>2340.1707200000001</v>
          </cell>
          <cell r="AE47">
            <v>2160.8825001426667</v>
          </cell>
          <cell r="AP47">
            <v>8434.3851668093339</v>
          </cell>
        </row>
        <row r="48">
          <cell r="C48">
            <v>0</v>
          </cell>
          <cell r="E48">
            <v>0</v>
          </cell>
          <cell r="N48">
            <v>1</v>
          </cell>
          <cell r="Q48">
            <v>0</v>
          </cell>
          <cell r="T48">
            <v>114.19266666666665</v>
          </cell>
          <cell r="U48">
            <v>48</v>
          </cell>
          <cell r="V48">
            <v>66.192666666666653</v>
          </cell>
          <cell r="W48">
            <v>0</v>
          </cell>
          <cell r="Y48">
            <v>-46.472000000000008</v>
          </cell>
          <cell r="Z48">
            <v>-136</v>
          </cell>
          <cell r="AA48">
            <v>89.527999999999992</v>
          </cell>
          <cell r="AC48">
            <v>46.472000000000008</v>
          </cell>
          <cell r="AD48">
            <v>0</v>
          </cell>
          <cell r="AE48">
            <v>0</v>
          </cell>
          <cell r="AP48">
            <v>68.720666666666645</v>
          </cell>
        </row>
        <row r="49">
          <cell r="C49">
            <v>1653</v>
          </cell>
          <cell r="E49">
            <v>1653</v>
          </cell>
          <cell r="N49">
            <v>67</v>
          </cell>
          <cell r="O49">
            <v>160</v>
          </cell>
          <cell r="Q49">
            <v>345.33333333333337</v>
          </cell>
          <cell r="R49">
            <v>145</v>
          </cell>
          <cell r="T49">
            <v>256.62666666666667</v>
          </cell>
          <cell r="U49">
            <v>165</v>
          </cell>
          <cell r="V49">
            <v>91.626666666666665</v>
          </cell>
          <cell r="W49">
            <v>285</v>
          </cell>
          <cell r="Y49">
            <v>253.78399999999999</v>
          </cell>
          <cell r="Z49">
            <v>149</v>
          </cell>
          <cell r="AA49">
            <v>104.78399999999999</v>
          </cell>
          <cell r="AC49">
            <v>-253.78399999999999</v>
          </cell>
          <cell r="AD49">
            <v>131.34026666666668</v>
          </cell>
          <cell r="AE49">
            <v>107.19720823549071</v>
          </cell>
          <cell r="AP49">
            <v>2682.9412082354906</v>
          </cell>
        </row>
        <row r="50">
          <cell r="C50">
            <v>6</v>
          </cell>
          <cell r="D50">
            <v>2</v>
          </cell>
          <cell r="E50">
            <v>4</v>
          </cell>
          <cell r="N50">
            <v>271.12400000000002</v>
          </cell>
          <cell r="O50">
            <v>121</v>
          </cell>
          <cell r="P50">
            <v>-150.12400000000002</v>
          </cell>
          <cell r="Q50">
            <v>2874.3013333333338</v>
          </cell>
          <cell r="R50">
            <v>1386</v>
          </cell>
          <cell r="S50">
            <v>-1488.3013333333338</v>
          </cell>
          <cell r="T50">
            <v>6020.0773333333327</v>
          </cell>
          <cell r="U50">
            <v>3246</v>
          </cell>
          <cell r="V50">
            <v>2774.0773333333327</v>
          </cell>
          <cell r="W50">
            <v>2636</v>
          </cell>
          <cell r="X50">
            <v>-3384.0773333333327</v>
          </cell>
          <cell r="Y50">
            <v>559.97400000000005</v>
          </cell>
          <cell r="Z50">
            <v>295</v>
          </cell>
          <cell r="AA50">
            <v>264.97400000000005</v>
          </cell>
          <cell r="AB50">
            <v>292</v>
          </cell>
          <cell r="AC50">
            <v>-267.97400000000005</v>
          </cell>
          <cell r="AD50">
            <v>1181.9573333333333</v>
          </cell>
          <cell r="AE50">
            <v>874.72</v>
          </cell>
          <cell r="AF50">
            <v>307.23733333333325</v>
          </cell>
          <cell r="AG50">
            <v>288</v>
          </cell>
          <cell r="AH50">
            <v>601</v>
          </cell>
          <cell r="AI50">
            <v>56</v>
          </cell>
          <cell r="AJ50">
            <v>-893.95733333333328</v>
          </cell>
          <cell r="AN50">
            <v>0</v>
          </cell>
          <cell r="AP50">
            <v>10567.596666666666</v>
          </cell>
          <cell r="AQ50">
            <v>3819.5239999999999</v>
          </cell>
          <cell r="AR50">
            <v>6748.0726666666669</v>
          </cell>
          <cell r="AS50">
            <v>5036</v>
          </cell>
          <cell r="AT50">
            <v>-5531.5966666666664</v>
          </cell>
          <cell r="AU50">
            <v>3541</v>
          </cell>
          <cell r="AV50">
            <v>4016</v>
          </cell>
          <cell r="AW50">
            <v>278.52399999999989</v>
          </cell>
          <cell r="AX50">
            <v>2732.0726666666669</v>
          </cell>
        </row>
        <row r="51">
          <cell r="C51">
            <v>0</v>
          </cell>
          <cell r="D51">
            <v>0</v>
          </cell>
          <cell r="E51">
            <v>0</v>
          </cell>
          <cell r="N51">
            <v>0</v>
          </cell>
          <cell r="O51">
            <v>46</v>
          </cell>
          <cell r="P51">
            <v>0</v>
          </cell>
          <cell r="Q51">
            <v>111.8</v>
          </cell>
          <cell r="R51">
            <v>54</v>
          </cell>
          <cell r="S51">
            <v>-57.8</v>
          </cell>
          <cell r="T51">
            <v>5107.6000000000004</v>
          </cell>
          <cell r="U51">
            <v>2728</v>
          </cell>
          <cell r="V51">
            <v>2379.6000000000004</v>
          </cell>
          <cell r="W51">
            <v>2407</v>
          </cell>
          <cell r="X51">
            <v>-2700.6000000000004</v>
          </cell>
          <cell r="Y51">
            <v>91.533333333333331</v>
          </cell>
          <cell r="Z51">
            <v>49</v>
          </cell>
          <cell r="AA51">
            <v>42.533333333333331</v>
          </cell>
          <cell r="AB51">
            <v>20</v>
          </cell>
          <cell r="AC51">
            <v>-71.533333333333331</v>
          </cell>
          <cell r="AD51">
            <v>3</v>
          </cell>
          <cell r="AE51">
            <v>2</v>
          </cell>
          <cell r="AF51">
            <v>1</v>
          </cell>
          <cell r="AI51">
            <v>0</v>
          </cell>
          <cell r="AJ51">
            <v>-3</v>
          </cell>
          <cell r="AP51">
            <v>5312.9333333333343</v>
          </cell>
          <cell r="AQ51">
            <v>2777</v>
          </cell>
          <cell r="AR51">
            <v>2535.9333333333343</v>
          </cell>
          <cell r="AS51">
            <v>2481</v>
          </cell>
          <cell r="AT51">
            <v>-2831.9333333333343</v>
          </cell>
          <cell r="AU51">
            <v>2777</v>
          </cell>
          <cell r="AV51">
            <v>2460</v>
          </cell>
          <cell r="AW51">
            <v>0</v>
          </cell>
          <cell r="AX51">
            <v>75.933333333334303</v>
          </cell>
        </row>
        <row r="52">
          <cell r="C52">
            <v>0</v>
          </cell>
          <cell r="D52">
            <v>0</v>
          </cell>
          <cell r="E52">
            <v>0</v>
          </cell>
          <cell r="N52">
            <v>0</v>
          </cell>
          <cell r="O52">
            <v>1</v>
          </cell>
          <cell r="P52">
            <v>0</v>
          </cell>
          <cell r="Q52">
            <v>71308</v>
          </cell>
          <cell r="R52">
            <v>61402</v>
          </cell>
          <cell r="S52">
            <v>-9906</v>
          </cell>
          <cell r="T52">
            <v>160398</v>
          </cell>
          <cell r="U52">
            <v>99161.347560975613</v>
          </cell>
          <cell r="V52">
            <v>61236.652439024387</v>
          </cell>
          <cell r="W52">
            <v>93632</v>
          </cell>
          <cell r="X52">
            <v>-66766</v>
          </cell>
          <cell r="Y52">
            <v>134814</v>
          </cell>
          <cell r="Z52">
            <v>79890.750161952048</v>
          </cell>
          <cell r="AA52">
            <v>54923.249838047952</v>
          </cell>
          <cell r="AB52">
            <v>76301</v>
          </cell>
          <cell r="AC52">
            <v>-58513</v>
          </cell>
          <cell r="AD52">
            <v>0</v>
          </cell>
          <cell r="AE52">
            <v>0</v>
          </cell>
          <cell r="AF52">
            <v>0</v>
          </cell>
          <cell r="AI52">
            <v>0</v>
          </cell>
          <cell r="AJ52">
            <v>0</v>
          </cell>
          <cell r="AN52">
            <v>0</v>
          </cell>
          <cell r="AP52">
            <v>366521</v>
          </cell>
          <cell r="AQ52">
            <v>179053.09772292766</v>
          </cell>
          <cell r="AR52">
            <v>187467.90227707234</v>
          </cell>
          <cell r="AS52">
            <v>231335</v>
          </cell>
          <cell r="AT52">
            <v>-135186</v>
          </cell>
          <cell r="AU52">
            <v>179052.09772292766</v>
          </cell>
          <cell r="AV52">
            <v>187468</v>
          </cell>
          <cell r="AW52">
            <v>1</v>
          </cell>
          <cell r="AX52">
            <v>-9.7722927661379799E-2</v>
          </cell>
        </row>
        <row r="53">
          <cell r="C53">
            <v>0</v>
          </cell>
          <cell r="D53">
            <v>0</v>
          </cell>
          <cell r="E53">
            <v>0</v>
          </cell>
          <cell r="N53">
            <v>0</v>
          </cell>
          <cell r="O53">
            <v>17</v>
          </cell>
          <cell r="P53">
            <v>0</v>
          </cell>
          <cell r="Q53">
            <v>71308</v>
          </cell>
          <cell r="R53">
            <v>61402</v>
          </cell>
          <cell r="S53">
            <v>-9906</v>
          </cell>
          <cell r="T53">
            <v>160398</v>
          </cell>
          <cell r="U53">
            <v>99161.347560975613</v>
          </cell>
          <cell r="V53">
            <v>61236.652439024387</v>
          </cell>
          <cell r="W53">
            <v>93632</v>
          </cell>
          <cell r="X53">
            <v>-66766</v>
          </cell>
          <cell r="Y53">
            <v>134814</v>
          </cell>
          <cell r="Z53">
            <v>79890.750161952048</v>
          </cell>
          <cell r="AA53">
            <v>54923.249838047952</v>
          </cell>
          <cell r="AB53">
            <v>46301</v>
          </cell>
          <cell r="AC53">
            <v>-88513</v>
          </cell>
          <cell r="AD53">
            <v>0</v>
          </cell>
          <cell r="AE53">
            <v>0</v>
          </cell>
          <cell r="AF53">
            <v>0</v>
          </cell>
          <cell r="AI53">
            <v>0</v>
          </cell>
          <cell r="AJ53">
            <v>0</v>
          </cell>
          <cell r="AP53">
            <v>366520</v>
          </cell>
          <cell r="AQ53">
            <v>179052.09772292766</v>
          </cell>
          <cell r="AR53">
            <v>187467.90227707234</v>
          </cell>
          <cell r="AS53">
            <v>201335</v>
          </cell>
          <cell r="AT53">
            <v>-165185</v>
          </cell>
          <cell r="AU53">
            <v>179052.09772292766</v>
          </cell>
          <cell r="AV53">
            <v>187468</v>
          </cell>
          <cell r="AW53">
            <v>0</v>
          </cell>
          <cell r="AX53">
            <v>-9.7722927661379799E-2</v>
          </cell>
        </row>
        <row r="54">
          <cell r="C54">
            <v>0</v>
          </cell>
          <cell r="D54">
            <v>0</v>
          </cell>
          <cell r="E54">
            <v>0</v>
          </cell>
          <cell r="N54">
            <v>0</v>
          </cell>
          <cell r="P54">
            <v>0</v>
          </cell>
          <cell r="Q54">
            <v>0</v>
          </cell>
          <cell r="S54">
            <v>0</v>
          </cell>
          <cell r="T54">
            <v>0</v>
          </cell>
          <cell r="U54">
            <v>0</v>
          </cell>
          <cell r="Y54">
            <v>0</v>
          </cell>
          <cell r="Z54">
            <v>0</v>
          </cell>
          <cell r="AA54">
            <v>0</v>
          </cell>
          <cell r="AD54">
            <v>0</v>
          </cell>
          <cell r="AE54">
            <v>0</v>
          </cell>
          <cell r="AS54">
            <v>0</v>
          </cell>
          <cell r="AT54">
            <v>0</v>
          </cell>
          <cell r="AV54">
            <v>0</v>
          </cell>
        </row>
        <row r="55">
          <cell r="C55">
            <v>13</v>
          </cell>
          <cell r="D55">
            <v>6</v>
          </cell>
          <cell r="E55">
            <v>7</v>
          </cell>
          <cell r="N55">
            <v>234.08600000000001</v>
          </cell>
          <cell r="O55">
            <v>140</v>
          </cell>
          <cell r="P55">
            <v>-94.086000000000013</v>
          </cell>
          <cell r="Q55">
            <v>11619.690666666667</v>
          </cell>
          <cell r="R55">
            <v>8493</v>
          </cell>
          <cell r="S55">
            <v>-3126.6906666666673</v>
          </cell>
          <cell r="T55">
            <v>0</v>
          </cell>
          <cell r="U55">
            <v>0</v>
          </cell>
          <cell r="V55">
            <v>0</v>
          </cell>
          <cell r="W55">
            <v>532</v>
          </cell>
          <cell r="X55">
            <v>0</v>
          </cell>
          <cell r="Y55">
            <v>0</v>
          </cell>
          <cell r="Z55">
            <v>0</v>
          </cell>
          <cell r="AA55">
            <v>0</v>
          </cell>
          <cell r="AB55">
            <v>0</v>
          </cell>
          <cell r="AC55">
            <v>0</v>
          </cell>
          <cell r="AD55">
            <v>4961.1900000000005</v>
          </cell>
          <cell r="AE55">
            <v>2069.672</v>
          </cell>
          <cell r="AF55">
            <v>2891.5180000000005</v>
          </cell>
          <cell r="AG55">
            <v>809</v>
          </cell>
          <cell r="AH55">
            <v>810</v>
          </cell>
          <cell r="AI55">
            <v>1225</v>
          </cell>
          <cell r="AJ55">
            <v>-4152.1900000000005</v>
          </cell>
          <cell r="AN55">
            <v>0</v>
          </cell>
          <cell r="AP55">
            <v>13936.448666666667</v>
          </cell>
          <cell r="AQ55">
            <v>240.08600000000001</v>
          </cell>
          <cell r="AR55">
            <v>13696.362666666668</v>
          </cell>
          <cell r="AS55">
            <v>9442</v>
          </cell>
          <cell r="AT55">
            <v>-4494.4486666666671</v>
          </cell>
          <cell r="AU55">
            <v>0</v>
          </cell>
          <cell r="AV55">
            <v>3951</v>
          </cell>
          <cell r="AW55">
            <v>240.08600000000001</v>
          </cell>
          <cell r="AX55">
            <v>9745.3626666666678</v>
          </cell>
        </row>
        <row r="56">
          <cell r="C56">
            <v>1201.8969999999999</v>
          </cell>
          <cell r="D56">
            <v>310</v>
          </cell>
          <cell r="E56">
            <v>891.89699999999993</v>
          </cell>
          <cell r="N56">
            <v>3768.9993939393944</v>
          </cell>
          <cell r="O56">
            <v>1303</v>
          </cell>
          <cell r="P56">
            <v>-2465.9993939393944</v>
          </cell>
          <cell r="Q56">
            <v>6834.5754545454547</v>
          </cell>
          <cell r="R56">
            <v>2369</v>
          </cell>
          <cell r="S56">
            <v>-4465.5754545454547</v>
          </cell>
          <cell r="T56">
            <v>2050.7363636363639</v>
          </cell>
          <cell r="U56">
            <v>1090</v>
          </cell>
          <cell r="V56">
            <v>960.73636363636388</v>
          </cell>
          <cell r="W56">
            <v>745</v>
          </cell>
          <cell r="X56">
            <v>-1305.7363636363639</v>
          </cell>
          <cell r="Y56">
            <v>1926.0363636363636</v>
          </cell>
          <cell r="Z56">
            <v>1019</v>
          </cell>
          <cell r="AA56">
            <v>907.0363636363636</v>
          </cell>
          <cell r="AB56">
            <v>662</v>
          </cell>
          <cell r="AC56">
            <v>-1264.0363636363636</v>
          </cell>
          <cell r="AD56">
            <v>7374.3136363636368</v>
          </cell>
          <cell r="AE56">
            <v>6655.8454545454542</v>
          </cell>
          <cell r="AF56">
            <v>718.46818181818253</v>
          </cell>
          <cell r="AG56">
            <v>2563</v>
          </cell>
          <cell r="AH56">
            <v>1747</v>
          </cell>
          <cell r="AI56">
            <v>306</v>
          </cell>
          <cell r="AJ56">
            <v>-4811.3136363636368</v>
          </cell>
          <cell r="AN56">
            <v>0</v>
          </cell>
          <cell r="AP56">
            <v>23209.090030303032</v>
          </cell>
          <cell r="AQ56">
            <v>6696.8175757575764</v>
          </cell>
          <cell r="AR56">
            <v>16512.272454545455</v>
          </cell>
          <cell r="AS56">
            <v>6826</v>
          </cell>
          <cell r="AT56">
            <v>-16383.090030303032</v>
          </cell>
          <cell r="AU56">
            <v>2109</v>
          </cell>
          <cell r="AV56">
            <v>4192</v>
          </cell>
          <cell r="AW56">
            <v>4587.8175757575764</v>
          </cell>
          <cell r="AX56">
            <v>12320.272454545455</v>
          </cell>
        </row>
        <row r="57">
          <cell r="C57">
            <v>66</v>
          </cell>
          <cell r="D57">
            <v>16</v>
          </cell>
          <cell r="E57">
            <v>50</v>
          </cell>
          <cell r="N57">
            <v>208</v>
          </cell>
          <cell r="O57">
            <v>70</v>
          </cell>
          <cell r="P57">
            <v>-138</v>
          </cell>
          <cell r="Q57">
            <v>376</v>
          </cell>
          <cell r="R57">
            <v>129</v>
          </cell>
          <cell r="S57">
            <v>-247</v>
          </cell>
          <cell r="T57">
            <v>112</v>
          </cell>
          <cell r="U57">
            <v>60</v>
          </cell>
          <cell r="V57">
            <v>52</v>
          </cell>
          <cell r="W57">
            <v>39</v>
          </cell>
          <cell r="X57">
            <v>-73</v>
          </cell>
          <cell r="Y57">
            <v>105</v>
          </cell>
          <cell r="Z57">
            <v>56</v>
          </cell>
          <cell r="AA57">
            <v>49</v>
          </cell>
          <cell r="AB57">
            <v>35</v>
          </cell>
          <cell r="AC57">
            <v>-70</v>
          </cell>
          <cell r="AD57">
            <v>406</v>
          </cell>
          <cell r="AE57">
            <v>365</v>
          </cell>
          <cell r="AF57">
            <v>41</v>
          </cell>
          <cell r="AG57">
            <v>136</v>
          </cell>
          <cell r="AH57">
            <v>96</v>
          </cell>
          <cell r="AI57">
            <v>18</v>
          </cell>
          <cell r="AJ57">
            <v>-270</v>
          </cell>
          <cell r="AN57">
            <v>0</v>
          </cell>
          <cell r="AP57">
            <v>1275</v>
          </cell>
          <cell r="AQ57">
            <v>368</v>
          </cell>
          <cell r="AR57">
            <v>907</v>
          </cell>
          <cell r="AS57">
            <v>369</v>
          </cell>
          <cell r="AT57">
            <v>-906</v>
          </cell>
          <cell r="AU57">
            <v>116</v>
          </cell>
          <cell r="AV57">
            <v>172</v>
          </cell>
          <cell r="AW57">
            <v>252</v>
          </cell>
          <cell r="AX57">
            <v>735</v>
          </cell>
        </row>
        <row r="58">
          <cell r="C58">
            <v>384</v>
          </cell>
          <cell r="D58">
            <v>117</v>
          </cell>
          <cell r="E58">
            <v>267</v>
          </cell>
          <cell r="N58">
            <v>1207</v>
          </cell>
          <cell r="O58">
            <v>417</v>
          </cell>
          <cell r="P58">
            <v>-790</v>
          </cell>
          <cell r="Q58">
            <v>2186</v>
          </cell>
          <cell r="R58">
            <v>610</v>
          </cell>
          <cell r="S58">
            <v>-1576</v>
          </cell>
          <cell r="T58">
            <v>656</v>
          </cell>
          <cell r="U58">
            <v>348</v>
          </cell>
          <cell r="V58">
            <v>308</v>
          </cell>
          <cell r="W58">
            <v>229</v>
          </cell>
          <cell r="X58">
            <v>-427</v>
          </cell>
          <cell r="Y58">
            <v>616</v>
          </cell>
          <cell r="Z58">
            <v>327</v>
          </cell>
          <cell r="AA58">
            <v>289</v>
          </cell>
          <cell r="AB58">
            <v>205</v>
          </cell>
          <cell r="AC58">
            <v>-411</v>
          </cell>
          <cell r="AD58">
            <v>2360</v>
          </cell>
          <cell r="AE58">
            <v>2130</v>
          </cell>
          <cell r="AF58">
            <v>230</v>
          </cell>
          <cell r="AG58">
            <v>793</v>
          </cell>
          <cell r="AH58">
            <v>559</v>
          </cell>
          <cell r="AI58">
            <v>103</v>
          </cell>
          <cell r="AJ58">
            <v>-1567</v>
          </cell>
          <cell r="AN58">
            <v>0</v>
          </cell>
          <cell r="AP58">
            <v>7426</v>
          </cell>
          <cell r="AQ58">
            <v>2160</v>
          </cell>
          <cell r="AR58">
            <v>5266</v>
          </cell>
          <cell r="AS58">
            <v>2021</v>
          </cell>
          <cell r="AT58">
            <v>-5405</v>
          </cell>
          <cell r="AU58">
            <v>0</v>
          </cell>
          <cell r="AV58">
            <v>0</v>
          </cell>
          <cell r="AW58">
            <v>0</v>
          </cell>
          <cell r="AX58">
            <v>0</v>
          </cell>
        </row>
        <row r="59">
          <cell r="C59">
            <v>0</v>
          </cell>
          <cell r="D59">
            <v>0</v>
          </cell>
          <cell r="E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-20749</v>
          </cell>
          <cell r="AC59">
            <v>0</v>
          </cell>
          <cell r="AD59">
            <v>0</v>
          </cell>
          <cell r="AE59">
            <v>0</v>
          </cell>
          <cell r="AF59">
            <v>0</v>
          </cell>
          <cell r="AI59">
            <v>0</v>
          </cell>
          <cell r="AJ59">
            <v>0</v>
          </cell>
          <cell r="AP59">
            <v>0</v>
          </cell>
          <cell r="AQ59">
            <v>0</v>
          </cell>
          <cell r="AR59">
            <v>0</v>
          </cell>
          <cell r="AS59">
            <v>0</v>
          </cell>
          <cell r="AT59">
            <v>0</v>
          </cell>
          <cell r="AU59">
            <v>0</v>
          </cell>
          <cell r="AV59">
            <v>0</v>
          </cell>
          <cell r="AW59">
            <v>0</v>
          </cell>
          <cell r="AX59">
            <v>0</v>
          </cell>
        </row>
        <row r="60">
          <cell r="C60">
            <v>237</v>
          </cell>
          <cell r="D60">
            <v>85</v>
          </cell>
          <cell r="E60">
            <v>152</v>
          </cell>
          <cell r="N60">
            <v>3638</v>
          </cell>
          <cell r="O60">
            <v>1794</v>
          </cell>
          <cell r="P60">
            <v>-1844</v>
          </cell>
          <cell r="Q60">
            <v>7968</v>
          </cell>
          <cell r="R60">
            <v>3886</v>
          </cell>
          <cell r="S60">
            <v>-4082</v>
          </cell>
          <cell r="T60">
            <v>4266</v>
          </cell>
          <cell r="U60">
            <v>2244</v>
          </cell>
          <cell r="V60">
            <v>2022</v>
          </cell>
          <cell r="W60">
            <v>2064</v>
          </cell>
          <cell r="X60">
            <v>-2202</v>
          </cell>
          <cell r="Y60">
            <v>4463</v>
          </cell>
          <cell r="Z60">
            <v>2253</v>
          </cell>
          <cell r="AA60">
            <v>2210</v>
          </cell>
          <cell r="AB60">
            <v>2209</v>
          </cell>
          <cell r="AC60">
            <v>-2254</v>
          </cell>
          <cell r="AD60">
            <v>3829.666666666667</v>
          </cell>
          <cell r="AE60">
            <v>3678.3333333333335</v>
          </cell>
          <cell r="AF60">
            <v>151.33333333333348</v>
          </cell>
          <cell r="AG60">
            <v>1641</v>
          </cell>
          <cell r="AH60">
            <v>1265</v>
          </cell>
          <cell r="AI60">
            <v>155</v>
          </cell>
          <cell r="AJ60">
            <v>-2188.666666666667</v>
          </cell>
          <cell r="AN60">
            <v>0</v>
          </cell>
          <cell r="AP60">
            <v>24226.333333333332</v>
          </cell>
          <cell r="AQ60">
            <v>8248</v>
          </cell>
          <cell r="AR60">
            <v>15978.333333333332</v>
          </cell>
          <cell r="AS60">
            <v>11218</v>
          </cell>
          <cell r="AT60">
            <v>-13008.333333333332</v>
          </cell>
          <cell r="AU60">
            <v>4497</v>
          </cell>
          <cell r="AV60">
            <v>6941</v>
          </cell>
          <cell r="AW60">
            <v>3751</v>
          </cell>
          <cell r="AX60">
            <v>9037.3333333333321</v>
          </cell>
        </row>
        <row r="61">
          <cell r="C61">
            <v>0</v>
          </cell>
          <cell r="D61">
            <v>0</v>
          </cell>
          <cell r="E61">
            <v>0</v>
          </cell>
          <cell r="N61">
            <v>0</v>
          </cell>
          <cell r="O61">
            <v>47.175438596491233</v>
          </cell>
          <cell r="P61">
            <v>0</v>
          </cell>
          <cell r="Q61">
            <v>0</v>
          </cell>
          <cell r="R61">
            <v>22.423728813559308</v>
          </cell>
          <cell r="S61">
            <v>0</v>
          </cell>
          <cell r="T61">
            <v>0</v>
          </cell>
          <cell r="U61">
            <v>0</v>
          </cell>
          <cell r="V61">
            <v>748.3098245614035</v>
          </cell>
          <cell r="W61">
            <v>618.1254831995243</v>
          </cell>
          <cell r="X61">
            <v>0</v>
          </cell>
          <cell r="Y61">
            <v>0</v>
          </cell>
          <cell r="Z61">
            <v>0</v>
          </cell>
          <cell r="AA61">
            <v>0</v>
          </cell>
          <cell r="AB61">
            <v>8244.1254831995248</v>
          </cell>
          <cell r="AC61">
            <v>0</v>
          </cell>
          <cell r="AD61">
            <v>0</v>
          </cell>
          <cell r="AE61">
            <v>0</v>
          </cell>
          <cell r="AF61">
            <v>0</v>
          </cell>
          <cell r="AG61">
            <v>0</v>
          </cell>
          <cell r="AH61">
            <v>126</v>
          </cell>
          <cell r="AI61">
            <v>0</v>
          </cell>
          <cell r="AJ61">
            <v>0</v>
          </cell>
          <cell r="AP61">
            <v>0</v>
          </cell>
          <cell r="AS61">
            <v>126</v>
          </cell>
          <cell r="AT61">
            <v>126</v>
          </cell>
        </row>
        <row r="62">
          <cell r="C62">
            <v>252</v>
          </cell>
          <cell r="D62">
            <v>76</v>
          </cell>
          <cell r="E62">
            <v>176</v>
          </cell>
          <cell r="N62">
            <v>3758.15</v>
          </cell>
          <cell r="O62">
            <v>3</v>
          </cell>
          <cell r="P62">
            <v>-3758.15</v>
          </cell>
          <cell r="Q62">
            <v>8235.8940000000002</v>
          </cell>
          <cell r="R62">
            <v>1</v>
          </cell>
          <cell r="S62">
            <v>-8235.8940000000002</v>
          </cell>
          <cell r="T62">
            <v>582.97</v>
          </cell>
          <cell r="U62">
            <v>53</v>
          </cell>
          <cell r="V62">
            <v>41</v>
          </cell>
          <cell r="W62">
            <v>34</v>
          </cell>
          <cell r="X62">
            <v>-582.97</v>
          </cell>
          <cell r="Y62">
            <v>1080.26</v>
          </cell>
          <cell r="Z62">
            <v>28</v>
          </cell>
          <cell r="AA62">
            <v>1052.26</v>
          </cell>
          <cell r="AB62">
            <v>460</v>
          </cell>
          <cell r="AC62">
            <v>-1080.26</v>
          </cell>
          <cell r="AD62">
            <v>2673.45</v>
          </cell>
          <cell r="AE62">
            <v>2513.4499999999998</v>
          </cell>
          <cell r="AF62">
            <v>160</v>
          </cell>
          <cell r="AI62">
            <v>0</v>
          </cell>
          <cell r="AJ62">
            <v>-2673.45</v>
          </cell>
          <cell r="AP62">
            <v>16435.723999999998</v>
          </cell>
          <cell r="AQ62">
            <v>3928.15</v>
          </cell>
          <cell r="AR62">
            <v>12507.573999999999</v>
          </cell>
          <cell r="AS62">
            <v>0</v>
          </cell>
          <cell r="AT62">
            <v>-16435.723999999998</v>
          </cell>
          <cell r="AV62">
            <v>3317</v>
          </cell>
        </row>
        <row r="63">
          <cell r="C63">
            <v>0</v>
          </cell>
          <cell r="D63">
            <v>0</v>
          </cell>
          <cell r="E63">
            <v>0</v>
          </cell>
          <cell r="N63">
            <v>0</v>
          </cell>
          <cell r="O63">
            <v>15</v>
          </cell>
          <cell r="P63">
            <v>0</v>
          </cell>
          <cell r="Q63">
            <v>0</v>
          </cell>
          <cell r="R63">
            <v>8</v>
          </cell>
          <cell r="S63">
            <v>0</v>
          </cell>
          <cell r="T63">
            <v>0</v>
          </cell>
          <cell r="U63">
            <v>0</v>
          </cell>
          <cell r="V63">
            <v>240</v>
          </cell>
          <cell r="W63">
            <v>198</v>
          </cell>
          <cell r="X63">
            <v>0</v>
          </cell>
          <cell r="Y63">
            <v>0</v>
          </cell>
          <cell r="Z63">
            <v>0</v>
          </cell>
          <cell r="AA63">
            <v>0</v>
          </cell>
          <cell r="AB63">
            <v>2637</v>
          </cell>
          <cell r="AC63">
            <v>0</v>
          </cell>
          <cell r="AD63">
            <v>0</v>
          </cell>
          <cell r="AE63">
            <v>0</v>
          </cell>
          <cell r="AF63">
            <v>0</v>
          </cell>
          <cell r="AI63">
            <v>0</v>
          </cell>
          <cell r="AJ63">
            <v>0</v>
          </cell>
          <cell r="AP63">
            <v>0</v>
          </cell>
          <cell r="AQ63">
            <v>0</v>
          </cell>
          <cell r="AR63">
            <v>0</v>
          </cell>
          <cell r="AS63">
            <v>0</v>
          </cell>
          <cell r="AT63">
            <v>0</v>
          </cell>
          <cell r="AV63">
            <v>0</v>
          </cell>
        </row>
        <row r="64">
          <cell r="C64">
            <v>0</v>
          </cell>
          <cell r="D64">
            <v>9</v>
          </cell>
          <cell r="E64">
            <v>-9</v>
          </cell>
          <cell r="N64">
            <v>-120.15000000000009</v>
          </cell>
          <cell r="O64">
            <v>4</v>
          </cell>
          <cell r="P64">
            <v>120.15000000000009</v>
          </cell>
          <cell r="Q64">
            <v>-267.89399999999978</v>
          </cell>
          <cell r="R64">
            <v>4</v>
          </cell>
          <cell r="S64">
            <v>267.89399999999978</v>
          </cell>
          <cell r="T64">
            <v>3683.0299999999997</v>
          </cell>
          <cell r="U64">
            <v>2191</v>
          </cell>
          <cell r="V64">
            <v>58</v>
          </cell>
          <cell r="W64">
            <v>48</v>
          </cell>
          <cell r="X64">
            <v>-3683.0299999999997</v>
          </cell>
          <cell r="Y64">
            <v>3382.74</v>
          </cell>
          <cell r="Z64">
            <v>2225</v>
          </cell>
          <cell r="AA64">
            <v>1157.7399999999998</v>
          </cell>
          <cell r="AB64">
            <v>989</v>
          </cell>
          <cell r="AC64">
            <v>-3382.74</v>
          </cell>
          <cell r="AD64">
            <v>1156.2166666666667</v>
          </cell>
          <cell r="AE64">
            <v>1081.8833333333334</v>
          </cell>
          <cell r="AF64">
            <v>74.333333333333258</v>
          </cell>
          <cell r="AG64">
            <v>1641</v>
          </cell>
          <cell r="AH64">
            <v>1139</v>
          </cell>
          <cell r="AI64">
            <v>155</v>
          </cell>
          <cell r="AJ64">
            <v>484.7833333333333</v>
          </cell>
          <cell r="AP64">
            <v>7766.6093333333329</v>
          </cell>
          <cell r="AS64">
            <v>1139</v>
          </cell>
          <cell r="AT64">
            <v>-6627.6093333333329</v>
          </cell>
        </row>
        <row r="65">
          <cell r="C65">
            <v>569</v>
          </cell>
          <cell r="D65">
            <v>63</v>
          </cell>
          <cell r="E65">
            <v>506</v>
          </cell>
          <cell r="N65">
            <v>4217.1000000000004</v>
          </cell>
          <cell r="O65">
            <v>1295</v>
          </cell>
          <cell r="P65">
            <v>-2922.1000000000004</v>
          </cell>
          <cell r="Q65">
            <v>8816.4954545454548</v>
          </cell>
          <cell r="R65">
            <v>2254</v>
          </cell>
          <cell r="S65">
            <v>-6562.4954545454548</v>
          </cell>
          <cell r="T65">
            <v>7987.4590909090903</v>
          </cell>
          <cell r="U65">
            <v>4919</v>
          </cell>
          <cell r="V65">
            <v>3068.4590909090903</v>
          </cell>
          <cell r="W65">
            <v>1557</v>
          </cell>
          <cell r="X65">
            <v>-6430.4590909090903</v>
          </cell>
          <cell r="Y65">
            <v>5889.4</v>
          </cell>
          <cell r="Z65">
            <v>3534</v>
          </cell>
          <cell r="AA65">
            <v>2355.3999999999996</v>
          </cell>
          <cell r="AB65">
            <v>1201</v>
          </cell>
          <cell r="AC65">
            <v>-4688.3999999999996</v>
          </cell>
          <cell r="AD65">
            <v>5295.7636363636366</v>
          </cell>
          <cell r="AE65">
            <v>5222.7636363636366</v>
          </cell>
          <cell r="AF65">
            <v>73</v>
          </cell>
          <cell r="AG65">
            <v>1946</v>
          </cell>
          <cell r="AH65">
            <v>938</v>
          </cell>
          <cell r="AI65">
            <v>0</v>
          </cell>
          <cell r="AJ65">
            <v>-3349.7636363636366</v>
          </cell>
          <cell r="AP65">
            <v>32708.218181818182</v>
          </cell>
          <cell r="AQ65">
            <v>12703.1</v>
          </cell>
          <cell r="AR65">
            <v>20005.118181818179</v>
          </cell>
          <cell r="AS65">
            <v>7245</v>
          </cell>
          <cell r="AT65">
            <v>-25463.218181818182</v>
          </cell>
          <cell r="AU65">
            <v>8453</v>
          </cell>
          <cell r="AV65">
            <v>8421</v>
          </cell>
          <cell r="AW65">
            <v>4250.1000000000004</v>
          </cell>
          <cell r="AX65">
            <v>11584.118181818179</v>
          </cell>
        </row>
        <row r="66">
          <cell r="C66">
            <v>0</v>
          </cell>
          <cell r="D66">
            <v>0</v>
          </cell>
          <cell r="E66">
            <v>0</v>
          </cell>
          <cell r="N66">
            <v>465.33333333333331</v>
          </cell>
          <cell r="O66">
            <v>198</v>
          </cell>
          <cell r="P66">
            <v>-267.33333333333331</v>
          </cell>
          <cell r="Q66">
            <v>2670.545454545455</v>
          </cell>
          <cell r="R66">
            <v>1097</v>
          </cell>
          <cell r="S66">
            <v>-1573.545454545455</v>
          </cell>
          <cell r="T66">
            <v>1607.090909090909</v>
          </cell>
          <cell r="U66">
            <v>922</v>
          </cell>
          <cell r="V66">
            <v>685.09090909090901</v>
          </cell>
          <cell r="W66">
            <v>608</v>
          </cell>
          <cell r="X66">
            <v>-999.09090909090901</v>
          </cell>
          <cell r="Y66">
            <v>1040.090909090909</v>
          </cell>
          <cell r="Z66">
            <v>553</v>
          </cell>
          <cell r="AA66">
            <v>487.09090909090901</v>
          </cell>
          <cell r="AB66">
            <v>435</v>
          </cell>
          <cell r="AC66">
            <v>-605.09090909090901</v>
          </cell>
          <cell r="AD66">
            <v>1039.2727272727273</v>
          </cell>
          <cell r="AE66">
            <v>1039.090909090909</v>
          </cell>
          <cell r="AF66">
            <v>0.18181818181824383</v>
          </cell>
          <cell r="AG66">
            <v>318</v>
          </cell>
          <cell r="AH66">
            <v>237</v>
          </cell>
          <cell r="AI66">
            <v>0</v>
          </cell>
          <cell r="AJ66">
            <v>-721.27272727272725</v>
          </cell>
          <cell r="AP66">
            <v>6822.1515151515159</v>
          </cell>
          <cell r="AQ66">
            <v>1940.3333333333333</v>
          </cell>
          <cell r="AR66">
            <v>4881.8181818181829</v>
          </cell>
          <cell r="AS66">
            <v>2575</v>
          </cell>
          <cell r="AT66">
            <v>-4247.1515151515159</v>
          </cell>
        </row>
        <row r="67">
          <cell r="C67">
            <v>0</v>
          </cell>
          <cell r="D67">
            <v>0</v>
          </cell>
          <cell r="E67">
            <v>0</v>
          </cell>
          <cell r="N67">
            <v>27</v>
          </cell>
          <cell r="O67">
            <v>11</v>
          </cell>
          <cell r="P67">
            <v>-16</v>
          </cell>
          <cell r="Q67">
            <v>147</v>
          </cell>
          <cell r="R67">
            <v>60</v>
          </cell>
          <cell r="S67">
            <v>-87</v>
          </cell>
          <cell r="T67">
            <v>88</v>
          </cell>
          <cell r="U67">
            <v>51</v>
          </cell>
          <cell r="V67">
            <v>37</v>
          </cell>
          <cell r="W67">
            <v>33</v>
          </cell>
          <cell r="X67">
            <v>-55</v>
          </cell>
          <cell r="Y67">
            <v>57</v>
          </cell>
          <cell r="Z67">
            <v>31</v>
          </cell>
          <cell r="AA67">
            <v>26</v>
          </cell>
          <cell r="AB67">
            <v>24</v>
          </cell>
          <cell r="AC67">
            <v>-33</v>
          </cell>
          <cell r="AD67">
            <v>57</v>
          </cell>
          <cell r="AE67">
            <v>57</v>
          </cell>
          <cell r="AF67">
            <v>0</v>
          </cell>
          <cell r="AG67">
            <v>17</v>
          </cell>
          <cell r="AH67">
            <v>12</v>
          </cell>
          <cell r="AI67">
            <v>0</v>
          </cell>
          <cell r="AJ67">
            <v>-40</v>
          </cell>
          <cell r="AP67">
            <v>376</v>
          </cell>
          <cell r="AQ67">
            <v>109</v>
          </cell>
          <cell r="AR67">
            <v>267</v>
          </cell>
          <cell r="AS67">
            <v>140</v>
          </cell>
          <cell r="AT67">
            <v>-236</v>
          </cell>
        </row>
        <row r="68">
          <cell r="C68">
            <v>0</v>
          </cell>
          <cell r="D68">
            <v>0</v>
          </cell>
          <cell r="E68">
            <v>0</v>
          </cell>
          <cell r="N68">
            <v>150</v>
          </cell>
          <cell r="O68">
            <v>63</v>
          </cell>
          <cell r="P68">
            <v>-87</v>
          </cell>
          <cell r="Q68">
            <v>853</v>
          </cell>
          <cell r="R68">
            <v>330</v>
          </cell>
          <cell r="S68">
            <v>-523</v>
          </cell>
          <cell r="T68">
            <v>515</v>
          </cell>
          <cell r="U68">
            <v>295</v>
          </cell>
          <cell r="V68">
            <v>220</v>
          </cell>
          <cell r="W68">
            <v>190</v>
          </cell>
          <cell r="X68">
            <v>-325</v>
          </cell>
          <cell r="Y68">
            <v>335</v>
          </cell>
          <cell r="Z68">
            <v>179</v>
          </cell>
          <cell r="AA68">
            <v>156</v>
          </cell>
          <cell r="AB68">
            <v>137</v>
          </cell>
          <cell r="AC68">
            <v>-198</v>
          </cell>
          <cell r="AD68">
            <v>333</v>
          </cell>
          <cell r="AE68">
            <v>333</v>
          </cell>
          <cell r="AF68">
            <v>0</v>
          </cell>
          <cell r="AG68">
            <v>102</v>
          </cell>
          <cell r="AH68">
            <v>16</v>
          </cell>
          <cell r="AI68">
            <v>0</v>
          </cell>
          <cell r="AJ68">
            <v>-231</v>
          </cell>
          <cell r="AP68">
            <v>2186</v>
          </cell>
          <cell r="AQ68">
            <v>624</v>
          </cell>
          <cell r="AR68">
            <v>1562</v>
          </cell>
          <cell r="AS68">
            <v>620</v>
          </cell>
          <cell r="AT68">
            <v>-1566</v>
          </cell>
        </row>
        <row r="69">
          <cell r="C69">
            <v>0</v>
          </cell>
          <cell r="D69">
            <v>0</v>
          </cell>
          <cell r="E69">
            <v>0</v>
          </cell>
          <cell r="N69">
            <v>78</v>
          </cell>
          <cell r="O69">
            <v>39.824561403508767</v>
          </cell>
          <cell r="P69">
            <v>-78</v>
          </cell>
          <cell r="Q69">
            <v>0</v>
          </cell>
          <cell r="R69">
            <v>23.192982456140342</v>
          </cell>
          <cell r="S69">
            <v>0</v>
          </cell>
          <cell r="T69">
            <v>0</v>
          </cell>
          <cell r="U69">
            <v>0</v>
          </cell>
          <cell r="V69">
            <v>0</v>
          </cell>
          <cell r="W69">
            <v>252.4912280701754</v>
          </cell>
          <cell r="X69">
            <v>0</v>
          </cell>
          <cell r="Y69">
            <v>0</v>
          </cell>
          <cell r="Z69">
            <v>0</v>
          </cell>
          <cell r="AA69">
            <v>0</v>
          </cell>
          <cell r="AB69">
            <v>3117.4912280701756</v>
          </cell>
          <cell r="AC69">
            <v>0</v>
          </cell>
          <cell r="AD69">
            <v>0</v>
          </cell>
          <cell r="AE69">
            <v>0</v>
          </cell>
          <cell r="AF69">
            <v>0</v>
          </cell>
          <cell r="AI69">
            <v>0</v>
          </cell>
          <cell r="AJ69">
            <v>0</v>
          </cell>
          <cell r="AP69">
            <v>78</v>
          </cell>
          <cell r="AQ69">
            <v>78</v>
          </cell>
          <cell r="AR69">
            <v>0</v>
          </cell>
          <cell r="AS69">
            <v>0</v>
          </cell>
          <cell r="AT69">
            <v>-78</v>
          </cell>
        </row>
        <row r="70">
          <cell r="C70" t="e">
            <v>#REF!</v>
          </cell>
          <cell r="D70" t="e">
            <v>#REF!</v>
          </cell>
          <cell r="E70" t="e">
            <v>#REF!</v>
          </cell>
          <cell r="N70">
            <v>1182.5</v>
          </cell>
          <cell r="O70">
            <v>2</v>
          </cell>
          <cell r="P70">
            <v>-1182.5</v>
          </cell>
          <cell r="Q70">
            <v>500.6</v>
          </cell>
          <cell r="R70">
            <v>1</v>
          </cell>
          <cell r="S70">
            <v>-500.6</v>
          </cell>
          <cell r="T70">
            <v>527</v>
          </cell>
          <cell r="U70">
            <v>0</v>
          </cell>
          <cell r="V70">
            <v>527</v>
          </cell>
          <cell r="W70">
            <v>13</v>
          </cell>
          <cell r="X70">
            <v>-527</v>
          </cell>
          <cell r="Y70">
            <v>0</v>
          </cell>
          <cell r="Z70">
            <v>170</v>
          </cell>
          <cell r="AA70">
            <v>-170</v>
          </cell>
          <cell r="AB70">
            <v>188</v>
          </cell>
          <cell r="AC70">
            <v>0</v>
          </cell>
          <cell r="AD70">
            <v>1020.7636363636364</v>
          </cell>
          <cell r="AE70">
            <v>1020.7636363636364</v>
          </cell>
          <cell r="AF70">
            <v>0</v>
          </cell>
          <cell r="AI70">
            <v>0</v>
          </cell>
          <cell r="AJ70">
            <v>-1020.7636363636364</v>
          </cell>
          <cell r="AP70" t="e">
            <v>#REF!</v>
          </cell>
          <cell r="AQ70" t="e">
            <v>#REF!</v>
          </cell>
          <cell r="AS70">
            <v>0</v>
          </cell>
          <cell r="AT70" t="e">
            <v>#REF!</v>
          </cell>
        </row>
        <row r="71">
          <cell r="C71" t="e">
            <v>#REF!</v>
          </cell>
          <cell r="D71" t="e">
            <v>#REF!</v>
          </cell>
          <cell r="E71" t="e">
            <v>#REF!</v>
          </cell>
          <cell r="N71">
            <v>0</v>
          </cell>
          <cell r="O71">
            <v>13</v>
          </cell>
          <cell r="P71">
            <v>0</v>
          </cell>
          <cell r="Q71">
            <v>0</v>
          </cell>
          <cell r="R71">
            <v>7</v>
          </cell>
          <cell r="S71">
            <v>0</v>
          </cell>
          <cell r="T71">
            <v>0</v>
          </cell>
          <cell r="U71">
            <v>0</v>
          </cell>
          <cell r="V71">
            <v>0</v>
          </cell>
          <cell r="W71">
            <v>82</v>
          </cell>
          <cell r="X71">
            <v>0</v>
          </cell>
          <cell r="Y71">
            <v>0</v>
          </cell>
          <cell r="Z71">
            <v>0</v>
          </cell>
          <cell r="AA71">
            <v>0</v>
          </cell>
          <cell r="AB71">
            <v>978</v>
          </cell>
          <cell r="AC71">
            <v>0</v>
          </cell>
          <cell r="AD71">
            <v>0</v>
          </cell>
          <cell r="AE71">
            <v>0</v>
          </cell>
          <cell r="AF71">
            <v>0</v>
          </cell>
          <cell r="AI71">
            <v>0</v>
          </cell>
          <cell r="AJ71">
            <v>0</v>
          </cell>
          <cell r="AP71" t="e">
            <v>#REF!</v>
          </cell>
          <cell r="AQ71" t="e">
            <v>#REF!</v>
          </cell>
          <cell r="AS71">
            <v>0</v>
          </cell>
          <cell r="AT71" t="e">
            <v>#REF!</v>
          </cell>
        </row>
        <row r="72">
          <cell r="C72">
            <v>10026.5</v>
          </cell>
          <cell r="D72">
            <v>1252</v>
          </cell>
          <cell r="E72">
            <v>8774.5</v>
          </cell>
          <cell r="N72">
            <v>624.07000000000005</v>
          </cell>
          <cell r="O72">
            <v>227</v>
          </cell>
          <cell r="P72">
            <v>-397.07000000000005</v>
          </cell>
          <cell r="Q72">
            <v>2013.3516666666667</v>
          </cell>
          <cell r="R72">
            <v>403</v>
          </cell>
          <cell r="S72">
            <v>-1610.3516666666667</v>
          </cell>
          <cell r="T72">
            <v>608.45800000000008</v>
          </cell>
          <cell r="U72">
            <v>344</v>
          </cell>
          <cell r="V72">
            <v>264.45800000000008</v>
          </cell>
          <cell r="W72">
            <v>175</v>
          </cell>
          <cell r="X72">
            <v>-433.45800000000008</v>
          </cell>
          <cell r="Y72">
            <v>545.31200000000001</v>
          </cell>
          <cell r="Z72">
            <v>288</v>
          </cell>
          <cell r="AA72">
            <v>257.31200000000001</v>
          </cell>
          <cell r="AB72">
            <v>94</v>
          </cell>
          <cell r="AC72">
            <v>-451.31200000000001</v>
          </cell>
          <cell r="AD72">
            <v>1279.9006666666667</v>
          </cell>
          <cell r="AE72">
            <v>1052.93</v>
          </cell>
          <cell r="AF72">
            <v>226.9706666666666</v>
          </cell>
          <cell r="AG72">
            <v>379</v>
          </cell>
          <cell r="AH72">
            <v>173</v>
          </cell>
          <cell r="AI72">
            <v>35</v>
          </cell>
          <cell r="AJ72">
            <v>-900.90066666666667</v>
          </cell>
          <cell r="AN72">
            <v>0</v>
          </cell>
          <cell r="AP72">
            <v>16100.752333333334</v>
          </cell>
          <cell r="AQ72" t="e">
            <v>#REF!</v>
          </cell>
          <cell r="AR72" t="e">
            <v>#REF!</v>
          </cell>
          <cell r="AS72">
            <v>181</v>
          </cell>
          <cell r="AT72">
            <v>-15919.752333333334</v>
          </cell>
          <cell r="AU72">
            <v>632</v>
          </cell>
          <cell r="AV72">
            <v>1206</v>
          </cell>
          <cell r="AW72">
            <v>2438.67</v>
          </cell>
          <cell r="AX72" t="e">
            <v>#REF!</v>
          </cell>
        </row>
        <row r="73">
          <cell r="C73">
            <v>988</v>
          </cell>
          <cell r="D73">
            <v>70</v>
          </cell>
          <cell r="E73">
            <v>918</v>
          </cell>
          <cell r="N73">
            <v>0</v>
          </cell>
          <cell r="O73">
            <v>180</v>
          </cell>
          <cell r="P73">
            <v>0</v>
          </cell>
          <cell r="Q73">
            <v>0</v>
          </cell>
          <cell r="R73">
            <v>476</v>
          </cell>
          <cell r="S73">
            <v>0</v>
          </cell>
          <cell r="T73">
            <v>0</v>
          </cell>
          <cell r="U73">
            <v>0</v>
          </cell>
          <cell r="V73">
            <v>0</v>
          </cell>
          <cell r="W73">
            <v>2244</v>
          </cell>
          <cell r="X73">
            <v>0</v>
          </cell>
          <cell r="Y73">
            <v>18</v>
          </cell>
          <cell r="Z73">
            <v>0</v>
          </cell>
          <cell r="AA73">
            <v>18</v>
          </cell>
          <cell r="AB73">
            <v>2244</v>
          </cell>
          <cell r="AC73">
            <v>-18</v>
          </cell>
          <cell r="AD73">
            <v>0</v>
          </cell>
          <cell r="AE73">
            <v>0</v>
          </cell>
          <cell r="AF73">
            <v>0</v>
          </cell>
          <cell r="AI73">
            <v>0</v>
          </cell>
          <cell r="AJ73">
            <v>0</v>
          </cell>
          <cell r="AP73">
            <v>1006</v>
          </cell>
          <cell r="AQ73">
            <v>70</v>
          </cell>
          <cell r="AR73">
            <v>936</v>
          </cell>
          <cell r="AS73">
            <v>0</v>
          </cell>
          <cell r="AT73">
            <v>-1006</v>
          </cell>
          <cell r="AU73">
            <v>0</v>
          </cell>
          <cell r="AV73">
            <v>18</v>
          </cell>
          <cell r="AW73">
            <v>70</v>
          </cell>
          <cell r="AX73">
            <v>918</v>
          </cell>
        </row>
        <row r="74">
          <cell r="C74">
            <v>9038.5</v>
          </cell>
          <cell r="D74">
            <v>1182</v>
          </cell>
          <cell r="E74">
            <v>7856.5</v>
          </cell>
          <cell r="N74">
            <v>624.07000000000005</v>
          </cell>
          <cell r="O74">
            <v>0</v>
          </cell>
          <cell r="P74">
            <v>-624.07000000000005</v>
          </cell>
          <cell r="Q74">
            <v>2013.3516666666667</v>
          </cell>
          <cell r="R74">
            <v>2</v>
          </cell>
          <cell r="S74">
            <v>-2013.3516666666667</v>
          </cell>
          <cell r="T74">
            <v>608.45800000000008</v>
          </cell>
          <cell r="U74">
            <v>344</v>
          </cell>
          <cell r="V74">
            <v>264.45800000000008</v>
          </cell>
          <cell r="W74">
            <v>491</v>
          </cell>
          <cell r="X74">
            <v>-608.45800000000008</v>
          </cell>
          <cell r="Y74">
            <v>527.31200000000001</v>
          </cell>
          <cell r="Z74">
            <v>288</v>
          </cell>
          <cell r="AA74">
            <v>239.31200000000001</v>
          </cell>
          <cell r="AB74">
            <v>491</v>
          </cell>
          <cell r="AC74">
            <v>-527.31200000000001</v>
          </cell>
          <cell r="AD74">
            <v>1279.9006666666667</v>
          </cell>
          <cell r="AE74">
            <v>1052.33</v>
          </cell>
          <cell r="AF74">
            <v>227.57066666666674</v>
          </cell>
          <cell r="AG74">
            <v>379</v>
          </cell>
          <cell r="AH74">
            <v>173</v>
          </cell>
          <cell r="AI74">
            <v>35</v>
          </cell>
          <cell r="AJ74">
            <v>-900.90066666666667</v>
          </cell>
          <cell r="AN74">
            <v>0</v>
          </cell>
          <cell r="AP74">
            <v>15094.152333333333</v>
          </cell>
          <cell r="AQ74">
            <v>3000.67</v>
          </cell>
          <cell r="AR74">
            <v>12093.482333333333</v>
          </cell>
          <cell r="AS74">
            <v>181</v>
          </cell>
          <cell r="AT74">
            <v>-14913.152333333333</v>
          </cell>
          <cell r="AU74">
            <v>632</v>
          </cell>
          <cell r="AV74">
            <v>1188</v>
          </cell>
          <cell r="AW74">
            <v>2368.67</v>
          </cell>
          <cell r="AX74">
            <v>10905.482333333333</v>
          </cell>
        </row>
        <row r="75">
          <cell r="C75">
            <v>3287</v>
          </cell>
          <cell r="D75">
            <v>299</v>
          </cell>
          <cell r="E75">
            <v>2988</v>
          </cell>
          <cell r="N75">
            <v>439.07</v>
          </cell>
          <cell r="O75">
            <v>12</v>
          </cell>
          <cell r="P75">
            <v>-439.07</v>
          </cell>
          <cell r="Q75">
            <v>1244.9099999999999</v>
          </cell>
          <cell r="R75">
            <v>11</v>
          </cell>
          <cell r="S75">
            <v>-1244.9099999999999</v>
          </cell>
          <cell r="T75">
            <v>346.80799999999999</v>
          </cell>
          <cell r="U75">
            <v>202</v>
          </cell>
          <cell r="V75">
            <v>144.80799999999999</v>
          </cell>
          <cell r="W75">
            <v>2284.666666666667</v>
          </cell>
          <cell r="X75">
            <v>-346.80799999999999</v>
          </cell>
          <cell r="Y75">
            <v>214.36199999999999</v>
          </cell>
          <cell r="Z75">
            <v>182</v>
          </cell>
          <cell r="AA75">
            <v>32.361999999999995</v>
          </cell>
          <cell r="AB75">
            <v>23945.666666666668</v>
          </cell>
          <cell r="AC75">
            <v>-214.36199999999999</v>
          </cell>
          <cell r="AD75">
            <v>823.10066666666671</v>
          </cell>
          <cell r="AE75">
            <v>721.48</v>
          </cell>
          <cell r="AF75">
            <v>101.62066666666669</v>
          </cell>
          <cell r="AJ75">
            <v>-823.10066666666671</v>
          </cell>
          <cell r="AP75">
            <v>6653.6299999999992</v>
          </cell>
          <cell r="AQ75">
            <v>1346.67</v>
          </cell>
          <cell r="AR75">
            <v>5306.9599999999991</v>
          </cell>
          <cell r="AS75">
            <v>0</v>
          </cell>
          <cell r="AT75">
            <v>-6653.6299999999992</v>
          </cell>
          <cell r="AX75">
            <v>5306.9599999999991</v>
          </cell>
        </row>
        <row r="76">
          <cell r="C76">
            <v>0</v>
          </cell>
          <cell r="D76">
            <v>0</v>
          </cell>
          <cell r="E76">
            <v>0</v>
          </cell>
          <cell r="N76">
            <v>0</v>
          </cell>
          <cell r="O76">
            <v>0</v>
          </cell>
          <cell r="P76">
            <v>0</v>
          </cell>
          <cell r="Q76">
            <v>0</v>
          </cell>
          <cell r="S76">
            <v>0</v>
          </cell>
          <cell r="T76">
            <v>0</v>
          </cell>
          <cell r="U76">
            <v>0</v>
          </cell>
          <cell r="V76">
            <v>0</v>
          </cell>
          <cell r="W76">
            <v>0</v>
          </cell>
          <cell r="X76">
            <v>0</v>
          </cell>
          <cell r="Y76">
            <v>0</v>
          </cell>
          <cell r="Z76">
            <v>0</v>
          </cell>
          <cell r="AA76">
            <v>0</v>
          </cell>
          <cell r="AB76">
            <v>401</v>
          </cell>
          <cell r="AC76">
            <v>0</v>
          </cell>
          <cell r="AD76">
            <v>0</v>
          </cell>
          <cell r="AE76">
            <v>0</v>
          </cell>
          <cell r="AF76">
            <v>0</v>
          </cell>
          <cell r="AJ76">
            <v>0</v>
          </cell>
          <cell r="AP76">
            <v>658.33066666666662</v>
          </cell>
          <cell r="AQ76">
            <v>324</v>
          </cell>
          <cell r="AR76">
            <v>334.33066666666662</v>
          </cell>
          <cell r="AS76">
            <v>0</v>
          </cell>
          <cell r="AT76">
            <v>-658.33066666666662</v>
          </cell>
          <cell r="AX76">
            <v>334.33066666666662</v>
          </cell>
        </row>
        <row r="77">
          <cell r="C77">
            <v>865</v>
          </cell>
          <cell r="D77">
            <v>323</v>
          </cell>
          <cell r="E77">
            <v>542</v>
          </cell>
          <cell r="N77">
            <v>62.75</v>
          </cell>
          <cell r="O77">
            <v>12</v>
          </cell>
          <cell r="P77">
            <v>31</v>
          </cell>
          <cell r="Q77">
            <v>465.4666666666667</v>
          </cell>
          <cell r="R77">
            <v>11</v>
          </cell>
          <cell r="T77">
            <v>112.6</v>
          </cell>
          <cell r="U77">
            <v>17</v>
          </cell>
          <cell r="V77">
            <v>95.6</v>
          </cell>
          <cell r="W77">
            <v>2284.666666666667</v>
          </cell>
          <cell r="X77">
            <v>2284.666666666667</v>
          </cell>
          <cell r="Y77">
            <v>101.15</v>
          </cell>
          <cell r="Z77">
            <v>31</v>
          </cell>
          <cell r="AA77">
            <v>70.150000000000006</v>
          </cell>
          <cell r="AB77">
            <v>23529.666666666668</v>
          </cell>
          <cell r="AC77">
            <v>46</v>
          </cell>
          <cell r="AD77">
            <v>221.75</v>
          </cell>
          <cell r="AE77">
            <v>157.85</v>
          </cell>
          <cell r="AF77">
            <v>63.900000000000006</v>
          </cell>
        </row>
        <row r="78">
          <cell r="C78">
            <v>3123.5</v>
          </cell>
          <cell r="D78">
            <v>363</v>
          </cell>
          <cell r="E78">
            <v>2760.5</v>
          </cell>
          <cell r="N78">
            <v>121.25</v>
          </cell>
          <cell r="O78">
            <v>12</v>
          </cell>
          <cell r="P78">
            <v>31</v>
          </cell>
          <cell r="Q78">
            <v>302.97500000000002</v>
          </cell>
          <cell r="R78">
            <v>11</v>
          </cell>
          <cell r="T78">
            <v>148.05000000000001</v>
          </cell>
          <cell r="U78">
            <v>34</v>
          </cell>
          <cell r="V78">
            <v>114.05000000000001</v>
          </cell>
          <cell r="W78">
            <v>330</v>
          </cell>
          <cell r="X78">
            <v>330</v>
          </cell>
          <cell r="Y78">
            <v>211.8</v>
          </cell>
          <cell r="Z78">
            <v>45</v>
          </cell>
          <cell r="AA78">
            <v>166.8</v>
          </cell>
          <cell r="AB78">
            <v>330</v>
          </cell>
          <cell r="AD78">
            <v>234.05</v>
          </cell>
          <cell r="AE78">
            <v>173</v>
          </cell>
          <cell r="AF78">
            <v>61.050000000000011</v>
          </cell>
        </row>
        <row r="79">
          <cell r="C79">
            <v>13</v>
          </cell>
          <cell r="D79">
            <v>85</v>
          </cell>
          <cell r="E79">
            <v>-72</v>
          </cell>
          <cell r="N79">
            <v>15.1</v>
          </cell>
          <cell r="P79">
            <v>-15.1</v>
          </cell>
          <cell r="Q79">
            <v>7.5</v>
          </cell>
          <cell r="S79">
            <v>-7.5</v>
          </cell>
          <cell r="T79">
            <v>0</v>
          </cell>
          <cell r="U79">
            <v>0</v>
          </cell>
          <cell r="V79">
            <v>0</v>
          </cell>
          <cell r="W79">
            <v>1955</v>
          </cell>
          <cell r="X79">
            <v>0</v>
          </cell>
          <cell r="Y79">
            <v>6.7</v>
          </cell>
          <cell r="Z79">
            <v>0</v>
          </cell>
          <cell r="AA79">
            <v>6.7</v>
          </cell>
          <cell r="AB79">
            <v>1955</v>
          </cell>
          <cell r="AC79">
            <v>-6.7</v>
          </cell>
          <cell r="AD79">
            <v>38.799999999999997</v>
          </cell>
          <cell r="AE79">
            <v>34</v>
          </cell>
          <cell r="AF79">
            <v>4.7999999999999972</v>
          </cell>
          <cell r="AJ79">
            <v>-38.799999999999997</v>
          </cell>
          <cell r="AP79">
            <v>79.300000000000011</v>
          </cell>
          <cell r="AQ79">
            <v>103.1</v>
          </cell>
          <cell r="AS79">
            <v>0</v>
          </cell>
          <cell r="AT79">
            <v>-79.300000000000011</v>
          </cell>
        </row>
        <row r="80">
          <cell r="C80">
            <v>14660.397000000001</v>
          </cell>
          <cell r="D80">
            <v>2178</v>
          </cell>
          <cell r="E80">
            <v>12482.397000000001</v>
          </cell>
          <cell r="N80">
            <v>16926.547393939396</v>
          </cell>
          <cell r="O80">
            <v>6571</v>
          </cell>
          <cell r="P80">
            <v>-10355.547393939396</v>
          </cell>
          <cell r="Q80">
            <v>119330.43057575758</v>
          </cell>
          <cell r="R80">
            <v>83057</v>
          </cell>
          <cell r="S80">
            <v>-36273.430575757578</v>
          </cell>
          <cell r="T80">
            <v>183336.61878787878</v>
          </cell>
          <cell r="U80">
            <v>112107.34756097561</v>
          </cell>
          <cell r="V80">
            <v>71229.271226903176</v>
          </cell>
          <cell r="W80">
            <v>101508</v>
          </cell>
          <cell r="X80">
            <v>-81828.618787878775</v>
          </cell>
          <cell r="Y80">
            <v>150544.11636363636</v>
          </cell>
          <cell r="Z80">
            <v>88569.750161952048</v>
          </cell>
          <cell r="AA80">
            <v>61974.366201684315</v>
          </cell>
          <cell r="AB80">
            <v>81399</v>
          </cell>
          <cell r="AC80">
            <v>-69145.116363636364</v>
          </cell>
          <cell r="AD80">
            <v>29611.383272727278</v>
          </cell>
          <cell r="AE80">
            <v>24168.194424242425</v>
          </cell>
          <cell r="AF80">
            <v>5443.1888484848496</v>
          </cell>
          <cell r="AG80">
            <v>9642</v>
          </cell>
          <cell r="AH80">
            <v>6481</v>
          </cell>
          <cell r="AI80">
            <v>2032</v>
          </cell>
          <cell r="AJ80">
            <v>-19969.383272727278</v>
          </cell>
          <cell r="AL80">
            <v>0</v>
          </cell>
          <cell r="AN80">
            <v>0</v>
          </cell>
          <cell r="AP80">
            <v>511455.55521212122</v>
          </cell>
          <cell r="AQ80" t="e">
            <v>#REF!</v>
          </cell>
          <cell r="AR80" t="e">
            <v>#REF!</v>
          </cell>
          <cell r="AS80">
            <v>278125</v>
          </cell>
          <cell r="AT80">
            <v>-233330.55521212122</v>
          </cell>
          <cell r="AU80">
            <v>200002.09772292766</v>
          </cell>
          <cell r="AV80">
            <v>219442</v>
          </cell>
          <cell r="AW80">
            <v>19062.965575757575</v>
          </cell>
          <cell r="AX80" t="e">
            <v>#REF!</v>
          </cell>
        </row>
        <row r="81">
          <cell r="C81">
            <v>13672.397000000001</v>
          </cell>
          <cell r="D81">
            <v>2108</v>
          </cell>
          <cell r="E81">
            <v>11564.397000000001</v>
          </cell>
          <cell r="P81">
            <v>0</v>
          </cell>
          <cell r="S81">
            <v>0</v>
          </cell>
          <cell r="U81">
            <v>65</v>
          </cell>
          <cell r="V81">
            <v>30</v>
          </cell>
          <cell r="W81">
            <v>35</v>
          </cell>
          <cell r="X81">
            <v>0</v>
          </cell>
          <cell r="AC81">
            <v>0</v>
          </cell>
          <cell r="AJ81">
            <v>0</v>
          </cell>
          <cell r="AP81">
            <v>144934.55521212122</v>
          </cell>
          <cell r="AQ81" t="e">
            <v>#REF!</v>
          </cell>
          <cell r="AR81" t="e">
            <v>#REF!</v>
          </cell>
          <cell r="AS81">
            <v>0</v>
          </cell>
          <cell r="AT81">
            <v>-144934.55521212122</v>
          </cell>
          <cell r="AU81">
            <v>20950</v>
          </cell>
          <cell r="AV81">
            <v>31974</v>
          </cell>
          <cell r="AW81">
            <v>19061.965575757575</v>
          </cell>
          <cell r="AX81" t="e">
            <v>#REF!</v>
          </cell>
        </row>
        <row r="82">
          <cell r="C82">
            <v>813.00000000000011</v>
          </cell>
          <cell r="D82">
            <v>501</v>
          </cell>
          <cell r="E82">
            <v>312.33333333333337</v>
          </cell>
          <cell r="N82">
            <v>4234.3327272727274</v>
          </cell>
          <cell r="O82">
            <v>1501</v>
          </cell>
          <cell r="P82">
            <v>-2733.3327272727274</v>
          </cell>
          <cell r="Q82">
            <v>9505.1209090909106</v>
          </cell>
          <cell r="R82">
            <v>3466</v>
          </cell>
          <cell r="S82">
            <v>-6039.1209090909106</v>
          </cell>
          <cell r="T82">
            <v>3657.8272727272729</v>
          </cell>
          <cell r="U82">
            <v>2012</v>
          </cell>
          <cell r="V82">
            <v>1645.8272727272729</v>
          </cell>
          <cell r="W82">
            <v>1353</v>
          </cell>
          <cell r="X82">
            <v>-2304.8272727272729</v>
          </cell>
          <cell r="Y82">
            <v>2966.1272727272726</v>
          </cell>
          <cell r="Z82">
            <v>1572</v>
          </cell>
          <cell r="AA82">
            <v>1394.1272727272726</v>
          </cell>
          <cell r="AB82">
            <v>1097</v>
          </cell>
          <cell r="AC82">
            <v>-1869.1272727272726</v>
          </cell>
          <cell r="AD82">
            <v>8413.5863636363647</v>
          </cell>
          <cell r="AE82">
            <v>7694.9363636363632</v>
          </cell>
          <cell r="AF82">
            <v>718.65000000000077</v>
          </cell>
          <cell r="AG82">
            <v>2881</v>
          </cell>
          <cell r="AH82">
            <v>1984</v>
          </cell>
          <cell r="AI82">
            <v>306</v>
          </cell>
          <cell r="AJ82">
            <v>-5532.5863636363647</v>
          </cell>
          <cell r="AN82">
            <v>0</v>
          </cell>
          <cell r="AP82">
            <v>30031.241545454548</v>
          </cell>
          <cell r="AS82">
            <v>9401</v>
          </cell>
          <cell r="AT82">
            <v>-20630.241545454548</v>
          </cell>
        </row>
        <row r="83">
          <cell r="C83">
            <v>16699</v>
          </cell>
          <cell r="D83">
            <v>11292</v>
          </cell>
          <cell r="E83">
            <v>0</v>
          </cell>
          <cell r="P83">
            <v>0</v>
          </cell>
          <cell r="S83">
            <v>0</v>
          </cell>
          <cell r="U83">
            <v>14098.435307760927</v>
          </cell>
          <cell r="V83">
            <v>5945.3098245614019</v>
          </cell>
          <cell r="W83">
            <v>8153.1254831995248</v>
          </cell>
          <cell r="X83">
            <v>0</v>
          </cell>
          <cell r="AC83">
            <v>0</v>
          </cell>
          <cell r="AD83">
            <v>2918</v>
          </cell>
          <cell r="AE83">
            <v>2545.3098245614037</v>
          </cell>
          <cell r="AF83">
            <v>5037.1254831995248</v>
          </cell>
          <cell r="AJ83">
            <v>0</v>
          </cell>
          <cell r="AP83">
            <v>16699</v>
          </cell>
          <cell r="AQ83">
            <v>11292</v>
          </cell>
          <cell r="AR83">
            <v>0</v>
          </cell>
          <cell r="AS83">
            <v>0</v>
          </cell>
          <cell r="AT83">
            <v>-16699</v>
          </cell>
          <cell r="AU83">
            <v>0</v>
          </cell>
          <cell r="AV83">
            <v>0</v>
          </cell>
          <cell r="AW83">
            <v>0</v>
          </cell>
          <cell r="AX83">
            <v>0</v>
          </cell>
        </row>
        <row r="84">
          <cell r="C84">
            <v>31359.397000000001</v>
          </cell>
          <cell r="D84">
            <v>13470</v>
          </cell>
          <cell r="E84">
            <v>12482.397000000001</v>
          </cell>
          <cell r="N84">
            <v>16926.547393939396</v>
          </cell>
          <cell r="O84">
            <v>6571</v>
          </cell>
          <cell r="P84">
            <v>-10355.547393939396</v>
          </cell>
          <cell r="Q84">
            <v>119330.43057575758</v>
          </cell>
          <cell r="R84">
            <v>83057</v>
          </cell>
          <cell r="S84">
            <v>-36273.430575757578</v>
          </cell>
          <cell r="T84">
            <v>183336.61878787878</v>
          </cell>
          <cell r="U84">
            <v>112107.34756097561</v>
          </cell>
          <cell r="V84">
            <v>71229.271226903176</v>
          </cell>
          <cell r="W84">
            <v>101508</v>
          </cell>
          <cell r="X84">
            <v>-81828.618787878775</v>
          </cell>
          <cell r="Y84">
            <v>150544.11636363636</v>
          </cell>
          <cell r="Z84">
            <v>88569.750161952048</v>
          </cell>
          <cell r="AA84">
            <v>61974.366201684315</v>
          </cell>
          <cell r="AB84">
            <v>81399</v>
          </cell>
          <cell r="AC84">
            <v>-69145.116363636364</v>
          </cell>
          <cell r="AD84">
            <v>29611.383272727278</v>
          </cell>
          <cell r="AE84">
            <v>24168.194424242425</v>
          </cell>
          <cell r="AF84">
            <v>5443.1888484848496</v>
          </cell>
          <cell r="AG84">
            <v>9642</v>
          </cell>
          <cell r="AH84">
            <v>6481</v>
          </cell>
          <cell r="AI84">
            <v>2032</v>
          </cell>
          <cell r="AJ84">
            <v>-19969.383272727278</v>
          </cell>
          <cell r="AL84">
            <v>0</v>
          </cell>
          <cell r="AN84">
            <v>0</v>
          </cell>
          <cell r="AP84">
            <v>528154.55521212122</v>
          </cell>
          <cell r="AQ84" t="e">
            <v>#REF!</v>
          </cell>
          <cell r="AR84" t="e">
            <v>#REF!</v>
          </cell>
          <cell r="AS84">
            <v>278125</v>
          </cell>
          <cell r="AT84">
            <v>-250029.55521212122</v>
          </cell>
          <cell r="AU84">
            <v>200002.09772292766</v>
          </cell>
          <cell r="AV84">
            <v>219442</v>
          </cell>
          <cell r="AW84">
            <v>19062.965575757575</v>
          </cell>
          <cell r="AX84" t="e">
            <v>#REF!</v>
          </cell>
        </row>
        <row r="85">
          <cell r="C85">
            <v>0</v>
          </cell>
          <cell r="D85">
            <v>0</v>
          </cell>
          <cell r="E85">
            <v>0</v>
          </cell>
          <cell r="N85">
            <v>0</v>
          </cell>
          <cell r="P85">
            <v>0</v>
          </cell>
          <cell r="Q85">
            <v>0</v>
          </cell>
          <cell r="S85">
            <v>0</v>
          </cell>
          <cell r="T85">
            <v>0</v>
          </cell>
          <cell r="U85">
            <v>0</v>
          </cell>
          <cell r="V85">
            <v>0</v>
          </cell>
          <cell r="W85">
            <v>0</v>
          </cell>
          <cell r="X85">
            <v>0</v>
          </cell>
          <cell r="Y85">
            <v>0</v>
          </cell>
          <cell r="Z85">
            <v>747</v>
          </cell>
          <cell r="AA85">
            <v>0</v>
          </cell>
          <cell r="AB85">
            <v>747</v>
          </cell>
          <cell r="AC85">
            <v>0</v>
          </cell>
          <cell r="AD85">
            <v>0</v>
          </cell>
          <cell r="AE85">
            <v>0</v>
          </cell>
          <cell r="AF85">
            <v>0</v>
          </cell>
          <cell r="AI85">
            <v>0</v>
          </cell>
          <cell r="AJ85">
            <v>0</v>
          </cell>
          <cell r="AP85">
            <v>-1</v>
          </cell>
          <cell r="AQ85">
            <v>0</v>
          </cell>
          <cell r="AR85">
            <v>-1</v>
          </cell>
          <cell r="AS85">
            <v>0</v>
          </cell>
          <cell r="AT85">
            <v>1</v>
          </cell>
          <cell r="AU85">
            <v>0</v>
          </cell>
          <cell r="AV85">
            <v>0</v>
          </cell>
          <cell r="AW85">
            <v>0</v>
          </cell>
          <cell r="AX85">
            <v>-1</v>
          </cell>
        </row>
        <row r="86">
          <cell r="C86">
            <v>1341</v>
          </cell>
          <cell r="D86">
            <v>1959</v>
          </cell>
          <cell r="E86">
            <v>-618</v>
          </cell>
          <cell r="N86">
            <v>0</v>
          </cell>
          <cell r="O86">
            <v>4065.1754385964914</v>
          </cell>
          <cell r="P86">
            <v>0</v>
          </cell>
          <cell r="Q86">
            <v>0</v>
          </cell>
          <cell r="R86">
            <v>3768.4237288135591</v>
          </cell>
          <cell r="S86">
            <v>0</v>
          </cell>
          <cell r="T86">
            <v>0</v>
          </cell>
          <cell r="U86">
            <v>0</v>
          </cell>
          <cell r="V86">
            <v>0</v>
          </cell>
          <cell r="W86">
            <v>15924.125483199525</v>
          </cell>
          <cell r="X86">
            <v>0</v>
          </cell>
          <cell r="Y86">
            <v>0</v>
          </cell>
          <cell r="Z86">
            <v>195401.12548319952</v>
          </cell>
          <cell r="AA86">
            <v>173414</v>
          </cell>
          <cell r="AB86">
            <v>368815.12548319955</v>
          </cell>
          <cell r="AC86">
            <v>0</v>
          </cell>
          <cell r="AD86">
            <v>10689</v>
          </cell>
          <cell r="AE86">
            <v>2570.3098245614037</v>
          </cell>
          <cell r="AF86">
            <v>5037.1254831995248</v>
          </cell>
          <cell r="AI86">
            <v>0</v>
          </cell>
          <cell r="AJ86">
            <v>0</v>
          </cell>
          <cell r="AP86">
            <v>1341</v>
          </cell>
          <cell r="AQ86">
            <v>1959</v>
          </cell>
          <cell r="AR86">
            <v>-618</v>
          </cell>
          <cell r="AS86">
            <v>0</v>
          </cell>
          <cell r="AT86">
            <v>-1341</v>
          </cell>
          <cell r="AU86">
            <v>0</v>
          </cell>
          <cell r="AV86">
            <v>0</v>
          </cell>
          <cell r="AW86">
            <v>1959</v>
          </cell>
          <cell r="AX86">
            <v>-618</v>
          </cell>
        </row>
        <row r="87">
          <cell r="C87">
            <v>114</v>
          </cell>
          <cell r="D87">
            <v>481</v>
          </cell>
          <cell r="E87">
            <v>-367</v>
          </cell>
          <cell r="N87">
            <v>0</v>
          </cell>
          <cell r="P87">
            <v>0</v>
          </cell>
          <cell r="Q87">
            <v>0</v>
          </cell>
          <cell r="S87">
            <v>0</v>
          </cell>
          <cell r="T87">
            <v>0</v>
          </cell>
          <cell r="U87">
            <v>0</v>
          </cell>
          <cell r="V87">
            <v>0</v>
          </cell>
          <cell r="W87">
            <v>52.068000000000012</v>
          </cell>
          <cell r="X87">
            <v>0</v>
          </cell>
          <cell r="Y87">
            <v>0</v>
          </cell>
          <cell r="Z87">
            <v>0</v>
          </cell>
          <cell r="AA87">
            <v>0</v>
          </cell>
          <cell r="AB87">
            <v>2186.0680000000002</v>
          </cell>
          <cell r="AC87">
            <v>0</v>
          </cell>
          <cell r="AD87">
            <v>0</v>
          </cell>
          <cell r="AE87">
            <v>178.35599999999999</v>
          </cell>
          <cell r="AF87">
            <v>52.068000000000012</v>
          </cell>
          <cell r="AI87">
            <v>0</v>
          </cell>
          <cell r="AJ87">
            <v>0</v>
          </cell>
          <cell r="AP87">
            <v>113</v>
          </cell>
          <cell r="AQ87">
            <v>481</v>
          </cell>
          <cell r="AR87">
            <v>-368</v>
          </cell>
          <cell r="AS87">
            <v>-1</v>
          </cell>
          <cell r="AT87">
            <v>-114</v>
          </cell>
          <cell r="AU87">
            <v>0</v>
          </cell>
          <cell r="AV87">
            <v>0</v>
          </cell>
          <cell r="AW87">
            <v>481</v>
          </cell>
          <cell r="AX87">
            <v>-368</v>
          </cell>
        </row>
        <row r="88">
          <cell r="C88">
            <v>62</v>
          </cell>
          <cell r="D88">
            <v>12</v>
          </cell>
          <cell r="E88">
            <v>50</v>
          </cell>
          <cell r="N88">
            <v>120.13333333333333</v>
          </cell>
          <cell r="O88">
            <v>51</v>
          </cell>
          <cell r="P88">
            <v>-69.133333333333326</v>
          </cell>
          <cell r="Q88">
            <v>108.6</v>
          </cell>
          <cell r="S88">
            <v>-108.6</v>
          </cell>
          <cell r="T88">
            <v>299.26666666666665</v>
          </cell>
          <cell r="U88">
            <v>176</v>
          </cell>
          <cell r="V88">
            <v>123.26666666666665</v>
          </cell>
          <cell r="W88">
            <v>87</v>
          </cell>
          <cell r="X88">
            <v>-299.26666666666665</v>
          </cell>
          <cell r="Y88">
            <v>389.93333333333328</v>
          </cell>
          <cell r="Z88">
            <v>0</v>
          </cell>
          <cell r="AA88">
            <v>1294</v>
          </cell>
          <cell r="AB88">
            <v>0</v>
          </cell>
          <cell r="AC88">
            <v>-389.93333333333328</v>
          </cell>
          <cell r="AD88">
            <v>132</v>
          </cell>
          <cell r="AE88">
            <v>39</v>
          </cell>
          <cell r="AF88">
            <v>93</v>
          </cell>
          <cell r="AG88">
            <v>44</v>
          </cell>
          <cell r="AH88">
            <v>15</v>
          </cell>
          <cell r="AI88">
            <v>29</v>
          </cell>
          <cell r="AJ88">
            <v>-88</v>
          </cell>
          <cell r="AP88">
            <v>923.93333333333328</v>
          </cell>
          <cell r="AQ88">
            <v>239.13333333333333</v>
          </cell>
          <cell r="AR88">
            <v>684.8</v>
          </cell>
          <cell r="AS88">
            <v>65</v>
          </cell>
          <cell r="AT88">
            <v>-858.93333333333328</v>
          </cell>
          <cell r="AU88">
            <v>176</v>
          </cell>
          <cell r="AV88">
            <v>153</v>
          </cell>
          <cell r="AW88">
            <v>63.133333333333326</v>
          </cell>
          <cell r="AX88">
            <v>531.79999999999995</v>
          </cell>
        </row>
        <row r="89">
          <cell r="C89">
            <v>32876.396999999997</v>
          </cell>
          <cell r="D89">
            <v>15922</v>
          </cell>
          <cell r="E89">
            <v>11547.397000000001</v>
          </cell>
          <cell r="N89">
            <v>17046.680727272731</v>
          </cell>
          <cell r="O89">
            <v>6622</v>
          </cell>
          <cell r="P89">
            <v>-10424.680727272731</v>
          </cell>
          <cell r="Q89">
            <v>119439.03057575758</v>
          </cell>
          <cell r="R89">
            <v>83057</v>
          </cell>
          <cell r="S89">
            <v>-36382.030575757584</v>
          </cell>
          <cell r="T89">
            <v>183635.88545454544</v>
          </cell>
          <cell r="U89">
            <v>112283.34756097561</v>
          </cell>
          <cell r="V89">
            <v>71352.537893569839</v>
          </cell>
          <cell r="W89">
            <v>101508</v>
          </cell>
          <cell r="X89">
            <v>-82127.885454545438</v>
          </cell>
          <cell r="Y89">
            <v>150934.04969696968</v>
          </cell>
          <cell r="Z89">
            <v>88569.750161952048</v>
          </cell>
          <cell r="AA89">
            <v>61974.366201684315</v>
          </cell>
          <cell r="AB89">
            <v>81399</v>
          </cell>
          <cell r="AC89">
            <v>-69535.049696969683</v>
          </cell>
          <cell r="AD89">
            <v>29743.383272727278</v>
          </cell>
          <cell r="AE89">
            <v>24207.194424242425</v>
          </cell>
          <cell r="AF89">
            <v>5536.1888484848496</v>
          </cell>
          <cell r="AG89">
            <v>9686</v>
          </cell>
          <cell r="AH89">
            <v>6496</v>
          </cell>
          <cell r="AI89">
            <v>2061</v>
          </cell>
          <cell r="AJ89">
            <v>-20057.383272727278</v>
          </cell>
          <cell r="AK89">
            <v>0</v>
          </cell>
          <cell r="AN89">
            <v>0</v>
          </cell>
          <cell r="AP89">
            <v>530533.48854545457</v>
          </cell>
          <cell r="AQ89" t="e">
            <v>#REF!</v>
          </cell>
          <cell r="AR89" t="e">
            <v>#REF!</v>
          </cell>
          <cell r="AS89">
            <v>278189</v>
          </cell>
          <cell r="AT89">
            <v>-252344.48854545457</v>
          </cell>
          <cell r="AU89">
            <v>200178.09772292766</v>
          </cell>
          <cell r="AV89">
            <v>219595</v>
          </cell>
          <cell r="AW89">
            <v>21566.09890909091</v>
          </cell>
          <cell r="AX89" t="e">
            <v>#REF!</v>
          </cell>
        </row>
        <row r="90">
          <cell r="C90">
            <v>16177.396999999997</v>
          </cell>
          <cell r="D90">
            <v>4630</v>
          </cell>
          <cell r="E90">
            <v>11547.397000000001</v>
          </cell>
          <cell r="N90">
            <v>17046.680727272731</v>
          </cell>
          <cell r="O90">
            <v>6622</v>
          </cell>
          <cell r="P90">
            <v>-10424.680727272731</v>
          </cell>
          <cell r="Q90">
            <v>48131.030575757584</v>
          </cell>
          <cell r="R90">
            <v>21655</v>
          </cell>
          <cell r="S90">
            <v>-26476.030575757584</v>
          </cell>
          <cell r="T90">
            <v>23237.885454545438</v>
          </cell>
          <cell r="U90">
            <v>13122</v>
          </cell>
          <cell r="V90">
            <v>10115.885454545452</v>
          </cell>
          <cell r="W90">
            <v>7876</v>
          </cell>
          <cell r="X90">
            <v>-15361.885454545438</v>
          </cell>
          <cell r="Y90">
            <v>16120.049696969683</v>
          </cell>
          <cell r="Z90">
            <v>8679</v>
          </cell>
          <cell r="AA90">
            <v>7051.1163636363635</v>
          </cell>
          <cell r="AB90">
            <v>5098</v>
          </cell>
          <cell r="AC90">
            <v>-11022.049696969683</v>
          </cell>
          <cell r="AD90">
            <v>29743.383272727278</v>
          </cell>
          <cell r="AE90">
            <v>24207.194424242425</v>
          </cell>
          <cell r="AF90">
            <v>5536.1888484848496</v>
          </cell>
          <cell r="AG90">
            <v>9686</v>
          </cell>
          <cell r="AH90">
            <v>6496</v>
          </cell>
          <cell r="AI90">
            <v>2061</v>
          </cell>
          <cell r="AJ90">
            <v>-20057.383272727278</v>
          </cell>
          <cell r="AN90">
            <v>0</v>
          </cell>
          <cell r="AP90">
            <v>147313.48854545457</v>
          </cell>
          <cell r="AQ90" t="e">
            <v>#REF!</v>
          </cell>
          <cell r="AR90" t="e">
            <v>#REF!</v>
          </cell>
          <cell r="AS90">
            <v>46854</v>
          </cell>
          <cell r="AT90">
            <v>-100459.48854545457</v>
          </cell>
          <cell r="AU90">
            <v>21126</v>
          </cell>
          <cell r="AV90">
            <v>32127</v>
          </cell>
          <cell r="AW90">
            <v>21565.09890909091</v>
          </cell>
          <cell r="AX90" t="e">
            <v>#REF!</v>
          </cell>
        </row>
        <row r="91">
          <cell r="C91">
            <v>1201.8969999999999</v>
          </cell>
          <cell r="D91">
            <v>310</v>
          </cell>
          <cell r="E91">
            <v>891.89699999999993</v>
          </cell>
          <cell r="N91">
            <v>4234.3327272727274</v>
          </cell>
          <cell r="O91">
            <v>1501</v>
          </cell>
          <cell r="P91">
            <v>-2733.3327272727274</v>
          </cell>
          <cell r="Q91">
            <v>9505.1209090909106</v>
          </cell>
          <cell r="R91">
            <v>3466</v>
          </cell>
          <cell r="S91">
            <v>-6039.1209090909106</v>
          </cell>
          <cell r="T91">
            <v>3657.8272727272729</v>
          </cell>
          <cell r="U91">
            <v>2012</v>
          </cell>
          <cell r="V91">
            <v>1645.8272727272729</v>
          </cell>
          <cell r="W91">
            <v>1353</v>
          </cell>
          <cell r="X91">
            <v>-2304.8272727272729</v>
          </cell>
          <cell r="Y91">
            <v>2966.1272727272726</v>
          </cell>
          <cell r="Z91">
            <v>1572</v>
          </cell>
          <cell r="AA91">
            <v>1394.1272727272726</v>
          </cell>
          <cell r="AB91">
            <v>1097</v>
          </cell>
          <cell r="AC91">
            <v>-1869.1272727272726</v>
          </cell>
          <cell r="AD91">
            <v>8413.5863636363647</v>
          </cell>
          <cell r="AE91">
            <v>7694.9363636363632</v>
          </cell>
          <cell r="AF91">
            <v>718.65000000000077</v>
          </cell>
          <cell r="AG91">
            <v>2881</v>
          </cell>
          <cell r="AH91">
            <v>1984</v>
          </cell>
          <cell r="AI91">
            <v>306</v>
          </cell>
          <cell r="AJ91">
            <v>-5532.5863636363647</v>
          </cell>
          <cell r="AN91">
            <v>0</v>
          </cell>
          <cell r="AP91">
            <v>30031.241545454548</v>
          </cell>
          <cell r="AQ91">
            <v>530686.48854545457</v>
          </cell>
          <cell r="AR91">
            <v>235268.19663201857</v>
          </cell>
          <cell r="AS91">
            <v>9401</v>
          </cell>
        </row>
        <row r="92">
          <cell r="C92">
            <v>-1273</v>
          </cell>
          <cell r="D92">
            <v>1012.3559999999998</v>
          </cell>
          <cell r="E92">
            <v>473.06800000000004</v>
          </cell>
          <cell r="N92">
            <v>4468.6499999999996</v>
          </cell>
          <cell r="O92">
            <v>777.1754385964914</v>
          </cell>
          <cell r="P92">
            <v>-4468.6499999999996</v>
          </cell>
          <cell r="Q92">
            <v>12039.093999999999</v>
          </cell>
          <cell r="R92">
            <v>796.42372881355914</v>
          </cell>
          <cell r="S92">
            <v>-12039.093999999999</v>
          </cell>
          <cell r="T92">
            <v>582.97</v>
          </cell>
          <cell r="U92">
            <v>14770.52597442759</v>
          </cell>
          <cell r="V92">
            <v>6456.6658245614017</v>
          </cell>
          <cell r="W92">
            <v>8313.8601498661901</v>
          </cell>
          <cell r="X92">
            <v>-582.97</v>
          </cell>
          <cell r="Y92">
            <v>1080.26</v>
          </cell>
          <cell r="Z92">
            <v>73006.860149866174</v>
          </cell>
          <cell r="AA92">
            <v>30183</v>
          </cell>
          <cell r="AB92">
            <v>432</v>
          </cell>
          <cell r="AC92">
            <v>-648.26</v>
          </cell>
          <cell r="AD92">
            <v>2673</v>
          </cell>
          <cell r="AE92">
            <v>932.45</v>
          </cell>
          <cell r="AF92">
            <v>1740.55</v>
          </cell>
          <cell r="AI92">
            <v>0</v>
          </cell>
          <cell r="AJ92" t="e">
            <v>#REF!</v>
          </cell>
          <cell r="AN92" t="e">
            <v>#REF!</v>
          </cell>
          <cell r="AO92">
            <v>1616</v>
          </cell>
          <cell r="AP92" t="e">
            <v>#REF!</v>
          </cell>
          <cell r="AS92">
            <v>2048</v>
          </cell>
        </row>
        <row r="93">
          <cell r="C93">
            <v>35</v>
          </cell>
          <cell r="D93">
            <v>54</v>
          </cell>
          <cell r="E93">
            <v>34</v>
          </cell>
          <cell r="N93">
            <v>3758.15</v>
          </cell>
          <cell r="O93">
            <v>87</v>
          </cell>
          <cell r="P93">
            <v>-3758.15</v>
          </cell>
          <cell r="Q93">
            <v>8235.8940000000002</v>
          </cell>
          <cell r="R93">
            <v>45.61671126969965</v>
          </cell>
          <cell r="S93">
            <v>-8235.8940000000002</v>
          </cell>
          <cell r="T93">
            <v>583.47</v>
          </cell>
          <cell r="U93">
            <v>1776.9967112696997</v>
          </cell>
          <cell r="V93">
            <v>906.38</v>
          </cell>
          <cell r="W93">
            <v>0</v>
          </cell>
          <cell r="X93">
            <v>-583.47</v>
          </cell>
          <cell r="Y93">
            <v>1080.76</v>
          </cell>
          <cell r="AB93">
            <v>432</v>
          </cell>
          <cell r="AC93">
            <v>-648.76</v>
          </cell>
          <cell r="AD93">
            <v>2673</v>
          </cell>
          <cell r="AE93">
            <v>932.45</v>
          </cell>
          <cell r="AF93">
            <v>1740.55</v>
          </cell>
          <cell r="AI93">
            <v>0</v>
          </cell>
          <cell r="AJ93">
            <v>-2673</v>
          </cell>
          <cell r="AN93" t="e">
            <v>#REF!</v>
          </cell>
          <cell r="AP93" t="e">
            <v>#REF!</v>
          </cell>
          <cell r="AS93">
            <v>432</v>
          </cell>
        </row>
        <row r="94">
          <cell r="C94">
            <v>950</v>
          </cell>
          <cell r="P94">
            <v>450</v>
          </cell>
          <cell r="S94">
            <v>153</v>
          </cell>
          <cell r="T94">
            <v>0</v>
          </cell>
          <cell r="U94">
            <v>3306</v>
          </cell>
        </row>
        <row r="95">
          <cell r="C95">
            <v>-1308</v>
          </cell>
          <cell r="N95">
            <v>710.5</v>
          </cell>
          <cell r="P95">
            <v>-710.5</v>
          </cell>
          <cell r="Q95">
            <v>3803.2</v>
          </cell>
          <cell r="R95">
            <v>0</v>
          </cell>
          <cell r="S95">
            <v>-3803.2</v>
          </cell>
          <cell r="T95">
            <v>0</v>
          </cell>
          <cell r="U95">
            <v>1754</v>
          </cell>
          <cell r="X95">
            <v>0</v>
          </cell>
          <cell r="Y95">
            <v>0</v>
          </cell>
          <cell r="AC95">
            <v>0</v>
          </cell>
          <cell r="AD95">
            <v>0.29999999999998295</v>
          </cell>
          <cell r="AE95">
            <v>0</v>
          </cell>
          <cell r="AF95">
            <v>0.29999999999998295</v>
          </cell>
          <cell r="AI95">
            <v>0</v>
          </cell>
          <cell r="AJ95">
            <v>-0.29999999999998295</v>
          </cell>
          <cell r="AN95" t="e">
            <v>#REF!</v>
          </cell>
          <cell r="AP95" t="e">
            <v>#REF!</v>
          </cell>
          <cell r="AS95">
            <v>0</v>
          </cell>
        </row>
        <row r="96">
          <cell r="C96">
            <v>0</v>
          </cell>
          <cell r="P96">
            <v>0</v>
          </cell>
          <cell r="S96">
            <v>0</v>
          </cell>
          <cell r="U96">
            <v>494</v>
          </cell>
          <cell r="X96">
            <v>0</v>
          </cell>
          <cell r="AC96">
            <v>0</v>
          </cell>
          <cell r="AF96">
            <v>0</v>
          </cell>
          <cell r="AI96">
            <v>0</v>
          </cell>
          <cell r="AJ96">
            <v>0</v>
          </cell>
          <cell r="AN96" t="e">
            <v>#REF!</v>
          </cell>
          <cell r="AP96" t="e">
            <v>#REF!</v>
          </cell>
          <cell r="AS96">
            <v>0</v>
          </cell>
        </row>
        <row r="97">
          <cell r="C97">
            <v>913</v>
          </cell>
          <cell r="P97">
            <v>0</v>
          </cell>
          <cell r="S97">
            <v>0</v>
          </cell>
          <cell r="U97">
            <v>913</v>
          </cell>
          <cell r="X97">
            <v>0</v>
          </cell>
          <cell r="AC97">
            <v>0</v>
          </cell>
          <cell r="AF97">
            <v>0</v>
          </cell>
          <cell r="AI97">
            <v>0</v>
          </cell>
          <cell r="AJ97">
            <v>0</v>
          </cell>
          <cell r="AN97" t="e">
            <v>#REF!</v>
          </cell>
          <cell r="AP97" t="e">
            <v>#REF!</v>
          </cell>
          <cell r="AS97">
            <v>0</v>
          </cell>
        </row>
        <row r="98">
          <cell r="P98">
            <v>0</v>
          </cell>
          <cell r="S98">
            <v>0</v>
          </cell>
          <cell r="U98">
            <v>0</v>
          </cell>
          <cell r="X98">
            <v>0</v>
          </cell>
          <cell r="AC98">
            <v>0</v>
          </cell>
          <cell r="AF98">
            <v>0</v>
          </cell>
          <cell r="AI98">
            <v>0</v>
          </cell>
          <cell r="AJ98">
            <v>0</v>
          </cell>
          <cell r="AN98" t="e">
            <v>#REF!</v>
          </cell>
          <cell r="AP98" t="e">
            <v>#REF!</v>
          </cell>
          <cell r="AS98">
            <v>0</v>
          </cell>
        </row>
        <row r="99">
          <cell r="P99">
            <v>0</v>
          </cell>
          <cell r="S99">
            <v>0</v>
          </cell>
          <cell r="U99">
            <v>0</v>
          </cell>
          <cell r="X99">
            <v>0</v>
          </cell>
          <cell r="AC99">
            <v>0</v>
          </cell>
          <cell r="AI99">
            <v>0</v>
          </cell>
          <cell r="AJ99">
            <v>0</v>
          </cell>
          <cell r="AN99" t="e">
            <v>#REF!</v>
          </cell>
          <cell r="AP99" t="e">
            <v>#REF!</v>
          </cell>
          <cell r="AS99">
            <v>0</v>
          </cell>
        </row>
        <row r="100">
          <cell r="C100">
            <v>-1308</v>
          </cell>
          <cell r="N100">
            <v>0.19200000000000017</v>
          </cell>
          <cell r="P100">
            <v>-0.19200000000000017</v>
          </cell>
          <cell r="Q100">
            <v>-0.32000000000000028</v>
          </cell>
          <cell r="R100">
            <v>31</v>
          </cell>
          <cell r="S100">
            <v>31.32</v>
          </cell>
          <cell r="T100">
            <v>-0.3360000000000003</v>
          </cell>
          <cell r="U100">
            <v>1093</v>
          </cell>
          <cell r="W100">
            <v>2</v>
          </cell>
          <cell r="X100">
            <v>2.3360000000000003</v>
          </cell>
          <cell r="Y100">
            <v>0.28000000000000114</v>
          </cell>
          <cell r="AB100">
            <v>10</v>
          </cell>
          <cell r="AC100">
            <v>9.7199999999999989</v>
          </cell>
          <cell r="AD100">
            <v>0.35200000000000031</v>
          </cell>
          <cell r="AE100">
            <v>0.35200000000000031</v>
          </cell>
          <cell r="AF100">
            <v>0</v>
          </cell>
          <cell r="AG100">
            <v>128</v>
          </cell>
          <cell r="AH100">
            <v>128</v>
          </cell>
          <cell r="AI100">
            <v>0</v>
          </cell>
          <cell r="AJ100">
            <v>127.648</v>
          </cell>
          <cell r="AN100" t="e">
            <v>#REF!</v>
          </cell>
          <cell r="AP100" t="e">
            <v>#REF!</v>
          </cell>
          <cell r="AS100">
            <v>140</v>
          </cell>
        </row>
        <row r="101">
          <cell r="C101">
            <v>-1308</v>
          </cell>
          <cell r="N101">
            <v>0</v>
          </cell>
          <cell r="P101">
            <v>0</v>
          </cell>
          <cell r="Q101">
            <v>0</v>
          </cell>
          <cell r="R101">
            <v>0</v>
          </cell>
          <cell r="S101">
            <v>0</v>
          </cell>
          <cell r="T101">
            <v>0</v>
          </cell>
          <cell r="U101">
            <v>913</v>
          </cell>
          <cell r="X101">
            <v>0</v>
          </cell>
          <cell r="Y101">
            <v>0</v>
          </cell>
          <cell r="AC101">
            <v>0</v>
          </cell>
          <cell r="AD101">
            <v>0</v>
          </cell>
          <cell r="AE101">
            <v>0</v>
          </cell>
          <cell r="AF101">
            <v>0</v>
          </cell>
          <cell r="AI101">
            <v>0</v>
          </cell>
          <cell r="AJ101">
            <v>0</v>
          </cell>
          <cell r="AN101" t="e">
            <v>#REF!</v>
          </cell>
          <cell r="AP101" t="e">
            <v>#REF!</v>
          </cell>
          <cell r="AS101">
            <v>0</v>
          </cell>
        </row>
        <row r="102">
          <cell r="C102">
            <v>0</v>
          </cell>
          <cell r="N102">
            <v>0</v>
          </cell>
          <cell r="P102">
            <v>0</v>
          </cell>
          <cell r="Q102">
            <v>0</v>
          </cell>
          <cell r="S102">
            <v>0</v>
          </cell>
          <cell r="T102">
            <v>0</v>
          </cell>
          <cell r="U102">
            <v>50</v>
          </cell>
          <cell r="X102">
            <v>0</v>
          </cell>
          <cell r="Y102">
            <v>0</v>
          </cell>
          <cell r="AC102">
            <v>0</v>
          </cell>
          <cell r="AD102">
            <v>0</v>
          </cell>
          <cell r="AE102">
            <v>0</v>
          </cell>
          <cell r="AF102">
            <v>0</v>
          </cell>
          <cell r="AI102">
            <v>0</v>
          </cell>
          <cell r="AJ102">
            <v>0</v>
          </cell>
          <cell r="AN102" t="e">
            <v>#REF!</v>
          </cell>
          <cell r="AP102" t="e">
            <v>#REF!</v>
          </cell>
          <cell r="AS102">
            <v>0</v>
          </cell>
        </row>
        <row r="103">
          <cell r="C103">
            <v>0</v>
          </cell>
          <cell r="N103">
            <v>0.19200000000000017</v>
          </cell>
          <cell r="P103">
            <v>-0.19200000000000017</v>
          </cell>
          <cell r="Q103">
            <v>-0.32000000000000028</v>
          </cell>
          <cell r="R103">
            <v>31</v>
          </cell>
          <cell r="S103">
            <v>31.32</v>
          </cell>
          <cell r="T103">
            <v>-0.3360000000000003</v>
          </cell>
          <cell r="U103">
            <v>130</v>
          </cell>
          <cell r="W103">
            <v>2</v>
          </cell>
          <cell r="X103">
            <v>2.3360000000000003</v>
          </cell>
          <cell r="Y103">
            <v>0.28000000000000114</v>
          </cell>
          <cell r="AB103">
            <v>10</v>
          </cell>
          <cell r="AC103">
            <v>9.7199999999999989</v>
          </cell>
          <cell r="AD103">
            <v>0.35200000000000031</v>
          </cell>
          <cell r="AE103">
            <v>0.35200000000000031</v>
          </cell>
          <cell r="AF103">
            <v>0</v>
          </cell>
          <cell r="AG103">
            <v>128</v>
          </cell>
          <cell r="AH103">
            <v>128</v>
          </cell>
          <cell r="AI103">
            <v>0</v>
          </cell>
          <cell r="AJ103">
            <v>127.648</v>
          </cell>
          <cell r="AN103">
            <v>3701.768</v>
          </cell>
          <cell r="AP103">
            <v>3702</v>
          </cell>
          <cell r="AS103">
            <v>140</v>
          </cell>
        </row>
        <row r="104">
          <cell r="C104">
            <v>0</v>
          </cell>
          <cell r="N104">
            <v>0.20800000000000018</v>
          </cell>
          <cell r="P104">
            <v>-0.20800000000000018</v>
          </cell>
          <cell r="Q104">
            <v>234.404</v>
          </cell>
          <cell r="R104">
            <v>154</v>
          </cell>
          <cell r="S104">
            <v>-80.403999999999996</v>
          </cell>
          <cell r="T104">
            <v>-0.42800000000000082</v>
          </cell>
          <cell r="U104">
            <v>3922</v>
          </cell>
          <cell r="W104">
            <v>79</v>
          </cell>
          <cell r="X104">
            <v>79.427999999999997</v>
          </cell>
          <cell r="Y104">
            <v>6.799999999999784E-2</v>
          </cell>
          <cell r="AB104">
            <v>86</v>
          </cell>
          <cell r="AC104">
            <v>85.932000000000002</v>
          </cell>
          <cell r="AD104">
            <v>0.28399999999999892</v>
          </cell>
          <cell r="AE104">
            <v>0.28399999999999892</v>
          </cell>
          <cell r="AF104">
            <v>0</v>
          </cell>
          <cell r="AG104">
            <v>30</v>
          </cell>
          <cell r="AH104">
            <v>30</v>
          </cell>
          <cell r="AI104">
            <v>0</v>
          </cell>
          <cell r="AJ104">
            <v>29.716000000000001</v>
          </cell>
          <cell r="AN104" t="e">
            <v>#REF!</v>
          </cell>
          <cell r="AP104" t="e">
            <v>#REF!</v>
          </cell>
          <cell r="AS104">
            <v>195</v>
          </cell>
        </row>
        <row r="105">
          <cell r="C105">
            <v>0</v>
          </cell>
          <cell r="N105">
            <v>0</v>
          </cell>
          <cell r="P105">
            <v>0</v>
          </cell>
          <cell r="Q105">
            <v>233.64000000000001</v>
          </cell>
          <cell r="R105">
            <v>0</v>
          </cell>
          <cell r="S105">
            <v>-233.64000000000001</v>
          </cell>
          <cell r="T105">
            <v>0</v>
          </cell>
          <cell r="U105">
            <v>261</v>
          </cell>
          <cell r="W105">
            <v>0</v>
          </cell>
          <cell r="X105">
            <v>0</v>
          </cell>
          <cell r="Y105">
            <v>0</v>
          </cell>
          <cell r="AB105">
            <v>0</v>
          </cell>
          <cell r="AC105">
            <v>0</v>
          </cell>
          <cell r="AD105">
            <v>0</v>
          </cell>
          <cell r="AE105">
            <v>0</v>
          </cell>
          <cell r="AF105">
            <v>0</v>
          </cell>
          <cell r="AI105">
            <v>0</v>
          </cell>
          <cell r="AJ105">
            <v>0</v>
          </cell>
          <cell r="AN105" t="e">
            <v>#REF!</v>
          </cell>
          <cell r="AP105" t="e">
            <v>#REF!</v>
          </cell>
          <cell r="AS105">
            <v>0</v>
          </cell>
        </row>
        <row r="106">
          <cell r="C106">
            <v>0</v>
          </cell>
          <cell r="N106">
            <v>0.20800000000000018</v>
          </cell>
          <cell r="P106">
            <v>-0.20800000000000018</v>
          </cell>
          <cell r="Q106">
            <v>-0.23600000000000065</v>
          </cell>
          <cell r="R106">
            <v>154</v>
          </cell>
          <cell r="S106">
            <v>154.23599999999999</v>
          </cell>
          <cell r="T106">
            <v>-0.42800000000000082</v>
          </cell>
          <cell r="U106">
            <v>3661</v>
          </cell>
          <cell r="W106">
            <v>79</v>
          </cell>
          <cell r="X106">
            <v>79.427999999999997</v>
          </cell>
          <cell r="Y106">
            <v>6.799999999999784E-2</v>
          </cell>
          <cell r="AB106">
            <v>86</v>
          </cell>
          <cell r="AC106">
            <v>85.932000000000002</v>
          </cell>
          <cell r="AD106">
            <v>0.28399999999999892</v>
          </cell>
          <cell r="AE106">
            <v>0.28399999999999892</v>
          </cell>
          <cell r="AF106">
            <v>0</v>
          </cell>
          <cell r="AG106">
            <v>30</v>
          </cell>
          <cell r="AH106">
            <v>30</v>
          </cell>
          <cell r="AI106">
            <v>0</v>
          </cell>
          <cell r="AJ106">
            <v>29.716000000000001</v>
          </cell>
          <cell r="AN106" t="e">
            <v>#REF!</v>
          </cell>
          <cell r="AP106" t="e">
            <v>#REF!</v>
          </cell>
          <cell r="AS106">
            <v>195</v>
          </cell>
        </row>
        <row r="107">
          <cell r="C107" t="e">
            <v>#REF!</v>
          </cell>
          <cell r="N107">
            <v>0</v>
          </cell>
          <cell r="P107">
            <v>0</v>
          </cell>
          <cell r="Q107">
            <v>526.04999999999995</v>
          </cell>
          <cell r="R107">
            <v>800</v>
          </cell>
          <cell r="S107">
            <v>273.95000000000005</v>
          </cell>
          <cell r="T107">
            <v>0</v>
          </cell>
          <cell r="U107">
            <v>-38.052597442759001</v>
          </cell>
          <cell r="V107">
            <v>-38.052597442759001</v>
          </cell>
          <cell r="W107">
            <v>0</v>
          </cell>
          <cell r="X107">
            <v>0</v>
          </cell>
          <cell r="Y107">
            <v>0</v>
          </cell>
          <cell r="AC107">
            <v>0</v>
          </cell>
          <cell r="AD107">
            <v>0</v>
          </cell>
          <cell r="AE107">
            <v>0</v>
          </cell>
          <cell r="AF107">
            <v>0</v>
          </cell>
          <cell r="AI107">
            <v>0</v>
          </cell>
          <cell r="AJ107">
            <v>0</v>
          </cell>
          <cell r="AN107" t="e">
            <v>#REF!</v>
          </cell>
          <cell r="AP107" t="e">
            <v>#REF!</v>
          </cell>
          <cell r="AQ107" t="e">
            <v>#REF!</v>
          </cell>
          <cell r="AR107" t="e">
            <v>#REF!</v>
          </cell>
          <cell r="AS107">
            <v>0</v>
          </cell>
        </row>
        <row r="108">
          <cell r="C108">
            <v>0</v>
          </cell>
          <cell r="N108">
            <v>0</v>
          </cell>
          <cell r="P108">
            <v>0</v>
          </cell>
          <cell r="Q108">
            <v>526.04999999999995</v>
          </cell>
          <cell r="R108">
            <v>800</v>
          </cell>
          <cell r="S108">
            <v>273.95000000000005</v>
          </cell>
          <cell r="T108">
            <v>0</v>
          </cell>
          <cell r="U108">
            <v>268</v>
          </cell>
          <cell r="X108">
            <v>0</v>
          </cell>
          <cell r="Y108">
            <v>0</v>
          </cell>
          <cell r="AC108">
            <v>0</v>
          </cell>
          <cell r="AD108">
            <v>0</v>
          </cell>
          <cell r="AE108">
            <v>0</v>
          </cell>
          <cell r="AF108">
            <v>0</v>
          </cell>
          <cell r="AI108">
            <v>0</v>
          </cell>
          <cell r="AJ108">
            <v>0</v>
          </cell>
          <cell r="AN108" t="e">
            <v>#REF!</v>
          </cell>
          <cell r="AP108" t="e">
            <v>#REF!</v>
          </cell>
          <cell r="AS108">
            <v>0</v>
          </cell>
        </row>
        <row r="109">
          <cell r="C109">
            <v>0</v>
          </cell>
          <cell r="N109">
            <v>0</v>
          </cell>
          <cell r="P109">
            <v>0</v>
          </cell>
          <cell r="Q109">
            <v>0</v>
          </cell>
          <cell r="S109">
            <v>0</v>
          </cell>
          <cell r="T109">
            <v>0</v>
          </cell>
          <cell r="U109">
            <v>0</v>
          </cell>
          <cell r="V109">
            <v>0</v>
          </cell>
          <cell r="W109">
            <v>0</v>
          </cell>
          <cell r="X109">
            <v>0</v>
          </cell>
          <cell r="Y109">
            <v>0</v>
          </cell>
          <cell r="AC109">
            <v>0</v>
          </cell>
          <cell r="AD109">
            <v>0</v>
          </cell>
          <cell r="AE109">
            <v>0</v>
          </cell>
          <cell r="AF109">
            <v>0</v>
          </cell>
          <cell r="AI109">
            <v>0</v>
          </cell>
          <cell r="AJ109">
            <v>0</v>
          </cell>
          <cell r="AN109" t="e">
            <v>#REF!</v>
          </cell>
          <cell r="AP109" t="e">
            <v>#REF!</v>
          </cell>
          <cell r="AQ109">
            <v>0</v>
          </cell>
          <cell r="AR109">
            <v>0</v>
          </cell>
          <cell r="AS109">
            <v>0</v>
          </cell>
        </row>
        <row r="110">
          <cell r="C110">
            <v>0</v>
          </cell>
          <cell r="N110">
            <v>0</v>
          </cell>
          <cell r="P110">
            <v>0</v>
          </cell>
          <cell r="Q110">
            <v>0</v>
          </cell>
          <cell r="S110">
            <v>0</v>
          </cell>
          <cell r="T110">
            <v>0</v>
          </cell>
          <cell r="U110">
            <v>0</v>
          </cell>
          <cell r="X110">
            <v>0</v>
          </cell>
          <cell r="Y110">
            <v>0</v>
          </cell>
          <cell r="AC110">
            <v>0</v>
          </cell>
          <cell r="AD110">
            <v>0</v>
          </cell>
          <cell r="AE110">
            <v>0</v>
          </cell>
          <cell r="AF110">
            <v>0</v>
          </cell>
          <cell r="AI110">
            <v>0</v>
          </cell>
          <cell r="AJ110">
            <v>0</v>
          </cell>
          <cell r="AN110" t="e">
            <v>#REF!</v>
          </cell>
          <cell r="AP110" t="e">
            <v>#REF!</v>
          </cell>
          <cell r="AS110">
            <v>0</v>
          </cell>
        </row>
        <row r="111">
          <cell r="C111">
            <v>0</v>
          </cell>
          <cell r="N111">
            <v>0</v>
          </cell>
          <cell r="P111">
            <v>0</v>
          </cell>
          <cell r="Q111">
            <v>0</v>
          </cell>
          <cell r="R111">
            <v>928</v>
          </cell>
          <cell r="S111">
            <v>928</v>
          </cell>
          <cell r="T111">
            <v>0</v>
          </cell>
          <cell r="U111">
            <v>1568.5</v>
          </cell>
          <cell r="W111">
            <v>366</v>
          </cell>
          <cell r="X111">
            <v>366</v>
          </cell>
          <cell r="Y111">
            <v>0</v>
          </cell>
          <cell r="AB111">
            <v>251</v>
          </cell>
          <cell r="AC111">
            <v>251</v>
          </cell>
          <cell r="AD111">
            <v>0</v>
          </cell>
          <cell r="AE111">
            <v>0</v>
          </cell>
          <cell r="AF111">
            <v>0</v>
          </cell>
          <cell r="AG111">
            <v>535</v>
          </cell>
          <cell r="AH111">
            <v>535</v>
          </cell>
          <cell r="AI111">
            <v>0</v>
          </cell>
          <cell r="AJ111">
            <v>535</v>
          </cell>
          <cell r="AN111" t="e">
            <v>#REF!</v>
          </cell>
          <cell r="AP111" t="e">
            <v>#REF!</v>
          </cell>
          <cell r="AS111">
            <v>1152</v>
          </cell>
        </row>
        <row r="112">
          <cell r="C112">
            <v>0</v>
          </cell>
          <cell r="N112">
            <v>0</v>
          </cell>
          <cell r="P112">
            <v>0</v>
          </cell>
          <cell r="Q112">
            <v>0</v>
          </cell>
          <cell r="R112">
            <v>8</v>
          </cell>
          <cell r="S112">
            <v>8</v>
          </cell>
          <cell r="T112">
            <v>0</v>
          </cell>
          <cell r="U112">
            <v>53.583333333333336</v>
          </cell>
          <cell r="W112">
            <v>57</v>
          </cell>
          <cell r="X112">
            <v>57</v>
          </cell>
          <cell r="Y112">
            <v>0</v>
          </cell>
          <cell r="AB112">
            <v>7</v>
          </cell>
          <cell r="AC112">
            <v>7</v>
          </cell>
          <cell r="AD112">
            <v>0</v>
          </cell>
          <cell r="AE112">
            <v>0</v>
          </cell>
          <cell r="AF112">
            <v>0</v>
          </cell>
          <cell r="AI112">
            <v>0</v>
          </cell>
          <cell r="AJ112">
            <v>0</v>
          </cell>
          <cell r="AN112">
            <v>19</v>
          </cell>
          <cell r="AP112">
            <v>19</v>
          </cell>
          <cell r="AS112">
            <v>64</v>
          </cell>
        </row>
        <row r="113">
          <cell r="C113">
            <v>1290</v>
          </cell>
          <cell r="N113">
            <v>0</v>
          </cell>
          <cell r="P113">
            <v>0</v>
          </cell>
          <cell r="Q113">
            <v>0</v>
          </cell>
          <cell r="S113">
            <v>0</v>
          </cell>
          <cell r="T113">
            <v>0</v>
          </cell>
          <cell r="X113">
            <v>0</v>
          </cell>
          <cell r="Y113">
            <v>0</v>
          </cell>
          <cell r="AC113">
            <v>0</v>
          </cell>
          <cell r="AD113">
            <v>0</v>
          </cell>
          <cell r="AE113">
            <v>0</v>
          </cell>
          <cell r="AF113">
            <v>0</v>
          </cell>
          <cell r="AI113">
            <v>0</v>
          </cell>
          <cell r="AJ113">
            <v>0</v>
          </cell>
          <cell r="AN113" t="e">
            <v>#REF!</v>
          </cell>
          <cell r="AP113" t="e">
            <v>#REF!</v>
          </cell>
          <cell r="AS113">
            <v>0</v>
          </cell>
        </row>
        <row r="114">
          <cell r="C114">
            <v>0</v>
          </cell>
          <cell r="P114">
            <v>0</v>
          </cell>
          <cell r="S114">
            <v>0</v>
          </cell>
          <cell r="U114" t="e">
            <v>#REF!</v>
          </cell>
          <cell r="V114" t="e">
            <v>#REF!</v>
          </cell>
          <cell r="X114">
            <v>0</v>
          </cell>
          <cell r="AC114">
            <v>0</v>
          </cell>
          <cell r="AF114">
            <v>0</v>
          </cell>
          <cell r="AI114">
            <v>0</v>
          </cell>
          <cell r="AJ114">
            <v>0</v>
          </cell>
          <cell r="AP114">
            <v>0</v>
          </cell>
          <cell r="AS114">
            <v>0</v>
          </cell>
        </row>
        <row r="115">
          <cell r="C115">
            <v>10509</v>
          </cell>
          <cell r="P115">
            <v>0</v>
          </cell>
          <cell r="S115">
            <v>0</v>
          </cell>
          <cell r="U115" t="e">
            <v>#REF!</v>
          </cell>
          <cell r="X115">
            <v>0</v>
          </cell>
          <cell r="AC115">
            <v>0</v>
          </cell>
          <cell r="AF115">
            <v>0</v>
          </cell>
          <cell r="AI115">
            <v>0</v>
          </cell>
          <cell r="AJ115">
            <v>0</v>
          </cell>
          <cell r="AP115">
            <v>10509</v>
          </cell>
          <cell r="AS115">
            <v>0</v>
          </cell>
        </row>
        <row r="116">
          <cell r="C116">
            <v>0</v>
          </cell>
          <cell r="D116">
            <v>0</v>
          </cell>
          <cell r="E116">
            <v>0</v>
          </cell>
          <cell r="N116">
            <v>0</v>
          </cell>
          <cell r="O116">
            <v>0</v>
          </cell>
          <cell r="P116">
            <v>291.25</v>
          </cell>
          <cell r="Q116">
            <v>0</v>
          </cell>
          <cell r="R116">
            <v>0</v>
          </cell>
          <cell r="S116">
            <v>1077.625</v>
          </cell>
          <cell r="T116">
            <v>0</v>
          </cell>
          <cell r="U116">
            <v>7512.0307358905739</v>
          </cell>
          <cell r="V116" t="e">
            <v>#REF!</v>
          </cell>
          <cell r="AC116">
            <v>0</v>
          </cell>
          <cell r="AD116">
            <v>0</v>
          </cell>
          <cell r="AE116">
            <v>0</v>
          </cell>
          <cell r="AF116">
            <v>0</v>
          </cell>
        </row>
        <row r="117">
          <cell r="C117" t="e">
            <v>#REF!</v>
          </cell>
          <cell r="D117">
            <v>0</v>
          </cell>
          <cell r="E117">
            <v>0</v>
          </cell>
          <cell r="N117">
            <v>0</v>
          </cell>
          <cell r="O117">
            <v>0</v>
          </cell>
          <cell r="P117">
            <v>291.25</v>
          </cell>
          <cell r="S117">
            <v>1077.625</v>
          </cell>
          <cell r="T117">
            <v>0</v>
          </cell>
          <cell r="U117">
            <v>6599.0307358905739</v>
          </cell>
        </row>
        <row r="118">
          <cell r="U118" t="e">
            <v>#REF!</v>
          </cell>
        </row>
        <row r="119">
          <cell r="P119">
            <v>0</v>
          </cell>
          <cell r="S119">
            <v>0</v>
          </cell>
          <cell r="U119">
            <v>-230.79318209931299</v>
          </cell>
          <cell r="X119">
            <v>0</v>
          </cell>
          <cell r="AC119">
            <v>0</v>
          </cell>
          <cell r="AE119" t="e">
            <v>#REF!</v>
          </cell>
          <cell r="AF119" t="e">
            <v>#REF!</v>
          </cell>
          <cell r="AI119">
            <v>0</v>
          </cell>
          <cell r="AJ119">
            <v>0</v>
          </cell>
          <cell r="AN119" t="e">
            <v>#REF!</v>
          </cell>
          <cell r="AP119">
            <v>36465</v>
          </cell>
          <cell r="AQ119" t="e">
            <v>#REF!</v>
          </cell>
          <cell r="AS119">
            <v>0</v>
          </cell>
        </row>
        <row r="120">
          <cell r="C120">
            <v>0</v>
          </cell>
          <cell r="P120">
            <v>0</v>
          </cell>
          <cell r="S120">
            <v>0</v>
          </cell>
          <cell r="U120">
            <v>-380.52597442758997</v>
          </cell>
          <cell r="V120">
            <v>6725.3341754385983</v>
          </cell>
          <cell r="W120">
            <v>-7406.8601498661901</v>
          </cell>
          <cell r="X120">
            <v>0</v>
          </cell>
          <cell r="AC120">
            <v>0</v>
          </cell>
          <cell r="AJ120">
            <v>0</v>
          </cell>
          <cell r="AN120" t="e">
            <v>#REF!</v>
          </cell>
          <cell r="AP120" t="e">
            <v>#REF!</v>
          </cell>
          <cell r="AS120">
            <v>0</v>
          </cell>
        </row>
        <row r="121">
          <cell r="C121">
            <v>11853</v>
          </cell>
          <cell r="D121">
            <v>0</v>
          </cell>
          <cell r="E121">
            <v>0</v>
          </cell>
          <cell r="N121">
            <v>0.40000000000000036</v>
          </cell>
          <cell r="O121">
            <v>0</v>
          </cell>
          <cell r="P121">
            <v>-0.40000000000000036</v>
          </cell>
          <cell r="Q121">
            <v>0</v>
          </cell>
          <cell r="R121">
            <v>1921</v>
          </cell>
          <cell r="S121">
            <v>1921</v>
          </cell>
          <cell r="T121">
            <v>-0.76400000000000112</v>
          </cell>
          <cell r="U121">
            <v>0</v>
          </cell>
          <cell r="V121">
            <v>0</v>
          </cell>
          <cell r="W121">
            <v>504</v>
          </cell>
          <cell r="X121">
            <v>504.76400000000001</v>
          </cell>
          <cell r="Y121">
            <v>0.34799999999999898</v>
          </cell>
          <cell r="Z121">
            <v>0</v>
          </cell>
          <cell r="AA121">
            <v>0</v>
          </cell>
          <cell r="AB121">
            <v>354</v>
          </cell>
          <cell r="AC121">
            <v>353.65199999999999</v>
          </cell>
          <cell r="AD121">
            <v>0.63599999999999923</v>
          </cell>
          <cell r="AE121">
            <v>0.63599999999999923</v>
          </cell>
          <cell r="AF121">
            <v>0</v>
          </cell>
          <cell r="AG121">
            <v>693</v>
          </cell>
          <cell r="AH121">
            <v>693</v>
          </cell>
          <cell r="AI121">
            <v>0</v>
          </cell>
          <cell r="AJ121">
            <v>692.36400000000003</v>
          </cell>
          <cell r="AN121" t="e">
            <v>#REF!</v>
          </cell>
          <cell r="AP121" t="e">
            <v>#REF!</v>
          </cell>
          <cell r="AU121">
            <v>0</v>
          </cell>
          <cell r="AV121">
            <v>0</v>
          </cell>
          <cell r="AW121">
            <v>0</v>
          </cell>
          <cell r="AX121">
            <v>0</v>
          </cell>
        </row>
        <row r="122">
          <cell r="C122" t="e">
            <v>#REF!</v>
          </cell>
          <cell r="D122">
            <v>0</v>
          </cell>
          <cell r="E122">
            <v>0</v>
          </cell>
          <cell r="N122">
            <v>710.9</v>
          </cell>
          <cell r="P122">
            <v>-710.9</v>
          </cell>
          <cell r="Q122">
            <v>4563.3339999999998</v>
          </cell>
          <cell r="T122">
            <v>-0.76400000000000112</v>
          </cell>
          <cell r="U122">
            <v>0</v>
          </cell>
          <cell r="V122">
            <v>0</v>
          </cell>
          <cell r="X122">
            <v>0.76400000000000112</v>
          </cell>
          <cell r="Y122">
            <v>0.34799999999999898</v>
          </cell>
          <cell r="Z122">
            <v>0</v>
          </cell>
          <cell r="AA122">
            <v>0</v>
          </cell>
          <cell r="AC122">
            <v>-0.34799999999999898</v>
          </cell>
          <cell r="AJ122">
            <v>0</v>
          </cell>
          <cell r="AN122" t="e">
            <v>#REF!</v>
          </cell>
          <cell r="AP122" t="e">
            <v>#REF!</v>
          </cell>
        </row>
        <row r="123">
          <cell r="P123">
            <v>0</v>
          </cell>
          <cell r="X123">
            <v>0</v>
          </cell>
          <cell r="AC123">
            <v>0</v>
          </cell>
          <cell r="AJ123">
            <v>0</v>
          </cell>
          <cell r="AP123" t="e">
            <v>#REF!</v>
          </cell>
        </row>
        <row r="124">
          <cell r="P124">
            <v>0</v>
          </cell>
          <cell r="X124">
            <v>0</v>
          </cell>
          <cell r="AC124">
            <v>0</v>
          </cell>
          <cell r="AJ124">
            <v>0</v>
          </cell>
          <cell r="AP124" t="e">
            <v>#REF!</v>
          </cell>
        </row>
        <row r="125">
          <cell r="P125">
            <v>0</v>
          </cell>
          <cell r="U125">
            <v>8678</v>
          </cell>
          <cell r="W125">
            <v>8678</v>
          </cell>
          <cell r="X125">
            <v>0</v>
          </cell>
          <cell r="AC125">
            <v>0</v>
          </cell>
          <cell r="AE125">
            <v>0</v>
          </cell>
          <cell r="AJ125">
            <v>0</v>
          </cell>
          <cell r="AP125" t="e">
            <v>#REF!</v>
          </cell>
          <cell r="AQ125" t="e">
            <v>#REF!</v>
          </cell>
          <cell r="AR125" t="e">
            <v>#REF!</v>
          </cell>
        </row>
        <row r="126">
          <cell r="P126">
            <v>0</v>
          </cell>
          <cell r="U126">
            <v>-7406.8601498661901</v>
          </cell>
          <cell r="X126">
            <v>0</v>
          </cell>
          <cell r="AC126">
            <v>0</v>
          </cell>
          <cell r="AJ126">
            <v>0</v>
          </cell>
        </row>
        <row r="127">
          <cell r="P127">
            <v>0</v>
          </cell>
          <cell r="U127">
            <v>30.45</v>
          </cell>
          <cell r="X127">
            <v>0</v>
          </cell>
          <cell r="AC127">
            <v>0</v>
          </cell>
          <cell r="AJ127">
            <v>0</v>
          </cell>
          <cell r="AP127" t="e">
            <v>#REF!</v>
          </cell>
          <cell r="AU127">
            <v>0</v>
          </cell>
        </row>
        <row r="128">
          <cell r="P128">
            <v>0</v>
          </cell>
          <cell r="U128">
            <v>56.44</v>
          </cell>
          <cell r="X128">
            <v>0</v>
          </cell>
          <cell r="AC128">
            <v>0</v>
          </cell>
          <cell r="AJ128">
            <v>0</v>
          </cell>
        </row>
        <row r="129">
          <cell r="P129">
            <v>0</v>
          </cell>
          <cell r="U129">
            <v>0</v>
          </cell>
          <cell r="X129">
            <v>0</v>
          </cell>
          <cell r="AC129">
            <v>0</v>
          </cell>
          <cell r="AJ129">
            <v>0</v>
          </cell>
        </row>
        <row r="130">
          <cell r="P130">
            <v>0</v>
          </cell>
          <cell r="X130">
            <v>0</v>
          </cell>
          <cell r="AC130">
            <v>0</v>
          </cell>
          <cell r="AJ130">
            <v>0</v>
          </cell>
          <cell r="AP130" t="e">
            <v>#REF!</v>
          </cell>
          <cell r="AR130" t="e">
            <v>#REF!</v>
          </cell>
          <cell r="AU130">
            <v>0</v>
          </cell>
          <cell r="AW130">
            <v>0</v>
          </cell>
        </row>
        <row r="131">
          <cell r="P131">
            <v>0</v>
          </cell>
          <cell r="U131">
            <v>8.49</v>
          </cell>
          <cell r="X131">
            <v>0</v>
          </cell>
          <cell r="AC131">
            <v>0</v>
          </cell>
          <cell r="AJ131">
            <v>0</v>
          </cell>
          <cell r="AP131" t="e">
            <v>#REF!</v>
          </cell>
          <cell r="AU131">
            <v>0</v>
          </cell>
        </row>
        <row r="132">
          <cell r="P132">
            <v>0</v>
          </cell>
          <cell r="U132">
            <v>0</v>
          </cell>
          <cell r="X132">
            <v>0</v>
          </cell>
          <cell r="AC132">
            <v>0</v>
          </cell>
          <cell r="AJ132">
            <v>0</v>
          </cell>
          <cell r="AP132" t="e">
            <v>#REF!</v>
          </cell>
          <cell r="AU132" t="e">
            <v>#DIV/0!</v>
          </cell>
        </row>
        <row r="133">
          <cell r="P133">
            <v>0</v>
          </cell>
          <cell r="T133">
            <v>0</v>
          </cell>
          <cell r="U133">
            <v>6.57</v>
          </cell>
          <cell r="X133">
            <v>0</v>
          </cell>
          <cell r="AC133">
            <v>0</v>
          </cell>
          <cell r="AJ133">
            <v>0</v>
          </cell>
          <cell r="AP133" t="e">
            <v>#REF!</v>
          </cell>
          <cell r="AU133" t="e">
            <v>#DIV/0!</v>
          </cell>
        </row>
        <row r="134">
          <cell r="P134">
            <v>0</v>
          </cell>
          <cell r="U134">
            <v>29726</v>
          </cell>
          <cell r="V134">
            <v>29726</v>
          </cell>
          <cell r="X134">
            <v>0</v>
          </cell>
          <cell r="AC134">
            <v>0</v>
          </cell>
          <cell r="AJ134">
            <v>0</v>
          </cell>
          <cell r="AP134">
            <v>0</v>
          </cell>
          <cell r="AU134">
            <v>0</v>
          </cell>
        </row>
        <row r="135">
          <cell r="P135">
            <v>0</v>
          </cell>
          <cell r="X135">
            <v>0</v>
          </cell>
          <cell r="AC135">
            <v>0</v>
          </cell>
          <cell r="AJ135">
            <v>0</v>
          </cell>
        </row>
        <row r="136">
          <cell r="P136">
            <v>0</v>
          </cell>
          <cell r="T136">
            <v>300</v>
          </cell>
          <cell r="U136">
            <v>300</v>
          </cell>
          <cell r="X136">
            <v>0</v>
          </cell>
          <cell r="AC136">
            <v>0</v>
          </cell>
          <cell r="AJ136">
            <v>0</v>
          </cell>
          <cell r="AP136">
            <v>36.19</v>
          </cell>
          <cell r="AU136" t="e">
            <v>#DIV/0!</v>
          </cell>
        </row>
        <row r="137">
          <cell r="P137">
            <v>0</v>
          </cell>
          <cell r="U137">
            <v>1</v>
          </cell>
          <cell r="X137">
            <v>0</v>
          </cell>
          <cell r="AC137">
            <v>0</v>
          </cell>
          <cell r="AJ137">
            <v>0</v>
          </cell>
        </row>
        <row r="138">
          <cell r="P138">
            <v>0</v>
          </cell>
          <cell r="X138">
            <v>0</v>
          </cell>
          <cell r="AC138">
            <v>0</v>
          </cell>
          <cell r="AJ138">
            <v>0</v>
          </cell>
          <cell r="AN138">
            <v>0</v>
          </cell>
          <cell r="AP138" t="e">
            <v>#REF!</v>
          </cell>
          <cell r="AU138" t="e">
            <v>#DIV/0!</v>
          </cell>
        </row>
        <row r="139">
          <cell r="P139">
            <v>0</v>
          </cell>
          <cell r="T139">
            <v>0</v>
          </cell>
          <cell r="U139">
            <v>38404</v>
          </cell>
          <cell r="V139">
            <v>29726</v>
          </cell>
          <cell r="W139">
            <v>8678</v>
          </cell>
          <cell r="X139">
            <v>0</v>
          </cell>
          <cell r="AC139">
            <v>0</v>
          </cell>
          <cell r="AJ139">
            <v>0</v>
          </cell>
          <cell r="AP139">
            <v>180931</v>
          </cell>
          <cell r="AQ139">
            <v>180931</v>
          </cell>
        </row>
        <row r="140">
          <cell r="C140" t="str">
            <v>коп/кВтг</v>
          </cell>
          <cell r="P140">
            <v>0</v>
          </cell>
          <cell r="U140">
            <v>0</v>
          </cell>
          <cell r="V140">
            <v>0</v>
          </cell>
          <cell r="X140">
            <v>0</v>
          </cell>
          <cell r="AC140">
            <v>0</v>
          </cell>
          <cell r="AJ140">
            <v>0</v>
          </cell>
        </row>
        <row r="141">
          <cell r="P141">
            <v>0</v>
          </cell>
          <cell r="U141">
            <v>38404</v>
          </cell>
          <cell r="V141">
            <v>29726</v>
          </cell>
          <cell r="W141">
            <v>8678</v>
          </cell>
          <cell r="X141">
            <v>0</v>
          </cell>
          <cell r="AC141">
            <v>0</v>
          </cell>
          <cell r="AJ141">
            <v>0</v>
          </cell>
          <cell r="AN141">
            <v>0</v>
          </cell>
          <cell r="AP141">
            <v>0</v>
          </cell>
        </row>
        <row r="142">
          <cell r="P142">
            <v>0</v>
          </cell>
          <cell r="Q142">
            <v>0</v>
          </cell>
          <cell r="X142">
            <v>0</v>
          </cell>
          <cell r="AC142">
            <v>0</v>
          </cell>
          <cell r="AD142">
            <v>2918</v>
          </cell>
          <cell r="AE142">
            <v>3056.6658245614035</v>
          </cell>
          <cell r="AF142">
            <v>5197.8601498661919</v>
          </cell>
          <cell r="AJ142">
            <v>0</v>
          </cell>
          <cell r="AP142">
            <v>2601</v>
          </cell>
        </row>
        <row r="143">
          <cell r="P143">
            <v>0</v>
          </cell>
          <cell r="U143">
            <v>-1</v>
          </cell>
          <cell r="V143">
            <v>29.2</v>
          </cell>
          <cell r="W143">
            <v>-46</v>
          </cell>
          <cell r="X143">
            <v>0</v>
          </cell>
          <cell r="AC143">
            <v>0</v>
          </cell>
          <cell r="AJ143">
            <v>0</v>
          </cell>
          <cell r="AN143">
            <v>0</v>
          </cell>
          <cell r="AP143" t="e">
            <v>#REF!</v>
          </cell>
          <cell r="AQ143">
            <v>180931</v>
          </cell>
          <cell r="AR143" t="e">
            <v>#REF!</v>
          </cell>
          <cell r="AU143">
            <v>0</v>
          </cell>
        </row>
        <row r="144">
          <cell r="P144">
            <v>0</v>
          </cell>
          <cell r="X144">
            <v>0</v>
          </cell>
          <cell r="AC144">
            <v>0</v>
          </cell>
          <cell r="AJ144">
            <v>0</v>
          </cell>
          <cell r="AP144">
            <v>0</v>
          </cell>
        </row>
        <row r="145">
          <cell r="C145">
            <v>0</v>
          </cell>
          <cell r="P145">
            <v>0</v>
          </cell>
          <cell r="S145">
            <v>0</v>
          </cell>
          <cell r="U145">
            <v>0</v>
          </cell>
          <cell r="X145">
            <v>0</v>
          </cell>
          <cell r="AC145">
            <v>0</v>
          </cell>
          <cell r="AJ145">
            <v>0</v>
          </cell>
          <cell r="AP145" t="e">
            <v>#REF!</v>
          </cell>
          <cell r="AQ145">
            <v>180931</v>
          </cell>
          <cell r="AR145" t="e">
            <v>#REF!</v>
          </cell>
        </row>
        <row r="146">
          <cell r="C146">
            <v>80</v>
          </cell>
          <cell r="P146">
            <v>0</v>
          </cell>
          <cell r="U146">
            <v>4402</v>
          </cell>
          <cell r="X146">
            <v>0</v>
          </cell>
          <cell r="AC146">
            <v>0</v>
          </cell>
          <cell r="AJ146">
            <v>0</v>
          </cell>
          <cell r="AU146">
            <v>21126</v>
          </cell>
          <cell r="AV146">
            <v>32127</v>
          </cell>
          <cell r="AW146">
            <v>21565.09890909091</v>
          </cell>
          <cell r="AX146" t="e">
            <v>#REF!</v>
          </cell>
        </row>
        <row r="147">
          <cell r="C147">
            <v>80</v>
          </cell>
          <cell r="P147">
            <v>0</v>
          </cell>
          <cell r="U147">
            <v>2921</v>
          </cell>
          <cell r="X147">
            <v>0</v>
          </cell>
          <cell r="AC147">
            <v>0</v>
          </cell>
          <cell r="AJ147">
            <v>0</v>
          </cell>
          <cell r="AP147" t="e">
            <v>#REF!</v>
          </cell>
          <cell r="AQ147" t="e">
            <v>#REF!</v>
          </cell>
          <cell r="AR147" t="e">
            <v>#REF!</v>
          </cell>
        </row>
        <row r="148">
          <cell r="P148">
            <v>0</v>
          </cell>
          <cell r="U148">
            <v>0</v>
          </cell>
          <cell r="X148">
            <v>0</v>
          </cell>
          <cell r="AC148">
            <v>0</v>
          </cell>
          <cell r="AJ148">
            <v>0</v>
          </cell>
        </row>
        <row r="149">
          <cell r="C149">
            <v>0</v>
          </cell>
          <cell r="N149">
            <v>0</v>
          </cell>
          <cell r="P149">
            <v>0</v>
          </cell>
          <cell r="Q149">
            <v>0</v>
          </cell>
          <cell r="T149">
            <v>0</v>
          </cell>
          <cell r="U149">
            <v>0</v>
          </cell>
          <cell r="X149">
            <v>0</v>
          </cell>
          <cell r="Y149">
            <v>0</v>
          </cell>
          <cell r="AC149">
            <v>0</v>
          </cell>
          <cell r="AJ149">
            <v>0</v>
          </cell>
          <cell r="AN149">
            <v>0</v>
          </cell>
        </row>
        <row r="150">
          <cell r="P150">
            <v>0</v>
          </cell>
          <cell r="U150">
            <v>317</v>
          </cell>
        </row>
        <row r="151">
          <cell r="C151">
            <v>916.24199999999996</v>
          </cell>
          <cell r="N151">
            <v>1295.5</v>
          </cell>
          <cell r="P151">
            <v>-1295.5</v>
          </cell>
          <cell r="Q151">
            <v>2567.7454545454548</v>
          </cell>
          <cell r="S151">
            <v>-2567.7454545454548</v>
          </cell>
          <cell r="T151">
            <v>1558.3090909090909</v>
          </cell>
          <cell r="U151">
            <v>1774.0124999999998</v>
          </cell>
          <cell r="W151">
            <v>1510</v>
          </cell>
          <cell r="X151">
            <v>-48.309090909090855</v>
          </cell>
          <cell r="Y151">
            <v>1196.7</v>
          </cell>
          <cell r="AC151">
            <v>-1196.7</v>
          </cell>
          <cell r="AD151">
            <v>1791.7636363636364</v>
          </cell>
          <cell r="AE151">
            <v>1791.7636363636364</v>
          </cell>
          <cell r="AF151">
            <v>0</v>
          </cell>
          <cell r="AG151">
            <v>1946</v>
          </cell>
          <cell r="AH151">
            <v>938</v>
          </cell>
          <cell r="AI151">
            <v>0</v>
          </cell>
          <cell r="AJ151">
            <v>154.23636363636365</v>
          </cell>
          <cell r="AN151">
            <v>197</v>
          </cell>
          <cell r="AP151">
            <v>9542.2601818181811</v>
          </cell>
        </row>
        <row r="152">
          <cell r="C152">
            <v>916.24199999999996</v>
          </cell>
          <cell r="U152">
            <v>0</v>
          </cell>
        </row>
        <row r="153">
          <cell r="C153">
            <v>80</v>
          </cell>
          <cell r="N153">
            <v>720.33333333333326</v>
          </cell>
          <cell r="O153">
            <v>272</v>
          </cell>
          <cell r="P153">
            <v>-448.33333333333326</v>
          </cell>
          <cell r="Q153">
            <v>3670.545454545455</v>
          </cell>
          <cell r="R153">
            <v>1487</v>
          </cell>
          <cell r="S153">
            <v>-2183.545454545455</v>
          </cell>
          <cell r="T153">
            <v>2210.090909090909</v>
          </cell>
          <cell r="U153">
            <v>1268</v>
          </cell>
          <cell r="V153">
            <v>942.09090909090901</v>
          </cell>
          <cell r="W153">
            <v>831</v>
          </cell>
          <cell r="X153">
            <v>-1379.090909090909</v>
          </cell>
          <cell r="Y153">
            <v>1432.090909090909</v>
          </cell>
          <cell r="Z153">
            <v>763</v>
          </cell>
          <cell r="AA153">
            <v>669.09090909090901</v>
          </cell>
          <cell r="AB153">
            <v>596</v>
          </cell>
          <cell r="AC153">
            <v>-836.09090909090901</v>
          </cell>
          <cell r="AD153">
            <v>1429.2727272727273</v>
          </cell>
          <cell r="AE153">
            <v>1429.090909090909</v>
          </cell>
          <cell r="AF153">
            <v>0.18181818181824383</v>
          </cell>
          <cell r="AG153">
            <v>437</v>
          </cell>
          <cell r="AH153">
            <v>265</v>
          </cell>
          <cell r="AI153">
            <v>0</v>
          </cell>
          <cell r="AJ153">
            <v>-992.27272727272725</v>
          </cell>
          <cell r="AN153">
            <v>0</v>
          </cell>
        </row>
        <row r="154">
          <cell r="N154">
            <v>0</v>
          </cell>
          <cell r="P154">
            <v>0</v>
          </cell>
          <cell r="Q154">
            <v>0</v>
          </cell>
          <cell r="S154">
            <v>0</v>
          </cell>
          <cell r="T154">
            <v>70</v>
          </cell>
          <cell r="X154">
            <v>-70</v>
          </cell>
          <cell r="Y154">
            <v>24</v>
          </cell>
          <cell r="AC154">
            <v>-24</v>
          </cell>
          <cell r="AJ154">
            <v>0</v>
          </cell>
          <cell r="AP154" t="e">
            <v>#REF!</v>
          </cell>
        </row>
        <row r="155">
          <cell r="N155">
            <v>0</v>
          </cell>
          <cell r="P155">
            <v>0</v>
          </cell>
          <cell r="Q155">
            <v>0</v>
          </cell>
          <cell r="S155">
            <v>0</v>
          </cell>
          <cell r="T155">
            <v>0</v>
          </cell>
          <cell r="U155">
            <v>0</v>
          </cell>
          <cell r="X155">
            <v>0</v>
          </cell>
          <cell r="Y155">
            <v>0</v>
          </cell>
          <cell r="AC155">
            <v>0</v>
          </cell>
          <cell r="AJ155">
            <v>0</v>
          </cell>
          <cell r="AP155" t="e">
            <v>#REF!</v>
          </cell>
        </row>
        <row r="156">
          <cell r="C156" t="e">
            <v>#REF!</v>
          </cell>
          <cell r="N156">
            <v>681</v>
          </cell>
          <cell r="P156">
            <v>-681</v>
          </cell>
          <cell r="Q156">
            <v>1041.8333333333333</v>
          </cell>
          <cell r="S156">
            <v>-1041.8333333333333</v>
          </cell>
          <cell r="T156">
            <v>213</v>
          </cell>
          <cell r="U156">
            <v>-578</v>
          </cell>
          <cell r="X156">
            <v>-213</v>
          </cell>
          <cell r="Y156">
            <v>1171.0035872727274</v>
          </cell>
          <cell r="AC156">
            <v>-1171.0035872727274</v>
          </cell>
          <cell r="AJ156">
            <v>0</v>
          </cell>
          <cell r="AP156" t="e">
            <v>#REF!</v>
          </cell>
        </row>
        <row r="157">
          <cell r="C157" t="e">
            <v>#REF!</v>
          </cell>
          <cell r="N157">
            <v>47</v>
          </cell>
          <cell r="P157">
            <v>-47</v>
          </cell>
          <cell r="Q157">
            <v>140</v>
          </cell>
          <cell r="S157">
            <v>-140</v>
          </cell>
          <cell r="T157">
            <v>105</v>
          </cell>
          <cell r="U157">
            <v>0</v>
          </cell>
          <cell r="X157">
            <v>-105</v>
          </cell>
          <cell r="Y157">
            <v>190</v>
          </cell>
          <cell r="AC157">
            <v>-190</v>
          </cell>
          <cell r="AJ157">
            <v>0</v>
          </cell>
          <cell r="AP157" t="e">
            <v>#REF!</v>
          </cell>
        </row>
        <row r="158">
          <cell r="C158" t="e">
            <v>#REF!</v>
          </cell>
          <cell r="N158">
            <v>1248.5</v>
          </cell>
          <cell r="O158">
            <v>0</v>
          </cell>
          <cell r="P158">
            <v>-1248.5</v>
          </cell>
          <cell r="Q158">
            <v>140</v>
          </cell>
          <cell r="S158">
            <v>-140</v>
          </cell>
          <cell r="T158" t="str">
            <v xml:space="preserve">                   КОРИГУВАННЯ   ПЛАНУ   НА   СЕРПЕНЬ  1998 р</v>
          </cell>
          <cell r="U158">
            <v>4643</v>
          </cell>
          <cell r="X158" t="e">
            <v>#VALUE!</v>
          </cell>
          <cell r="Y158">
            <v>1006.7</v>
          </cell>
          <cell r="AC158">
            <v>-1006.7</v>
          </cell>
          <cell r="AJ158">
            <v>0</v>
          </cell>
          <cell r="AP158" t="e">
            <v>#REF!</v>
          </cell>
        </row>
        <row r="159">
          <cell r="C159" t="e">
            <v>#REF!</v>
          </cell>
          <cell r="N159">
            <v>1295.5</v>
          </cell>
          <cell r="P159">
            <v>-1295.5</v>
          </cell>
          <cell r="Q159">
            <v>280</v>
          </cell>
          <cell r="S159">
            <v>-280</v>
          </cell>
          <cell r="X159">
            <v>0</v>
          </cell>
          <cell r="Y159">
            <v>1196.7</v>
          </cell>
          <cell r="AC159">
            <v>-1196.7</v>
          </cell>
          <cell r="AJ159">
            <v>0</v>
          </cell>
        </row>
        <row r="160">
          <cell r="C160">
            <v>57</v>
          </cell>
          <cell r="N160">
            <v>0</v>
          </cell>
          <cell r="O160">
            <v>250</v>
          </cell>
          <cell r="P160">
            <v>0</v>
          </cell>
          <cell r="Q160">
            <v>2287.7454545454548</v>
          </cell>
          <cell r="S160">
            <v>-2287.7454545454548</v>
          </cell>
          <cell r="X160">
            <v>0</v>
          </cell>
          <cell r="Y160">
            <v>0</v>
          </cell>
          <cell r="AC160">
            <v>0</v>
          </cell>
          <cell r="AJ160">
            <v>0</v>
          </cell>
          <cell r="AP160" t="e">
            <v>#REF!</v>
          </cell>
        </row>
        <row r="161">
          <cell r="C161" t="e">
            <v>#REF!</v>
          </cell>
          <cell r="N161" t="e">
            <v>#REF!</v>
          </cell>
          <cell r="P161" t="e">
            <v>#REF!</v>
          </cell>
          <cell r="Q161">
            <v>776</v>
          </cell>
          <cell r="S161">
            <v>-776</v>
          </cell>
          <cell r="X161">
            <v>0</v>
          </cell>
          <cell r="Y161" t="e">
            <v>#REF!</v>
          </cell>
          <cell r="AC161" t="e">
            <v>#REF!</v>
          </cell>
          <cell r="AJ161">
            <v>0</v>
          </cell>
          <cell r="AP161" t="e">
            <v>#REF!</v>
          </cell>
        </row>
        <row r="162">
          <cell r="C162">
            <v>-1273</v>
          </cell>
          <cell r="N162">
            <v>4468.6499999999996</v>
          </cell>
          <cell r="O162">
            <v>0</v>
          </cell>
          <cell r="P162">
            <v>-4468.6499999999996</v>
          </cell>
          <cell r="Q162">
            <v>1739.5839999999998</v>
          </cell>
          <cell r="R162">
            <v>800</v>
          </cell>
          <cell r="S162">
            <v>-939.58399999999983</v>
          </cell>
          <cell r="T162">
            <v>582.97</v>
          </cell>
          <cell r="U162">
            <v>0</v>
          </cell>
          <cell r="V162">
            <v>0</v>
          </cell>
          <cell r="W162">
            <v>0</v>
          </cell>
          <cell r="X162">
            <v>-582.97</v>
          </cell>
          <cell r="Y162">
            <v>1080.26</v>
          </cell>
          <cell r="Z162">
            <v>0</v>
          </cell>
          <cell r="AA162">
            <v>0</v>
          </cell>
          <cell r="AB162">
            <v>432</v>
          </cell>
          <cell r="AC162">
            <v>-648.26</v>
          </cell>
          <cell r="AD162" t="e">
            <v>#REF!</v>
          </cell>
          <cell r="AE162">
            <v>2673</v>
          </cell>
          <cell r="AF162">
            <v>1740.55</v>
          </cell>
          <cell r="AG162">
            <v>0</v>
          </cell>
          <cell r="AH162">
            <v>0</v>
          </cell>
          <cell r="AI162">
            <v>0</v>
          </cell>
          <cell r="AJ162" t="e">
            <v>#REF!</v>
          </cell>
          <cell r="AK162">
            <v>0</v>
          </cell>
          <cell r="AL162">
            <v>0</v>
          </cell>
          <cell r="AM162">
            <v>0</v>
          </cell>
          <cell r="AN162" t="e">
            <v>#REF!</v>
          </cell>
          <cell r="AO162">
            <v>1616</v>
          </cell>
          <cell r="AP162" t="e">
            <v>#REF!</v>
          </cell>
          <cell r="AS162">
            <v>2048</v>
          </cell>
        </row>
        <row r="163">
          <cell r="C163">
            <v>0</v>
          </cell>
          <cell r="N163">
            <v>0.20800000000000018</v>
          </cell>
          <cell r="O163">
            <v>0</v>
          </cell>
          <cell r="P163">
            <v>-0.20800000000000018</v>
          </cell>
          <cell r="Q163">
            <v>-0.23600000000000065</v>
          </cell>
          <cell r="R163">
            <v>154</v>
          </cell>
          <cell r="S163">
            <v>154.23599999999999</v>
          </cell>
          <cell r="T163">
            <v>-0.42800000000000082</v>
          </cell>
          <cell r="U163">
            <v>0</v>
          </cell>
          <cell r="V163">
            <v>0</v>
          </cell>
          <cell r="W163">
            <v>79</v>
          </cell>
          <cell r="X163">
            <v>79.427999999999997</v>
          </cell>
          <cell r="Y163">
            <v>6.799999999999784E-2</v>
          </cell>
          <cell r="Z163">
            <v>0</v>
          </cell>
          <cell r="AA163">
            <v>0</v>
          </cell>
          <cell r="AB163">
            <v>86</v>
          </cell>
          <cell r="AC163">
            <v>85.932000000000002</v>
          </cell>
          <cell r="AD163">
            <v>0.28399999999999892</v>
          </cell>
          <cell r="AE163">
            <v>0.28399999999999892</v>
          </cell>
          <cell r="AF163">
            <v>0</v>
          </cell>
          <cell r="AG163">
            <v>30</v>
          </cell>
          <cell r="AH163">
            <v>30</v>
          </cell>
          <cell r="AI163">
            <v>0</v>
          </cell>
          <cell r="AJ163">
            <v>29.716000000000001</v>
          </cell>
          <cell r="AK163">
            <v>0</v>
          </cell>
          <cell r="AL163">
            <v>0</v>
          </cell>
          <cell r="AM163">
            <v>0</v>
          </cell>
          <cell r="AN163" t="e">
            <v>#REF!</v>
          </cell>
          <cell r="AO163">
            <v>0</v>
          </cell>
          <cell r="AP163" t="e">
            <v>#REF!</v>
          </cell>
          <cell r="AS163">
            <v>195</v>
          </cell>
        </row>
        <row r="164">
          <cell r="C164">
            <v>1651.8969999999999</v>
          </cell>
          <cell r="N164">
            <v>5904.3327272727274</v>
          </cell>
          <cell r="O164">
            <v>2062</v>
          </cell>
          <cell r="P164">
            <v>-3842.3327272727274</v>
          </cell>
          <cell r="Q164">
            <v>13067.120909090911</v>
          </cell>
          <cell r="R164">
            <v>5523</v>
          </cell>
          <cell r="S164">
            <v>-7544.1209090909106</v>
          </cell>
          <cell r="T164">
            <v>5028.8272727272724</v>
          </cell>
          <cell r="U164">
            <v>2766</v>
          </cell>
          <cell r="V164">
            <v>2262.8272727272729</v>
          </cell>
          <cell r="W164">
            <v>2210</v>
          </cell>
          <cell r="X164">
            <v>-2818.8272727272724</v>
          </cell>
          <cell r="Y164">
            <v>4079.1272727272726</v>
          </cell>
          <cell r="Z164">
            <v>2165</v>
          </cell>
          <cell r="AA164">
            <v>1914.1272727272726</v>
          </cell>
          <cell r="AB164">
            <v>1749</v>
          </cell>
          <cell r="AC164">
            <v>-2330.1272727272726</v>
          </cell>
          <cell r="AD164">
            <v>11569.586363636365</v>
          </cell>
          <cell r="AE164">
            <v>10579.936363636363</v>
          </cell>
          <cell r="AF164">
            <v>989.65000000000077</v>
          </cell>
          <cell r="AG164">
            <v>4464</v>
          </cell>
          <cell r="AH164">
            <v>3202</v>
          </cell>
          <cell r="AI164">
            <v>427</v>
          </cell>
          <cell r="AJ164">
            <v>-7105.5863636363647</v>
          </cell>
          <cell r="AK164">
            <v>0</v>
          </cell>
          <cell r="AL164">
            <v>0</v>
          </cell>
          <cell r="AM164">
            <v>0</v>
          </cell>
          <cell r="AN164" t="e">
            <v>#REF!</v>
          </cell>
          <cell r="AO164">
            <v>0</v>
          </cell>
          <cell r="AP164" t="e">
            <v>#REF!</v>
          </cell>
          <cell r="AS164">
            <v>13703</v>
          </cell>
        </row>
        <row r="165">
          <cell r="C165">
            <v>62</v>
          </cell>
          <cell r="D165" t="str">
            <v>АПАРАТ ЕЛЕКТРО</v>
          </cell>
          <cell r="E165" t="str">
            <v>АПАРАТ ТЕПЛО</v>
          </cell>
          <cell r="N165">
            <v>120.13333333333333</v>
          </cell>
          <cell r="O165">
            <v>51</v>
          </cell>
          <cell r="P165">
            <v>-69.133333333333326</v>
          </cell>
          <cell r="Q165">
            <v>220.39999999999998</v>
          </cell>
          <cell r="R165">
            <v>62</v>
          </cell>
          <cell r="S165">
            <v>-158.39999999999998</v>
          </cell>
          <cell r="T165">
            <v>5406.8666666666668</v>
          </cell>
          <cell r="U165">
            <v>2904</v>
          </cell>
          <cell r="V165">
            <v>2502.8666666666668</v>
          </cell>
          <cell r="W165">
            <v>2464</v>
          </cell>
          <cell r="X165">
            <v>-2942.8666666666668</v>
          </cell>
          <cell r="Y165">
            <v>481.46666666666658</v>
          </cell>
          <cell r="Z165">
            <v>49</v>
          </cell>
          <cell r="AA165">
            <v>42.533333333333331</v>
          </cell>
          <cell r="AB165">
            <v>27</v>
          </cell>
          <cell r="AC165">
            <v>-454.46666666666658</v>
          </cell>
          <cell r="AD165">
            <v>135</v>
          </cell>
          <cell r="AE165">
            <v>41</v>
          </cell>
          <cell r="AF165">
            <v>94</v>
          </cell>
          <cell r="AG165">
            <v>44</v>
          </cell>
          <cell r="AH165">
            <v>15</v>
          </cell>
          <cell r="AI165">
            <v>29</v>
          </cell>
          <cell r="AJ165">
            <v>-91</v>
          </cell>
          <cell r="AK165">
            <v>0</v>
          </cell>
          <cell r="AL165">
            <v>0</v>
          </cell>
          <cell r="AM165">
            <v>0</v>
          </cell>
          <cell r="AN165">
            <v>19</v>
          </cell>
          <cell r="AO165">
            <v>0</v>
          </cell>
          <cell r="AP165">
            <v>6255.8666666666677</v>
          </cell>
          <cell r="AS165">
            <v>2610</v>
          </cell>
        </row>
        <row r="166">
          <cell r="C166">
            <v>11069.257999999996</v>
          </cell>
          <cell r="N166">
            <v>6809.2400000000071</v>
          </cell>
          <cell r="O166">
            <v>2.1435</v>
          </cell>
          <cell r="P166">
            <v>2.1435</v>
          </cell>
          <cell r="Q166">
            <v>39038.189666666673</v>
          </cell>
          <cell r="R166">
            <v>2.1435</v>
          </cell>
          <cell r="S166">
            <v>2.1435</v>
          </cell>
          <cell r="T166">
            <v>9187.6373333333177</v>
          </cell>
          <cell r="U166">
            <v>2.1435</v>
          </cell>
          <cell r="Y166">
            <v>7332.1266666666525</v>
          </cell>
          <cell r="AC166">
            <v>2.1804999999999999</v>
          </cell>
          <cell r="AD166">
            <v>2.1804999999999999</v>
          </cell>
          <cell r="AE166">
            <v>-13656.893090909089</v>
          </cell>
          <cell r="AF166">
            <v>1.905</v>
          </cell>
          <cell r="AG166">
            <v>2466</v>
          </cell>
          <cell r="AH166">
            <v>2561</v>
          </cell>
          <cell r="AN166" t="e">
            <v>#REF!</v>
          </cell>
          <cell r="AP166" t="e">
            <v>#REF!</v>
          </cell>
        </row>
        <row r="167">
          <cell r="C167" t="e">
            <v>#REF!</v>
          </cell>
          <cell r="N167">
            <v>3758.15</v>
          </cell>
        </row>
        <row r="168">
          <cell r="C168" t="e">
            <v>#REF!</v>
          </cell>
          <cell r="P168">
            <v>17.39</v>
          </cell>
          <cell r="U168">
            <v>44.3</v>
          </cell>
          <cell r="AC168">
            <v>221.49122807017542</v>
          </cell>
        </row>
        <row r="169">
          <cell r="C169" t="e">
            <v>#REF!</v>
          </cell>
          <cell r="P169">
            <v>19.82</v>
          </cell>
          <cell r="U169">
            <v>50.49</v>
          </cell>
          <cell r="AC169">
            <v>252.49999999999997</v>
          </cell>
        </row>
        <row r="170">
          <cell r="P170">
            <v>82.5</v>
          </cell>
          <cell r="S170">
            <v>82.5</v>
          </cell>
          <cell r="T170">
            <v>82.5</v>
          </cell>
          <cell r="U170">
            <v>82.5</v>
          </cell>
          <cell r="AC170">
            <v>66</v>
          </cell>
          <cell r="AV170">
            <v>1507.2</v>
          </cell>
        </row>
        <row r="171">
          <cell r="P171">
            <v>176.84</v>
          </cell>
          <cell r="U171">
            <v>176.84</v>
          </cell>
          <cell r="AC171">
            <v>143.91299999999998</v>
          </cell>
        </row>
        <row r="172">
          <cell r="P172">
            <v>3075</v>
          </cell>
          <cell r="U172">
            <v>7834</v>
          </cell>
          <cell r="AC172">
            <v>31875</v>
          </cell>
        </row>
        <row r="173">
          <cell r="C173" t="str">
            <v>АПАРАТ ВСЬОГО</v>
          </cell>
          <cell r="D173" t="str">
            <v>АПАРАТ ЕЛЕКТРО</v>
          </cell>
          <cell r="E173" t="str">
            <v>АПАРАТ ТЕПЛО</v>
          </cell>
          <cell r="N173" t="str">
            <v>ККМ</v>
          </cell>
          <cell r="Q173" t="str">
            <v>КТМ</v>
          </cell>
          <cell r="U173">
            <v>250</v>
          </cell>
          <cell r="Y173" t="str">
            <v>ТЕЦ-6 ВСЬОГО</v>
          </cell>
          <cell r="Z173" t="str">
            <v>Е/Е</v>
          </cell>
          <cell r="AA173" t="str">
            <v xml:space="preserve"> Т/Е</v>
          </cell>
          <cell r="AN173" t="str">
            <v>ДОП.ВИР. СТ.ОРГ.</v>
          </cell>
          <cell r="AP173" t="str">
            <v>АК КЕ ВСЬОГО</v>
          </cell>
          <cell r="AQ173" t="str">
            <v>Е/Е</v>
          </cell>
          <cell r="AR173" t="str">
            <v xml:space="preserve"> Т/Е</v>
          </cell>
          <cell r="AU173" t="str">
            <v>очикуваемАК КЕ ВСЬОГО</v>
          </cell>
          <cell r="AV173" t="str">
            <v>Е/Е</v>
          </cell>
          <cell r="AW173" t="str">
            <v xml:space="preserve"> Т/Е</v>
          </cell>
        </row>
        <row r="174">
          <cell r="C174">
            <v>1.895</v>
          </cell>
          <cell r="N174">
            <v>1.847</v>
          </cell>
          <cell r="P174">
            <v>31.61</v>
          </cell>
          <cell r="Q174">
            <v>1.895</v>
          </cell>
          <cell r="U174">
            <v>1.895</v>
          </cell>
          <cell r="V174">
            <v>1.895</v>
          </cell>
          <cell r="Y174">
            <v>1.895</v>
          </cell>
          <cell r="Z174">
            <v>1.895</v>
          </cell>
          <cell r="AA174">
            <v>1.895</v>
          </cell>
          <cell r="AN174">
            <v>1.895</v>
          </cell>
          <cell r="AP174">
            <v>1.895</v>
          </cell>
          <cell r="AQ174">
            <v>1.895</v>
          </cell>
          <cell r="AU174">
            <v>1.905</v>
          </cell>
          <cell r="AV174">
            <v>1.895</v>
          </cell>
        </row>
        <row r="175">
          <cell r="P175">
            <v>36</v>
          </cell>
          <cell r="U175">
            <v>91.91</v>
          </cell>
        </row>
        <row r="176">
          <cell r="P176">
            <v>63.33</v>
          </cell>
          <cell r="Q176">
            <v>132.19999999999999</v>
          </cell>
          <cell r="U176">
            <v>63.33</v>
          </cell>
          <cell r="Y176">
            <v>68.7</v>
          </cell>
          <cell r="AP176">
            <v>200.89999999999998</v>
          </cell>
          <cell r="AU176">
            <v>251.12700000000001</v>
          </cell>
        </row>
        <row r="177">
          <cell r="P177">
            <v>135.75</v>
          </cell>
          <cell r="Q177">
            <v>150.5</v>
          </cell>
          <cell r="U177">
            <v>150.5</v>
          </cell>
          <cell r="Y177">
            <v>78.3</v>
          </cell>
          <cell r="AP177">
            <v>228.8</v>
          </cell>
          <cell r="AU177">
            <v>288.28500000000003</v>
          </cell>
        </row>
        <row r="178">
          <cell r="N178">
            <v>0</v>
          </cell>
          <cell r="P178">
            <v>4291</v>
          </cell>
          <cell r="Q178">
            <v>82.5</v>
          </cell>
          <cell r="U178">
            <v>82.5</v>
          </cell>
          <cell r="Y178">
            <v>82.5</v>
          </cell>
          <cell r="AP178">
            <v>82.5</v>
          </cell>
          <cell r="AU178">
            <v>66</v>
          </cell>
        </row>
        <row r="179">
          <cell r="N179">
            <v>0</v>
          </cell>
          <cell r="Q179">
            <v>156.34</v>
          </cell>
          <cell r="U179">
            <v>156.34</v>
          </cell>
          <cell r="Y179">
            <v>156.34</v>
          </cell>
          <cell r="AP179">
            <v>156.34</v>
          </cell>
          <cell r="AU179">
            <v>125.73</v>
          </cell>
        </row>
        <row r="180">
          <cell r="P180">
            <v>4.2</v>
          </cell>
          <cell r="Q180">
            <v>20668</v>
          </cell>
          <cell r="U180">
            <v>0</v>
          </cell>
          <cell r="Y180">
            <v>10741</v>
          </cell>
          <cell r="AC180">
            <v>75.839416058394164</v>
          </cell>
          <cell r="AP180">
            <v>31409</v>
          </cell>
          <cell r="AU180">
            <v>31574</v>
          </cell>
        </row>
        <row r="181">
          <cell r="P181">
            <v>5.8</v>
          </cell>
          <cell r="U181">
            <v>11.7</v>
          </cell>
          <cell r="AC181">
            <v>103.9</v>
          </cell>
          <cell r="AP181">
            <v>31409</v>
          </cell>
          <cell r="AU181" t="e">
            <v>#REF!</v>
          </cell>
        </row>
        <row r="182">
          <cell r="C182">
            <v>75</v>
          </cell>
          <cell r="P182">
            <v>100.5</v>
          </cell>
          <cell r="Q182">
            <v>0</v>
          </cell>
          <cell r="T182">
            <v>0</v>
          </cell>
          <cell r="U182">
            <v>0</v>
          </cell>
          <cell r="Y182">
            <v>52.1</v>
          </cell>
          <cell r="AC182">
            <v>89.557440953909662</v>
          </cell>
          <cell r="AF182">
            <v>75</v>
          </cell>
          <cell r="AP182">
            <v>52.1</v>
          </cell>
          <cell r="AU182">
            <v>67.933000000000007</v>
          </cell>
        </row>
        <row r="183">
          <cell r="P183">
            <v>215.42175</v>
          </cell>
          <cell r="Q183">
            <v>0</v>
          </cell>
          <cell r="U183">
            <v>0</v>
          </cell>
          <cell r="Y183">
            <v>71.3</v>
          </cell>
          <cell r="AC183">
            <v>195.28</v>
          </cell>
          <cell r="AP183">
            <v>71.3</v>
          </cell>
          <cell r="AU183">
            <v>91.201999999999998</v>
          </cell>
        </row>
        <row r="184">
          <cell r="C184">
            <v>75</v>
          </cell>
          <cell r="N184">
            <v>75</v>
          </cell>
          <cell r="P184">
            <v>905</v>
          </cell>
          <cell r="U184">
            <v>1831</v>
          </cell>
          <cell r="AC184">
            <v>14810</v>
          </cell>
          <cell r="AN184">
            <v>0</v>
          </cell>
          <cell r="AP184">
            <v>98.96042216358839</v>
          </cell>
          <cell r="AU184">
            <v>98.96042216358839</v>
          </cell>
        </row>
        <row r="185">
          <cell r="Q185">
            <v>187.53</v>
          </cell>
          <cell r="U185">
            <v>0</v>
          </cell>
          <cell r="Y185">
            <v>187.53</v>
          </cell>
          <cell r="AP185">
            <v>187.53</v>
          </cell>
          <cell r="AU185">
            <v>187.53</v>
          </cell>
        </row>
        <row r="186">
          <cell r="N186">
            <v>55.82</v>
          </cell>
          <cell r="O186">
            <v>24.309999999999995</v>
          </cell>
          <cell r="P186">
            <v>61.620000000000005</v>
          </cell>
          <cell r="Q186">
            <v>0</v>
          </cell>
          <cell r="R186">
            <v>22.140000000000008</v>
          </cell>
          <cell r="T186">
            <v>0</v>
          </cell>
          <cell r="U186">
            <v>154.1</v>
          </cell>
          <cell r="V186">
            <v>95.3</v>
          </cell>
          <cell r="W186">
            <v>58.8</v>
          </cell>
          <cell r="Y186">
            <v>9770</v>
          </cell>
          <cell r="AC186">
            <v>356.4</v>
          </cell>
          <cell r="AD186">
            <v>74.900000000000006</v>
          </cell>
          <cell r="AE186">
            <v>281.5</v>
          </cell>
          <cell r="AP186">
            <v>9770</v>
          </cell>
          <cell r="AU186">
            <v>12739</v>
          </cell>
        </row>
        <row r="187">
          <cell r="N187">
            <v>7550</v>
          </cell>
          <cell r="O187">
            <v>3288</v>
          </cell>
          <cell r="P187">
            <v>8271</v>
          </cell>
          <cell r="Q187">
            <v>5299</v>
          </cell>
          <cell r="R187">
            <v>2972</v>
          </cell>
          <cell r="U187">
            <v>20620</v>
          </cell>
          <cell r="V187">
            <v>12849</v>
          </cell>
          <cell r="W187">
            <v>7771</v>
          </cell>
          <cell r="AC187">
            <v>46685</v>
          </cell>
          <cell r="AD187">
            <v>9811.1854657688</v>
          </cell>
          <cell r="AE187">
            <v>36873.814534231198</v>
          </cell>
          <cell r="AP187">
            <v>9770</v>
          </cell>
          <cell r="AU187" t="e">
            <v>#REF!</v>
          </cell>
        </row>
        <row r="188">
          <cell r="N188">
            <v>135.26</v>
          </cell>
          <cell r="O188">
            <v>135.25</v>
          </cell>
          <cell r="P188">
            <v>134.22999999999999</v>
          </cell>
          <cell r="Q188">
            <v>150.5</v>
          </cell>
          <cell r="R188">
            <v>134.24</v>
          </cell>
          <cell r="S188">
            <v>0</v>
          </cell>
          <cell r="T188">
            <v>0</v>
          </cell>
          <cell r="U188">
            <v>51.4</v>
          </cell>
          <cell r="V188">
            <v>-51.4</v>
          </cell>
          <cell r="W188">
            <v>132.16</v>
          </cell>
          <cell r="Y188">
            <v>149.6</v>
          </cell>
          <cell r="Z188">
            <v>52.7</v>
          </cell>
          <cell r="AA188">
            <v>96.899999999999991</v>
          </cell>
          <cell r="AC188">
            <v>130.99</v>
          </cell>
          <cell r="AD188">
            <v>130.99</v>
          </cell>
          <cell r="AE188">
            <v>130.99</v>
          </cell>
          <cell r="AF188">
            <v>0</v>
          </cell>
          <cell r="AP188">
            <v>300.10000000000002</v>
          </cell>
          <cell r="AQ188">
            <v>104.1</v>
          </cell>
          <cell r="AR188">
            <v>196</v>
          </cell>
          <cell r="AU188">
            <v>379.48700000000002</v>
          </cell>
          <cell r="AV188">
            <v>83.676000000000002</v>
          </cell>
          <cell r="AW188">
            <v>295.81100000000004</v>
          </cell>
        </row>
        <row r="189">
          <cell r="Q189">
            <v>20668</v>
          </cell>
          <cell r="T189">
            <v>0</v>
          </cell>
          <cell r="U189" t="e">
            <v>#DIV/0!</v>
          </cell>
          <cell r="V189" t="e">
            <v>#DIV/0!</v>
          </cell>
          <cell r="W189">
            <v>0</v>
          </cell>
          <cell r="Y189">
            <v>20511</v>
          </cell>
          <cell r="Z189">
            <v>7225</v>
          </cell>
          <cell r="AA189">
            <v>13286</v>
          </cell>
          <cell r="AC189">
            <v>52</v>
          </cell>
          <cell r="AD189">
            <v>52</v>
          </cell>
          <cell r="AP189" t="e">
            <v>#DIV/0!</v>
          </cell>
          <cell r="AQ189" t="e">
            <v>#DIV/0!</v>
          </cell>
          <cell r="AR189" t="e">
            <v>#DIV/0!</v>
          </cell>
          <cell r="AU189">
            <v>44313</v>
          </cell>
          <cell r="AV189">
            <v>9770.9133329995493</v>
          </cell>
          <cell r="AW189">
            <v>34542.086667000447</v>
          </cell>
        </row>
        <row r="190">
          <cell r="P190">
            <v>8271</v>
          </cell>
          <cell r="Q190">
            <v>137.33000000000001</v>
          </cell>
          <cell r="T190" t="e">
            <v>#DIV/0!</v>
          </cell>
          <cell r="U190" t="e">
            <v>#DIV/0!</v>
          </cell>
          <cell r="V190" t="e">
            <v>#DIV/0!</v>
          </cell>
          <cell r="W190">
            <v>7771</v>
          </cell>
          <cell r="Y190">
            <v>137.11000000000001</v>
          </cell>
          <cell r="Z190">
            <v>137.1</v>
          </cell>
          <cell r="AA190">
            <v>137.11000000000001</v>
          </cell>
          <cell r="AC190">
            <v>46737</v>
          </cell>
          <cell r="AD190">
            <v>9863.1854657688</v>
          </cell>
          <cell r="AE190">
            <v>36873.814534231198</v>
          </cell>
          <cell r="AN190">
            <v>0</v>
          </cell>
          <cell r="AP190" t="e">
            <v>#DIV/0!</v>
          </cell>
          <cell r="AQ190" t="e">
            <v>#DIV/0!</v>
          </cell>
          <cell r="AR190" t="e">
            <v>#DIV/0!</v>
          </cell>
          <cell r="AU190">
            <v>116.77</v>
          </cell>
          <cell r="AV190">
            <v>116.77</v>
          </cell>
          <cell r="AW190">
            <v>116.77</v>
          </cell>
        </row>
        <row r="191">
          <cell r="AP191">
            <v>0</v>
          </cell>
          <cell r="AQ191">
            <v>0</v>
          </cell>
          <cell r="AR191">
            <v>0</v>
          </cell>
          <cell r="AU191">
            <v>0</v>
          </cell>
          <cell r="AV191">
            <v>0</v>
          </cell>
          <cell r="AW191">
            <v>0</v>
          </cell>
        </row>
        <row r="192">
          <cell r="T192" t="e">
            <v>#DIV/0!</v>
          </cell>
          <cell r="Y192">
            <v>20511</v>
          </cell>
          <cell r="AP192" t="e">
            <v>#DIV/0!</v>
          </cell>
          <cell r="AQ192" t="e">
            <v>#DIV/0!</v>
          </cell>
          <cell r="AR192" t="e">
            <v>#DIV/0!</v>
          </cell>
          <cell r="AU192">
            <v>44313</v>
          </cell>
          <cell r="AV192">
            <v>9770.9133329995493</v>
          </cell>
          <cell r="AW192">
            <v>34542.086667000447</v>
          </cell>
        </row>
        <row r="194">
          <cell r="X194">
            <v>4948.1398501338099</v>
          </cell>
          <cell r="Z194">
            <v>4948.1398501338263</v>
          </cell>
          <cell r="AB194">
            <v>4948.1398501337389</v>
          </cell>
        </row>
        <row r="195">
          <cell r="T195" t="str">
            <v>ТЕЦ-5 ВСЬОГО</v>
          </cell>
          <cell r="U195" t="str">
            <v>Е/Е</v>
          </cell>
          <cell r="V195" t="str">
            <v xml:space="preserve"> Т/Е</v>
          </cell>
          <cell r="Y195" t="str">
            <v>ТЕЦ-6 ВСЬОГО</v>
          </cell>
          <cell r="Z195" t="str">
            <v>Е/Е</v>
          </cell>
          <cell r="AA195" t="str">
            <v xml:space="preserve"> Т/Е</v>
          </cell>
          <cell r="AP195" t="str">
            <v>АК КЕ ВСЬОГО</v>
          </cell>
          <cell r="AQ195" t="str">
            <v>Е/Е</v>
          </cell>
          <cell r="AR195" t="str">
            <v xml:space="preserve"> Т/Е</v>
          </cell>
        </row>
        <row r="196">
          <cell r="U196">
            <v>291.85000000000002</v>
          </cell>
          <cell r="V196">
            <v>750</v>
          </cell>
          <cell r="Z196">
            <v>268.14999999999998</v>
          </cell>
          <cell r="AA196">
            <v>590</v>
          </cell>
        </row>
        <row r="197">
          <cell r="U197">
            <v>176.1</v>
          </cell>
          <cell r="V197">
            <v>163.6</v>
          </cell>
          <cell r="Z197">
            <v>196.5</v>
          </cell>
          <cell r="AA197">
            <v>164.2</v>
          </cell>
        </row>
        <row r="198">
          <cell r="U198">
            <v>306.60000000000002</v>
          </cell>
          <cell r="V198">
            <v>112.8</v>
          </cell>
          <cell r="Z198">
            <v>301.89999999999998</v>
          </cell>
          <cell r="AA198">
            <v>116.3</v>
          </cell>
        </row>
        <row r="199">
          <cell r="U199">
            <v>130.50000000000003</v>
          </cell>
          <cell r="V199">
            <v>-50.8</v>
          </cell>
          <cell r="Z199">
            <v>105.39999999999998</v>
          </cell>
          <cell r="AA199">
            <v>-47.899999999999991</v>
          </cell>
        </row>
        <row r="200">
          <cell r="U200" t="e">
            <v>#DIV/0!</v>
          </cell>
          <cell r="V200" t="e">
            <v>#DIV/0!</v>
          </cell>
          <cell r="Z200">
            <v>137.1</v>
          </cell>
          <cell r="AA200">
            <v>137.11000000000001</v>
          </cell>
        </row>
        <row r="201">
          <cell r="U201" t="e">
            <v>#DIV/0!</v>
          </cell>
          <cell r="V201" t="e">
            <v>#DIV/0!</v>
          </cell>
          <cell r="Z201">
            <v>14.450339999999997</v>
          </cell>
          <cell r="AA201">
            <v>-6.5675689999999998</v>
          </cell>
        </row>
        <row r="202">
          <cell r="U202" t="e">
            <v>#DIV/0!</v>
          </cell>
          <cell r="V202" t="e">
            <v>#DIV/0!</v>
          </cell>
          <cell r="Z202">
            <v>3874.858670999999</v>
          </cell>
          <cell r="AA202">
            <v>-3874.86571</v>
          </cell>
          <cell r="AQ202" t="e">
            <v>#DIV/0!</v>
          </cell>
          <cell r="AR202" t="e">
            <v>#DIV/0!</v>
          </cell>
        </row>
        <row r="204">
          <cell r="AV204">
            <v>1507.2</v>
          </cell>
        </row>
        <row r="218">
          <cell r="N218" t="str">
            <v xml:space="preserve">      І.В.ПЛАЧКОВ</v>
          </cell>
          <cell r="Y218" t="str">
            <v>ЗАТВЕРДЖУЮ</v>
          </cell>
        </row>
        <row r="219">
          <cell r="Y219" t="str">
            <v>ГОЛОВА ПРАЛІННЯ АК КЕ</v>
          </cell>
        </row>
        <row r="220">
          <cell r="Z220" t="str">
            <v>І.В.ПЛАЧКОВ</v>
          </cell>
        </row>
        <row r="221">
          <cell r="C221" t="str">
            <v>ПОТРЕБА   В КОШТАХ НА  1 КВАРТАЛ 1998 року</v>
          </cell>
        </row>
        <row r="222">
          <cell r="C222" t="str">
            <v>ПО ФІЛІАЛАХ АК КИЇВЕНЕРГО</v>
          </cell>
        </row>
        <row r="224">
          <cell r="C224" t="str">
            <v>ВИКОН.ДИР.</v>
          </cell>
          <cell r="D224" t="str">
            <v>АПАРАТ ЕЛЕКТРО</v>
          </cell>
          <cell r="E224" t="str">
            <v>АПАРАТ ТЕПЛО</v>
          </cell>
          <cell r="N224" t="str">
            <v>ККМ</v>
          </cell>
          <cell r="Q224" t="str">
            <v>КТМ</v>
          </cell>
          <cell r="T224" t="str">
            <v>ТЕЦ-5 ВСЬОГО</v>
          </cell>
          <cell r="U224" t="str">
            <v>Е/Е</v>
          </cell>
          <cell r="V224" t="str">
            <v xml:space="preserve"> Т/Е</v>
          </cell>
          <cell r="Y224" t="str">
            <v>ТЕЦ-6 ВСЬОГО</v>
          </cell>
          <cell r="Z224" t="str">
            <v>Е/Е</v>
          </cell>
          <cell r="AA224" t="str">
            <v xml:space="preserve"> Т/Е</v>
          </cell>
          <cell r="AN224" t="str">
            <v>ДОП.ВИР. СТ.ОРГ.</v>
          </cell>
          <cell r="AP224" t="str">
            <v>АК КЕ ВСЬОГО</v>
          </cell>
          <cell r="AQ224" t="str">
            <v>Е/Е</v>
          </cell>
          <cell r="AR224" t="str">
            <v xml:space="preserve"> Т/Е</v>
          </cell>
          <cell r="AU224" t="str">
            <v>СТАНЦІї ЕЛЕКТРО</v>
          </cell>
          <cell r="AV224" t="str">
            <v>СТАНЦІІ ТЕПЛОВІ</v>
          </cell>
          <cell r="AW224" t="str">
            <v>МЕРЕЖІ ЕЛЕКТРО</v>
          </cell>
          <cell r="AX224" t="str">
            <v>МЕРЕЖІ ТЕПЛОВІ</v>
          </cell>
        </row>
        <row r="225">
          <cell r="C225" t="str">
            <v>ПОТРЕБА   В КОШТАХ НА  вересень 1998 року</v>
          </cell>
        </row>
        <row r="226">
          <cell r="C226" t="str">
            <v>ПО ФІЛІАЛАХ АК КИЇВЕНЕРГО</v>
          </cell>
        </row>
        <row r="227">
          <cell r="C227" t="e">
            <v>#REF!</v>
          </cell>
          <cell r="N227" t="e">
            <v>#REF!</v>
          </cell>
          <cell r="Q227">
            <v>48907.030575757584</v>
          </cell>
          <cell r="T227">
            <v>23237.121454545439</v>
          </cell>
          <cell r="Y227" t="e">
            <v>#REF!</v>
          </cell>
          <cell r="AN227" t="e">
            <v>#REF!</v>
          </cell>
          <cell r="AP227" t="e">
            <v>#REF!</v>
          </cell>
          <cell r="AQ227" t="e">
            <v>#REF!</v>
          </cell>
        </row>
        <row r="228">
          <cell r="C228" t="e">
            <v>#REF!</v>
          </cell>
          <cell r="N228" t="e">
            <v>#REF!</v>
          </cell>
          <cell r="Q228">
            <v>19259.066999999999</v>
          </cell>
          <cell r="T228">
            <v>11682.61618181817</v>
          </cell>
          <cell r="Y228" t="e">
            <v>#REF!</v>
          </cell>
          <cell r="AP228" t="e">
            <v>#REF!</v>
          </cell>
          <cell r="AQ228" t="e">
            <v>#REF!</v>
          </cell>
        </row>
        <row r="229">
          <cell r="S229" t="str">
            <v>ТИС.ГРН.</v>
          </cell>
        </row>
        <row r="230">
          <cell r="C230">
            <v>1651.8969999999999</v>
          </cell>
          <cell r="D230" t="str">
            <v>АПАРАТ ЕЛЕКТРО</v>
          </cell>
          <cell r="E230" t="str">
            <v>АПАРАТ ТЕПЛО</v>
          </cell>
          <cell r="N230">
            <v>5904.3327272727274</v>
          </cell>
          <cell r="O230" t="str">
            <v xml:space="preserve"> Т/Е</v>
          </cell>
          <cell r="P230" t="str">
            <v>ТЕЦ-6 ВСЬОГО</v>
          </cell>
          <cell r="Q230">
            <v>13067.120909090911</v>
          </cell>
          <cell r="R230" t="str">
            <v xml:space="preserve"> Т/Е</v>
          </cell>
          <cell r="S230" t="str">
            <v xml:space="preserve">ДОП.ВИР. </v>
          </cell>
          <cell r="T230">
            <v>5028.8272727272724</v>
          </cell>
          <cell r="U230" t="str">
            <v>АК КЕ ВСЬОГО</v>
          </cell>
          <cell r="V230" t="str">
            <v>Е/Е</v>
          </cell>
          <cell r="W230" t="str">
            <v xml:space="preserve"> Т/Е</v>
          </cell>
          <cell r="Y230">
            <v>4079.1272727272726</v>
          </cell>
          <cell r="AC230" t="str">
            <v>СТАНЦІї ЕЛЕКТРО</v>
          </cell>
          <cell r="AD230" t="str">
            <v>СТАНЦІІ ТЕПЛОВІ</v>
          </cell>
          <cell r="AE230" t="str">
            <v>МЕРЕЖІ ЕЛЕКТРО</v>
          </cell>
          <cell r="AF230" t="str">
            <v>МЕРЕЖІ ТЕПЛОВІ</v>
          </cell>
          <cell r="AN230" t="e">
            <v>#REF!</v>
          </cell>
          <cell r="AP230" t="e">
            <v>#REF!</v>
          </cell>
          <cell r="AQ230" t="e">
            <v>#REF!</v>
          </cell>
        </row>
        <row r="231">
          <cell r="C231">
            <v>450</v>
          </cell>
          <cell r="N231">
            <v>1670</v>
          </cell>
          <cell r="Q231">
            <v>3562</v>
          </cell>
          <cell r="T231">
            <v>1371</v>
          </cell>
          <cell r="Y231">
            <v>1113</v>
          </cell>
          <cell r="AP231" t="e">
            <v>#REF!</v>
          </cell>
          <cell r="AQ231" t="e">
            <v>#REF!</v>
          </cell>
        </row>
        <row r="232">
          <cell r="AQ232" t="e">
            <v>#REF!</v>
          </cell>
        </row>
        <row r="233">
          <cell r="C233">
            <v>0</v>
          </cell>
          <cell r="D233">
            <v>1012.3559999999998</v>
          </cell>
          <cell r="E233">
            <v>473.06800000000004</v>
          </cell>
          <cell r="N233">
            <v>0</v>
          </cell>
          <cell r="O233">
            <v>777.1754385964914</v>
          </cell>
          <cell r="P233">
            <v>2409.6737288135591</v>
          </cell>
          <cell r="Q233">
            <v>111.8</v>
          </cell>
          <cell r="R233">
            <v>796.42372881355914</v>
          </cell>
          <cell r="S233">
            <v>1077.625</v>
          </cell>
          <cell r="T233">
            <v>5107.6000000000004</v>
          </cell>
          <cell r="U233">
            <v>23976.15725132322</v>
          </cell>
          <cell r="V233" t="e">
            <v>#REF!</v>
          </cell>
          <cell r="W233">
            <v>44621.157251323224</v>
          </cell>
          <cell r="Y233">
            <v>91.533333333333331</v>
          </cell>
          <cell r="AP233">
            <v>5312.9333333333343</v>
          </cell>
          <cell r="AQ233" t="e">
            <v>#REF!</v>
          </cell>
        </row>
        <row r="234">
          <cell r="C234">
            <v>0</v>
          </cell>
          <cell r="D234">
            <v>934.35599999999977</v>
          </cell>
          <cell r="E234">
            <v>424.06800000000004</v>
          </cell>
          <cell r="N234">
            <v>0</v>
          </cell>
          <cell r="O234">
            <v>691.00000000000023</v>
          </cell>
          <cell r="P234">
            <v>733.8070175438595</v>
          </cell>
          <cell r="Q234">
            <v>0</v>
          </cell>
          <cell r="R234">
            <v>742.99999999999977</v>
          </cell>
          <cell r="S234">
            <v>605</v>
          </cell>
          <cell r="T234">
            <v>0</v>
          </cell>
          <cell r="U234">
            <v>15320.660540053519</v>
          </cell>
          <cell r="V234" t="e">
            <v>#REF!</v>
          </cell>
          <cell r="Y234">
            <v>0</v>
          </cell>
          <cell r="AP234">
            <v>19</v>
          </cell>
          <cell r="AQ234" t="e">
            <v>#REF!</v>
          </cell>
        </row>
        <row r="235">
          <cell r="C235" t="e">
            <v>#REF!</v>
          </cell>
          <cell r="N235">
            <v>0</v>
          </cell>
          <cell r="Q235">
            <v>526.04999999999995</v>
          </cell>
          <cell r="T235">
            <v>0</v>
          </cell>
          <cell r="Y235">
            <v>0</v>
          </cell>
          <cell r="AP235" t="e">
            <v>#REF!</v>
          </cell>
          <cell r="AQ235" t="e">
            <v>#REF!</v>
          </cell>
        </row>
        <row r="236">
          <cell r="C236">
            <v>7782.6740000000009</v>
          </cell>
          <cell r="D236">
            <v>934.35599999999977</v>
          </cell>
          <cell r="E236">
            <v>424.06800000000004</v>
          </cell>
          <cell r="N236">
            <v>1585</v>
          </cell>
          <cell r="O236">
            <v>691.00000000000023</v>
          </cell>
          <cell r="P236">
            <v>733.8070175438595</v>
          </cell>
          <cell r="S236">
            <v>685</v>
          </cell>
          <cell r="U236">
            <v>15689.007333333333</v>
          </cell>
          <cell r="V236">
            <v>15376.340666666665</v>
          </cell>
          <cell r="AQ236" t="e">
            <v>#REF!</v>
          </cell>
        </row>
        <row r="237">
          <cell r="C237">
            <v>-1273</v>
          </cell>
          <cell r="D237">
            <v>78</v>
          </cell>
          <cell r="E237">
            <v>49</v>
          </cell>
          <cell r="N237">
            <v>4468.6499999999996</v>
          </cell>
          <cell r="O237">
            <v>69.175438596491233</v>
          </cell>
          <cell r="P237">
            <v>431.86671126969964</v>
          </cell>
          <cell r="Q237">
            <v>1739.5839999999998</v>
          </cell>
          <cell r="R237">
            <v>35.423728813559308</v>
          </cell>
          <cell r="S237">
            <v>537.625</v>
          </cell>
          <cell r="T237">
            <v>582.97</v>
          </cell>
          <cell r="U237">
            <v>4138.4967112696995</v>
          </cell>
          <cell r="V237">
            <v>4138.4967112696995</v>
          </cell>
          <cell r="Y237">
            <v>1080.26</v>
          </cell>
          <cell r="AP237" t="e">
            <v>#REF!</v>
          </cell>
          <cell r="AQ237" t="e">
            <v>#REF!</v>
          </cell>
        </row>
        <row r="238">
          <cell r="C238">
            <v>916.24199999999996</v>
          </cell>
          <cell r="N238">
            <v>0</v>
          </cell>
          <cell r="P238">
            <v>131.12735849056605</v>
          </cell>
          <cell r="Q238">
            <v>0</v>
          </cell>
          <cell r="S238">
            <v>146.625</v>
          </cell>
          <cell r="T238">
            <v>0</v>
          </cell>
          <cell r="U238">
            <v>1220.7727272727273</v>
          </cell>
          <cell r="V238">
            <v>1231.382075471698</v>
          </cell>
          <cell r="Y238">
            <v>0</v>
          </cell>
          <cell r="AP238">
            <v>0</v>
          </cell>
          <cell r="AQ238" t="e">
            <v>#REF!</v>
          </cell>
        </row>
        <row r="239">
          <cell r="C239">
            <v>2944.9412076717231</v>
          </cell>
          <cell r="N239">
            <v>0</v>
          </cell>
          <cell r="O239">
            <v>0</v>
          </cell>
          <cell r="P239">
            <v>42</v>
          </cell>
          <cell r="Q239">
            <v>0</v>
          </cell>
          <cell r="R239">
            <v>0</v>
          </cell>
          <cell r="S239">
            <v>0</v>
          </cell>
          <cell r="T239">
            <v>0</v>
          </cell>
          <cell r="U239">
            <v>3586.2745410050566</v>
          </cell>
          <cell r="V239">
            <v>3586.2745410050566</v>
          </cell>
          <cell r="AQ239" t="e">
            <v>#REF!</v>
          </cell>
        </row>
        <row r="240">
          <cell r="C240" t="e">
            <v>#REF!</v>
          </cell>
          <cell r="N240" t="e">
            <v>#REF!</v>
          </cell>
          <cell r="P240">
            <v>12</v>
          </cell>
          <cell r="Q240">
            <v>776</v>
          </cell>
          <cell r="S240">
            <v>0</v>
          </cell>
          <cell r="T240">
            <v>0</v>
          </cell>
          <cell r="U240">
            <v>589</v>
          </cell>
          <cell r="V240">
            <v>589</v>
          </cell>
          <cell r="Y240" t="e">
            <v>#REF!</v>
          </cell>
          <cell r="AP240" t="e">
            <v>#REF!</v>
          </cell>
          <cell r="AQ240" t="e">
            <v>#REF!</v>
          </cell>
        </row>
        <row r="241">
          <cell r="C241">
            <v>1.25</v>
          </cell>
          <cell r="P241">
            <v>30</v>
          </cell>
          <cell r="S241">
            <v>0</v>
          </cell>
          <cell r="U241">
            <v>53.583333333333336</v>
          </cell>
          <cell r="V241">
            <v>53.583333333333336</v>
          </cell>
          <cell r="AC241">
            <v>6</v>
          </cell>
          <cell r="AD241">
            <v>6</v>
          </cell>
          <cell r="AE241">
            <v>12</v>
          </cell>
          <cell r="AQ241" t="e">
            <v>#REF!</v>
          </cell>
        </row>
        <row r="242">
          <cell r="C242">
            <v>-149.73279232827699</v>
          </cell>
          <cell r="U242">
            <v>-149.73279232827699</v>
          </cell>
          <cell r="V242">
            <v>-149.73279232827699</v>
          </cell>
          <cell r="AQ242" t="e">
            <v>#REF!</v>
          </cell>
        </row>
        <row r="243">
          <cell r="C243">
            <v>393</v>
          </cell>
          <cell r="N243">
            <v>924</v>
          </cell>
          <cell r="Q243">
            <v>3963.0186666666668</v>
          </cell>
          <cell r="T243">
            <v>567.25866666666661</v>
          </cell>
          <cell r="U243">
            <v>2421.3333333333335</v>
          </cell>
          <cell r="V243">
            <v>2421.3333333333335</v>
          </cell>
          <cell r="Y243">
            <v>426.22533333333331</v>
          </cell>
          <cell r="AP243">
            <v>8434.3851668093339</v>
          </cell>
          <cell r="AQ243" t="e">
            <v>#REF!</v>
          </cell>
        </row>
        <row r="244">
          <cell r="C244">
            <v>1653</v>
          </cell>
          <cell r="D244">
            <v>511.35599999999999</v>
          </cell>
          <cell r="E244">
            <v>160.73466666666667</v>
          </cell>
          <cell r="N244">
            <v>67</v>
          </cell>
          <cell r="O244">
            <v>0</v>
          </cell>
          <cell r="P244">
            <v>0</v>
          </cell>
          <cell r="Q244">
            <v>345.33333333333337</v>
          </cell>
          <cell r="R244">
            <v>0</v>
          </cell>
          <cell r="S244">
            <v>0</v>
          </cell>
          <cell r="T244">
            <v>256.62666666666667</v>
          </cell>
          <cell r="U244">
            <v>672.09066666666661</v>
          </cell>
          <cell r="V244">
            <v>672.09066666666661</v>
          </cell>
          <cell r="Y244">
            <v>253.78399999999999</v>
          </cell>
          <cell r="AP244">
            <v>2682.9412082354906</v>
          </cell>
          <cell r="AQ244" t="e">
            <v>#REF!</v>
          </cell>
        </row>
        <row r="245">
          <cell r="V245">
            <v>0</v>
          </cell>
          <cell r="AQ245" t="e">
            <v>#REF!</v>
          </cell>
        </row>
        <row r="246">
          <cell r="C246">
            <v>0</v>
          </cell>
          <cell r="N246">
            <v>1</v>
          </cell>
          <cell r="P246">
            <v>450</v>
          </cell>
          <cell r="Q246">
            <v>0</v>
          </cell>
          <cell r="S246">
            <v>406</v>
          </cell>
          <cell r="T246">
            <v>114.19266666666665</v>
          </cell>
          <cell r="U246">
            <v>4903</v>
          </cell>
          <cell r="V246">
            <v>4635</v>
          </cell>
          <cell r="Y246">
            <v>-46.472000000000008</v>
          </cell>
          <cell r="AP246">
            <v>68.720666666666645</v>
          </cell>
          <cell r="AQ246" t="e">
            <v>#REF!</v>
          </cell>
        </row>
        <row r="247">
          <cell r="C247">
            <v>13</v>
          </cell>
          <cell r="N247">
            <v>234.08600000000001</v>
          </cell>
          <cell r="P247">
            <v>1174</v>
          </cell>
          <cell r="Q247">
            <v>11619.690666666667</v>
          </cell>
          <cell r="S247">
            <v>0</v>
          </cell>
          <cell r="T247">
            <v>0</v>
          </cell>
          <cell r="U247">
            <v>2921</v>
          </cell>
          <cell r="V247">
            <v>2921</v>
          </cell>
          <cell r="Y247">
            <v>0</v>
          </cell>
          <cell r="AP247">
            <v>13936.448666666667</v>
          </cell>
          <cell r="AQ247" t="e">
            <v>#REF!</v>
          </cell>
        </row>
        <row r="248">
          <cell r="C248">
            <v>0</v>
          </cell>
          <cell r="N248">
            <v>0</v>
          </cell>
          <cell r="Q248">
            <v>0</v>
          </cell>
          <cell r="T248">
            <v>0</v>
          </cell>
          <cell r="V248">
            <v>0</v>
          </cell>
          <cell r="Y248">
            <v>0</v>
          </cell>
          <cell r="AP248">
            <v>658.33066666666662</v>
          </cell>
          <cell r="AQ248" t="e">
            <v>#REF!</v>
          </cell>
        </row>
        <row r="249">
          <cell r="C249">
            <v>988</v>
          </cell>
          <cell r="N249">
            <v>0</v>
          </cell>
          <cell r="O249">
            <v>0</v>
          </cell>
          <cell r="P249">
            <v>-100</v>
          </cell>
          <cell r="Q249">
            <v>0</v>
          </cell>
          <cell r="R249">
            <v>0</v>
          </cell>
          <cell r="S249">
            <v>0</v>
          </cell>
          <cell r="T249">
            <v>0</v>
          </cell>
          <cell r="U249">
            <v>-578</v>
          </cell>
          <cell r="V249">
            <v>-578</v>
          </cell>
          <cell r="Y249">
            <v>18</v>
          </cell>
          <cell r="AP249">
            <v>1006</v>
          </cell>
          <cell r="AQ249" t="e">
            <v>#REF!</v>
          </cell>
        </row>
        <row r="250">
          <cell r="C250">
            <v>0</v>
          </cell>
          <cell r="N250">
            <v>0.20800000000000018</v>
          </cell>
          <cell r="O250">
            <v>0</v>
          </cell>
          <cell r="P250">
            <v>0</v>
          </cell>
          <cell r="Q250">
            <v>0.76399999999998158</v>
          </cell>
          <cell r="R250">
            <v>0</v>
          </cell>
          <cell r="S250">
            <v>0</v>
          </cell>
          <cell r="T250">
            <v>-0.42800000000000082</v>
          </cell>
          <cell r="U250">
            <v>0</v>
          </cell>
          <cell r="V250">
            <v>0</v>
          </cell>
          <cell r="Y250">
            <v>6.799999999999784E-2</v>
          </cell>
          <cell r="AP250" t="e">
            <v>#REF!</v>
          </cell>
          <cell r="AQ250" t="e">
            <v>#REF!</v>
          </cell>
        </row>
        <row r="251">
          <cell r="C251">
            <v>0</v>
          </cell>
          <cell r="N251">
            <v>0.19200000000000017</v>
          </cell>
          <cell r="Q251">
            <v>-0.32000000000000028</v>
          </cell>
          <cell r="T251">
            <v>-0.3360000000000003</v>
          </cell>
          <cell r="V251">
            <v>0</v>
          </cell>
          <cell r="Y251">
            <v>0.28000000000000114</v>
          </cell>
          <cell r="AP251" t="e">
            <v>#REF!</v>
          </cell>
          <cell r="AQ251" t="e">
            <v>#REF!</v>
          </cell>
        </row>
        <row r="252">
          <cell r="C252" t="e">
            <v>#REF!</v>
          </cell>
          <cell r="N252" t="e">
            <v>#REF!</v>
          </cell>
          <cell r="P252">
            <v>6</v>
          </cell>
          <cell r="Q252">
            <v>16216.988999999998</v>
          </cell>
          <cell r="S252">
            <v>0</v>
          </cell>
          <cell r="T252">
            <v>11100.410181818164</v>
          </cell>
          <cell r="U252">
            <v>331</v>
          </cell>
          <cell r="V252">
            <v>331</v>
          </cell>
          <cell r="Y252" t="e">
            <v>#REF!</v>
          </cell>
          <cell r="AP252" t="e">
            <v>#REF!</v>
          </cell>
          <cell r="AQ252" t="e">
            <v>#REF!</v>
          </cell>
        </row>
        <row r="253">
          <cell r="C253">
            <v>200</v>
          </cell>
          <cell r="P253">
            <v>0</v>
          </cell>
          <cell r="Q253">
            <v>541</v>
          </cell>
          <cell r="S253">
            <v>0</v>
          </cell>
          <cell r="T253">
            <v>480</v>
          </cell>
          <cell r="U253">
            <v>200</v>
          </cell>
          <cell r="V253">
            <v>200</v>
          </cell>
          <cell r="Y253">
            <v>44</v>
          </cell>
          <cell r="AP253">
            <v>524</v>
          </cell>
          <cell r="AQ253" t="e">
            <v>#REF!</v>
          </cell>
        </row>
        <row r="254">
          <cell r="V254">
            <v>0</v>
          </cell>
        </row>
        <row r="255">
          <cell r="C255">
            <v>0</v>
          </cell>
          <cell r="N255">
            <v>43</v>
          </cell>
          <cell r="O255">
            <v>17</v>
          </cell>
          <cell r="P255">
            <v>50</v>
          </cell>
          <cell r="Q255">
            <v>32</v>
          </cell>
          <cell r="R255">
            <v>18</v>
          </cell>
          <cell r="S255">
            <v>0</v>
          </cell>
          <cell r="T255">
            <v>0</v>
          </cell>
          <cell r="U255">
            <v>110</v>
          </cell>
          <cell r="V255">
            <v>110</v>
          </cell>
        </row>
        <row r="256">
          <cell r="C256">
            <v>2</v>
          </cell>
          <cell r="P256">
            <v>0</v>
          </cell>
          <cell r="S256">
            <v>0</v>
          </cell>
          <cell r="U256">
            <v>366</v>
          </cell>
          <cell r="V256">
            <v>366</v>
          </cell>
        </row>
        <row r="257">
          <cell r="P257">
            <v>41</v>
          </cell>
          <cell r="U257">
            <v>556</v>
          </cell>
          <cell r="V257">
            <v>556</v>
          </cell>
        </row>
        <row r="258">
          <cell r="U258">
            <v>0</v>
          </cell>
          <cell r="V258">
            <v>0</v>
          </cell>
        </row>
        <row r="259">
          <cell r="C259">
            <v>0</v>
          </cell>
          <cell r="P259">
            <v>0</v>
          </cell>
          <cell r="S259">
            <v>0</v>
          </cell>
          <cell r="U259">
            <v>2217</v>
          </cell>
          <cell r="V259">
            <v>2217</v>
          </cell>
        </row>
        <row r="260">
          <cell r="C260">
            <v>0</v>
          </cell>
          <cell r="P260">
            <v>0</v>
          </cell>
          <cell r="S260">
            <v>0</v>
          </cell>
          <cell r="U260">
            <v>0</v>
          </cell>
          <cell r="V260">
            <v>0</v>
          </cell>
        </row>
        <row r="261">
          <cell r="C261">
            <v>0</v>
          </cell>
          <cell r="N261">
            <v>0</v>
          </cell>
          <cell r="O261">
            <v>0</v>
          </cell>
          <cell r="P261">
            <v>2</v>
          </cell>
          <cell r="Q261">
            <v>0</v>
          </cell>
          <cell r="R261">
            <v>0</v>
          </cell>
          <cell r="S261">
            <v>0</v>
          </cell>
        </row>
        <row r="262">
          <cell r="C262">
            <v>3285</v>
          </cell>
          <cell r="P262">
            <v>-14</v>
          </cell>
          <cell r="S262">
            <v>278</v>
          </cell>
          <cell r="U262">
            <v>3661</v>
          </cell>
          <cell r="V262">
            <v>3661</v>
          </cell>
        </row>
        <row r="263">
          <cell r="C263">
            <v>145</v>
          </cell>
          <cell r="P263">
            <v>31</v>
          </cell>
          <cell r="S263">
            <v>1</v>
          </cell>
          <cell r="U263">
            <v>180</v>
          </cell>
          <cell r="V263">
            <v>180</v>
          </cell>
        </row>
        <row r="264">
          <cell r="C264">
            <v>308.00000000000011</v>
          </cell>
          <cell r="D264">
            <v>934.35599999999977</v>
          </cell>
          <cell r="E264">
            <v>424.06800000000004</v>
          </cell>
          <cell r="N264">
            <v>1585</v>
          </cell>
          <cell r="O264">
            <v>691.00000000000023</v>
          </cell>
          <cell r="P264">
            <v>295.8070175438595</v>
          </cell>
          <cell r="Q264">
            <v>178</v>
          </cell>
          <cell r="R264">
            <v>99</v>
          </cell>
          <cell r="S264">
            <v>0</v>
          </cell>
          <cell r="T264">
            <v>0</v>
          </cell>
          <cell r="U264">
            <v>1603.0000000000005</v>
          </cell>
          <cell r="V264">
            <v>1558.3333333333326</v>
          </cell>
        </row>
        <row r="265">
          <cell r="C265">
            <v>5.3333333333333712</v>
          </cell>
          <cell r="N265">
            <v>61</v>
          </cell>
          <cell r="O265">
            <v>28</v>
          </cell>
          <cell r="P265">
            <v>168</v>
          </cell>
          <cell r="Q265">
            <v>108</v>
          </cell>
          <cell r="R265">
            <v>60</v>
          </cell>
          <cell r="S265">
            <v>0</v>
          </cell>
          <cell r="T265">
            <v>16</v>
          </cell>
          <cell r="U265">
            <v>405.33333333333348</v>
          </cell>
        </row>
        <row r="266">
          <cell r="C266">
            <v>0</v>
          </cell>
          <cell r="N266">
            <v>72</v>
          </cell>
          <cell r="O266">
            <v>31</v>
          </cell>
          <cell r="P266">
            <v>78</v>
          </cell>
          <cell r="Q266">
            <v>50</v>
          </cell>
          <cell r="R266">
            <v>28</v>
          </cell>
          <cell r="S266">
            <v>0</v>
          </cell>
          <cell r="T266">
            <v>51</v>
          </cell>
          <cell r="U266">
            <v>495</v>
          </cell>
        </row>
        <row r="267">
          <cell r="C267">
            <v>302.66666666666674</v>
          </cell>
          <cell r="N267">
            <v>26</v>
          </cell>
          <cell r="O267">
            <v>12</v>
          </cell>
          <cell r="P267">
            <v>29</v>
          </cell>
          <cell r="Q267">
            <v>20</v>
          </cell>
          <cell r="R267">
            <v>11</v>
          </cell>
          <cell r="S267">
            <v>0</v>
          </cell>
          <cell r="T267">
            <v>12</v>
          </cell>
          <cell r="U267">
            <v>702.66666666666697</v>
          </cell>
          <cell r="V267">
            <v>637.66666666666674</v>
          </cell>
        </row>
        <row r="268">
          <cell r="C268">
            <v>0</v>
          </cell>
          <cell r="N268">
            <v>0</v>
          </cell>
          <cell r="O268">
            <v>0</v>
          </cell>
          <cell r="P268">
            <v>0</v>
          </cell>
          <cell r="Q268">
            <v>0</v>
          </cell>
          <cell r="R268">
            <v>0</v>
          </cell>
          <cell r="S268">
            <v>0</v>
          </cell>
          <cell r="U268">
            <v>0</v>
          </cell>
          <cell r="V268">
            <v>11</v>
          </cell>
        </row>
        <row r="272">
          <cell r="N272" t="str">
            <v>Собівартість</v>
          </cell>
        </row>
        <row r="282">
          <cell r="N282" t="str">
            <v>ФМЗ ( з відрахуван)</v>
          </cell>
          <cell r="P282">
            <v>25</v>
          </cell>
        </row>
        <row r="293">
          <cell r="T293" t="str">
            <v>Собівартість</v>
          </cell>
        </row>
        <row r="294">
          <cell r="V294">
            <v>-25</v>
          </cell>
        </row>
        <row r="295">
          <cell r="V295">
            <v>-1.375</v>
          </cell>
        </row>
        <row r="296">
          <cell r="V296">
            <v>-8</v>
          </cell>
        </row>
        <row r="297">
          <cell r="V297">
            <v>-2.1590909090909096</v>
          </cell>
        </row>
        <row r="303">
          <cell r="T303" t="str">
            <v>ФМЗ ( з відрахуван)</v>
          </cell>
          <cell r="V303">
            <v>25</v>
          </cell>
        </row>
      </sheetData>
      <sheetData sheetId="37" refreshError="1">
        <row r="16">
          <cell r="AP16" t="str">
            <v>ЗАТВЕРДЖУЮ</v>
          </cell>
        </row>
        <row r="17">
          <cell r="C17" t="str">
            <v>І.В.ПЛАЧКОВ</v>
          </cell>
          <cell r="AP17" t="str">
            <v>ГОЛОВА ПРАЛІННЯ АК КЕ</v>
          </cell>
        </row>
        <row r="22">
          <cell r="AV22" t="str">
            <v>І.В.ПЛАЧКОВ</v>
          </cell>
        </row>
        <row r="29">
          <cell r="Q29" t="str">
            <v>-</v>
          </cell>
        </row>
        <row r="30">
          <cell r="C30" t="str">
            <v>ВИКОН.ДИР.ПЛАН</v>
          </cell>
          <cell r="D30" t="str">
            <v>Е/Е</v>
          </cell>
          <cell r="E30" t="str">
            <v xml:space="preserve"> Т/Е</v>
          </cell>
          <cell r="N30" t="str">
            <v xml:space="preserve">ККМ ПЛАН </v>
          </cell>
          <cell r="O30" t="str">
            <v>ЗВІТ</v>
          </cell>
          <cell r="P30" t="str">
            <v>ВІДХ.</v>
          </cell>
          <cell r="Q30" t="str">
            <v>КТМ ПЛАН</v>
          </cell>
          <cell r="R30" t="str">
            <v>ЗВІТ</v>
          </cell>
          <cell r="S30" t="str">
            <v>ВІДХ.</v>
          </cell>
          <cell r="T30" t="str">
            <v>ТЕЦ-5   ПЛАН</v>
          </cell>
          <cell r="U30" t="str">
            <v>Е/Е</v>
          </cell>
          <cell r="V30" t="str">
            <v xml:space="preserve"> Т/Е</v>
          </cell>
          <cell r="W30" t="str">
            <v>ЗВІТ</v>
          </cell>
          <cell r="X30" t="str">
            <v>ВІДХ.</v>
          </cell>
          <cell r="Y30" t="str">
            <v>ТЕЦ-6  ПЛАН</v>
          </cell>
          <cell r="Z30" t="str">
            <v>Е/Е</v>
          </cell>
          <cell r="AA30" t="str">
            <v xml:space="preserve"> Т/Е</v>
          </cell>
          <cell r="AB30" t="str">
            <v>ЗВІТ</v>
          </cell>
          <cell r="AC30" t="str">
            <v>ВІДХ.</v>
          </cell>
          <cell r="AD30" t="str">
            <v>ТРМ ВСЬОГО ПЛАН</v>
          </cell>
          <cell r="AE30" t="str">
            <v>ТРМ АК ПЛАН</v>
          </cell>
          <cell r="AF30" t="str">
            <v>ТРМ СТОР  ПЛАН</v>
          </cell>
          <cell r="AG30" t="str">
            <v>ТРМ ВСЬОГО ЗВІТ</v>
          </cell>
          <cell r="AH30" t="str">
            <v>ТРМ АК ЗВІТ</v>
          </cell>
          <cell r="AI30" t="str">
            <v>ТРМ СТОР  ЗВІТ</v>
          </cell>
          <cell r="AJ30" t="str">
            <v>відх всього</v>
          </cell>
          <cell r="AK30" t="str">
            <v>Е/Е</v>
          </cell>
          <cell r="AL30" t="str">
            <v xml:space="preserve"> Т/Е</v>
          </cell>
          <cell r="AN30" t="str">
            <v>ДОП.ВИР. ПЛАН</v>
          </cell>
          <cell r="AO30" t="str">
            <v>ЗВІТ</v>
          </cell>
          <cell r="AP30" t="str">
            <v>АК КЕ  ПЛАН</v>
          </cell>
          <cell r="AQ30" t="str">
            <v xml:space="preserve"> Е/Е</v>
          </cell>
          <cell r="AR30" t="str">
            <v xml:space="preserve"> Т/Е</v>
          </cell>
          <cell r="AS30" t="str">
            <v>ЗВІТ</v>
          </cell>
          <cell r="AT30" t="str">
            <v>відх</v>
          </cell>
          <cell r="AU30" t="str">
            <v>СТАНЦІї ЕЛЕКТРО</v>
          </cell>
          <cell r="AV30" t="str">
            <v>СТАНЦІІ ТЕПЛОВІ</v>
          </cell>
          <cell r="AW30" t="str">
            <v>МЕРЕЖІ ЕЛЕКТРО</v>
          </cell>
          <cell r="AX30" t="str">
            <v>МЕРЕЖІ ТЕПЛОВІ</v>
          </cell>
        </row>
        <row r="31">
          <cell r="U31">
            <v>330</v>
          </cell>
          <cell r="Z31">
            <v>298</v>
          </cell>
          <cell r="AQ31">
            <v>628</v>
          </cell>
        </row>
        <row r="32">
          <cell r="U32">
            <v>291.85000000000002</v>
          </cell>
          <cell r="Z32">
            <v>268.14999999999998</v>
          </cell>
          <cell r="AQ32">
            <v>560</v>
          </cell>
        </row>
        <row r="33">
          <cell r="AQ33">
            <v>0</v>
          </cell>
        </row>
        <row r="34">
          <cell r="AQ34">
            <v>0</v>
          </cell>
        </row>
        <row r="35">
          <cell r="AQ35">
            <v>32</v>
          </cell>
        </row>
        <row r="36">
          <cell r="AQ36">
            <v>0</v>
          </cell>
        </row>
        <row r="37">
          <cell r="AQ37">
            <v>500</v>
          </cell>
        </row>
        <row r="38">
          <cell r="N38">
            <v>0</v>
          </cell>
          <cell r="AQ38">
            <v>468</v>
          </cell>
        </row>
        <row r="39">
          <cell r="C39" t="e">
            <v>#REF!</v>
          </cell>
          <cell r="N39">
            <v>20486.350727272733</v>
          </cell>
          <cell r="O39">
            <v>6571</v>
          </cell>
          <cell r="P39">
            <v>-13915.350727272733</v>
          </cell>
          <cell r="Q39">
            <v>54693.999787878791</v>
          </cell>
          <cell r="R39">
            <v>23576</v>
          </cell>
          <cell r="S39">
            <v>-31117.999787878791</v>
          </cell>
          <cell r="T39">
            <v>21495.944484848496</v>
          </cell>
          <cell r="W39">
            <v>8380</v>
          </cell>
          <cell r="X39">
            <v>-13115.944484848496</v>
          </cell>
          <cell r="Y39">
            <v>27933.426181818169</v>
          </cell>
          <cell r="Z39">
            <v>7534</v>
          </cell>
          <cell r="AA39">
            <v>6566.9272727272873</v>
          </cell>
          <cell r="AB39">
            <v>5452</v>
          </cell>
          <cell r="AC39">
            <v>-22481.426181818169</v>
          </cell>
          <cell r="AD39">
            <v>31351.068666666666</v>
          </cell>
          <cell r="AG39">
            <v>8513</v>
          </cell>
          <cell r="AH39">
            <v>6481</v>
          </cell>
          <cell r="AI39">
            <v>2032</v>
          </cell>
          <cell r="AJ39">
            <v>-22838.068666666666</v>
          </cell>
          <cell r="AN39" t="e">
            <v>#REF!</v>
          </cell>
        </row>
        <row r="40">
          <cell r="C40">
            <v>13503.597000000002</v>
          </cell>
        </row>
        <row r="41">
          <cell r="C41">
            <v>1910.097</v>
          </cell>
          <cell r="D41">
            <v>443</v>
          </cell>
          <cell r="E41">
            <v>1467.097</v>
          </cell>
          <cell r="N41">
            <v>6859.9527272727273</v>
          </cell>
          <cell r="Q41">
            <v>14962.540909090911</v>
          </cell>
          <cell r="T41">
            <v>5669.5772727272724</v>
          </cell>
          <cell r="U41">
            <v>2766</v>
          </cell>
          <cell r="V41">
            <v>2903.5772727272729</v>
          </cell>
          <cell r="Y41">
            <v>4613.8872727272728</v>
          </cell>
          <cell r="Z41">
            <v>2495</v>
          </cell>
          <cell r="AA41">
            <v>2118.8872727272728</v>
          </cell>
          <cell r="AE41">
            <v>12073.936363636363</v>
          </cell>
          <cell r="AG41">
            <v>4464</v>
          </cell>
          <cell r="AH41">
            <v>3202</v>
          </cell>
          <cell r="AN41" t="e">
            <v>#REF!</v>
          </cell>
          <cell r="AR41">
            <v>5022.4645454545462</v>
          </cell>
        </row>
        <row r="42">
          <cell r="Q42">
            <v>970</v>
          </cell>
          <cell r="V42">
            <v>750</v>
          </cell>
          <cell r="AA42">
            <v>590</v>
          </cell>
          <cell r="AR42">
            <v>2095</v>
          </cell>
        </row>
        <row r="46">
          <cell r="C46">
            <v>2198</v>
          </cell>
          <cell r="D46">
            <v>327</v>
          </cell>
          <cell r="E46">
            <v>1871</v>
          </cell>
          <cell r="N46">
            <v>3078.1680000000001</v>
          </cell>
          <cell r="O46">
            <v>1204</v>
          </cell>
          <cell r="P46">
            <v>-1874.1680000000001</v>
          </cell>
          <cell r="Q46">
            <v>6265.6826666666666</v>
          </cell>
          <cell r="R46">
            <v>2125</v>
          </cell>
          <cell r="S46">
            <v>-4140.6826666666666</v>
          </cell>
          <cell r="T46">
            <v>1421.8879999999999</v>
          </cell>
          <cell r="U46">
            <v>695</v>
          </cell>
          <cell r="V46">
            <v>726.88799999999992</v>
          </cell>
          <cell r="W46">
            <v>431</v>
          </cell>
          <cell r="X46">
            <v>-990.88799999999992</v>
          </cell>
          <cell r="Y46">
            <v>1425.3940000000002</v>
          </cell>
          <cell r="Z46">
            <v>784</v>
          </cell>
          <cell r="AA46">
            <v>641.39400000000023</v>
          </cell>
          <cell r="AB46">
            <v>400</v>
          </cell>
          <cell r="AC46">
            <v>-1025.3940000000002</v>
          </cell>
          <cell r="AD46">
            <v>3412.9246666666668</v>
          </cell>
          <cell r="AE46">
            <v>2932.9300000000003</v>
          </cell>
          <cell r="AF46">
            <v>479.99466666666649</v>
          </cell>
          <cell r="AG46">
            <v>1087</v>
          </cell>
          <cell r="AH46">
            <v>292</v>
          </cell>
          <cell r="AI46">
            <v>134</v>
          </cell>
          <cell r="AJ46">
            <v>-2325.9246666666668</v>
          </cell>
          <cell r="AN46">
            <v>0</v>
          </cell>
          <cell r="AP46">
            <v>17575.782666666666</v>
          </cell>
          <cell r="AQ46">
            <v>5062.768</v>
          </cell>
          <cell r="AR46">
            <v>12513.014666666666</v>
          </cell>
          <cell r="AS46">
            <v>4452</v>
          </cell>
          <cell r="AT46">
            <v>-13123.782666666666</v>
          </cell>
          <cell r="AU46">
            <v>1479</v>
          </cell>
          <cell r="AV46">
            <v>3499</v>
          </cell>
          <cell r="AW46">
            <v>3583.768</v>
          </cell>
          <cell r="AX46">
            <v>9014.014666666666</v>
          </cell>
        </row>
        <row r="47">
          <cell r="C47">
            <v>377</v>
          </cell>
          <cell r="E47">
            <v>377</v>
          </cell>
          <cell r="N47">
            <v>1234</v>
          </cell>
          <cell r="Q47">
            <v>4713.0186666666668</v>
          </cell>
          <cell r="T47">
            <v>682.25866666666661</v>
          </cell>
          <cell r="U47">
            <v>347</v>
          </cell>
          <cell r="V47">
            <v>335.25866666666661</v>
          </cell>
          <cell r="Y47">
            <v>536.22533333333331</v>
          </cell>
          <cell r="Z47">
            <v>325</v>
          </cell>
          <cell r="AA47">
            <v>211.22533333333331</v>
          </cell>
          <cell r="AC47">
            <v>-536.22533333333331</v>
          </cell>
          <cell r="AD47">
            <v>2795.1707200000001</v>
          </cell>
          <cell r="AE47">
            <v>2874.8825001426667</v>
          </cell>
          <cell r="AP47">
            <v>10417.385166809334</v>
          </cell>
        </row>
        <row r="48">
          <cell r="C48">
            <v>0</v>
          </cell>
          <cell r="E48">
            <v>0</v>
          </cell>
          <cell r="N48">
            <v>1</v>
          </cell>
          <cell r="Q48">
            <v>0</v>
          </cell>
          <cell r="T48">
            <v>114.19266666666665</v>
          </cell>
          <cell r="U48">
            <v>48</v>
          </cell>
          <cell r="V48">
            <v>66.192666666666653</v>
          </cell>
          <cell r="Y48">
            <v>-46.472000000000008</v>
          </cell>
          <cell r="Z48">
            <v>-136</v>
          </cell>
          <cell r="AA48">
            <v>89.527999999999992</v>
          </cell>
          <cell r="AC48">
            <v>46.472000000000008</v>
          </cell>
          <cell r="AD48">
            <v>0</v>
          </cell>
          <cell r="AE48">
            <v>0</v>
          </cell>
          <cell r="AP48">
            <v>68.720666666666645</v>
          </cell>
        </row>
        <row r="49">
          <cell r="C49">
            <v>1612</v>
          </cell>
          <cell r="E49">
            <v>1612</v>
          </cell>
          <cell r="N49">
            <v>76</v>
          </cell>
          <cell r="Q49">
            <v>429.33333333333337</v>
          </cell>
          <cell r="T49">
            <v>313.62666666666667</v>
          </cell>
          <cell r="U49">
            <v>165</v>
          </cell>
          <cell r="V49">
            <v>148.62666666666667</v>
          </cell>
          <cell r="Y49">
            <v>315.78399999999999</v>
          </cell>
          <cell r="Z49">
            <v>187</v>
          </cell>
          <cell r="AA49">
            <v>128.78399999999999</v>
          </cell>
          <cell r="AC49">
            <v>-315.78399999999999</v>
          </cell>
          <cell r="AD49">
            <v>163.34026666666668</v>
          </cell>
          <cell r="AE49">
            <v>137.19720823549071</v>
          </cell>
          <cell r="AP49">
            <v>2883.9412082354906</v>
          </cell>
        </row>
        <row r="50">
          <cell r="C50">
            <v>6</v>
          </cell>
          <cell r="D50">
            <v>2</v>
          </cell>
          <cell r="E50">
            <v>4</v>
          </cell>
          <cell r="N50">
            <v>313.12400000000002</v>
          </cell>
          <cell r="O50">
            <v>121</v>
          </cell>
          <cell r="P50">
            <v>-192.12400000000002</v>
          </cell>
          <cell r="Q50">
            <v>3203.3013333333338</v>
          </cell>
          <cell r="R50">
            <v>1386</v>
          </cell>
          <cell r="S50">
            <v>-1817.3013333333338</v>
          </cell>
          <cell r="T50">
            <v>6441.0773333333327</v>
          </cell>
          <cell r="U50">
            <v>3246</v>
          </cell>
          <cell r="V50">
            <v>3195.0773333333327</v>
          </cell>
          <cell r="W50">
            <v>2636</v>
          </cell>
          <cell r="X50">
            <v>-3805.0773333333327</v>
          </cell>
          <cell r="Y50">
            <v>643.97400000000005</v>
          </cell>
          <cell r="Z50">
            <v>347</v>
          </cell>
          <cell r="AA50">
            <v>296.97400000000005</v>
          </cell>
          <cell r="AB50">
            <v>292</v>
          </cell>
          <cell r="AC50">
            <v>-351.97400000000005</v>
          </cell>
          <cell r="AD50">
            <v>1378.2906666666665</v>
          </cell>
          <cell r="AE50">
            <v>1009.72</v>
          </cell>
          <cell r="AF50">
            <v>368.57066666666651</v>
          </cell>
          <cell r="AG50">
            <v>288</v>
          </cell>
          <cell r="AH50">
            <v>601</v>
          </cell>
          <cell r="AI50">
            <v>56</v>
          </cell>
          <cell r="AJ50">
            <v>-1090.2906666666665</v>
          </cell>
          <cell r="AN50">
            <v>0</v>
          </cell>
          <cell r="AP50">
            <v>11578.596666666666</v>
          </cell>
          <cell r="AQ50">
            <v>3913.5239999999999</v>
          </cell>
          <cell r="AR50">
            <v>7665.0726666666669</v>
          </cell>
          <cell r="AS50">
            <v>5036</v>
          </cell>
          <cell r="AT50">
            <v>-6542.5966666666664</v>
          </cell>
          <cell r="AU50">
            <v>3593</v>
          </cell>
          <cell r="AV50">
            <v>4581</v>
          </cell>
          <cell r="AW50">
            <v>320.52399999999989</v>
          </cell>
          <cell r="AX50">
            <v>3084.0726666666669</v>
          </cell>
        </row>
        <row r="51">
          <cell r="C51">
            <v>0</v>
          </cell>
          <cell r="D51">
            <v>0</v>
          </cell>
          <cell r="E51">
            <v>0</v>
          </cell>
          <cell r="N51">
            <v>0</v>
          </cell>
          <cell r="P51">
            <v>0</v>
          </cell>
          <cell r="Q51">
            <v>121.8</v>
          </cell>
          <cell r="R51">
            <v>54</v>
          </cell>
          <cell r="S51">
            <v>-67.8</v>
          </cell>
          <cell r="T51">
            <v>5443.6</v>
          </cell>
          <cell r="U51">
            <v>2728</v>
          </cell>
          <cell r="V51">
            <v>2715.6000000000004</v>
          </cell>
          <cell r="W51">
            <v>2407</v>
          </cell>
          <cell r="X51">
            <v>-3036.6000000000004</v>
          </cell>
          <cell r="Y51">
            <v>104.86666666666666</v>
          </cell>
          <cell r="Z51">
            <v>57</v>
          </cell>
          <cell r="AA51">
            <v>47.86666666666666</v>
          </cell>
          <cell r="AB51">
            <v>20</v>
          </cell>
          <cell r="AC51">
            <v>-84.86666666666666</v>
          </cell>
          <cell r="AD51">
            <v>5</v>
          </cell>
          <cell r="AE51">
            <v>4</v>
          </cell>
          <cell r="AF51">
            <v>1</v>
          </cell>
          <cell r="AI51">
            <v>0</v>
          </cell>
          <cell r="AJ51">
            <v>-5</v>
          </cell>
          <cell r="AP51">
            <v>5674.2666666666673</v>
          </cell>
          <cell r="AQ51">
            <v>2785</v>
          </cell>
          <cell r="AR51">
            <v>2889.2666666666673</v>
          </cell>
          <cell r="AS51">
            <v>2481</v>
          </cell>
          <cell r="AT51">
            <v>-3193.2666666666673</v>
          </cell>
          <cell r="AU51">
            <v>2785</v>
          </cell>
          <cell r="AV51">
            <v>2805</v>
          </cell>
          <cell r="AW51">
            <v>0</v>
          </cell>
          <cell r="AX51">
            <v>84.266666666667334</v>
          </cell>
        </row>
        <row r="52">
          <cell r="C52">
            <v>0</v>
          </cell>
          <cell r="D52">
            <v>0</v>
          </cell>
          <cell r="E52">
            <v>0</v>
          </cell>
          <cell r="N52">
            <v>0</v>
          </cell>
          <cell r="P52">
            <v>0</v>
          </cell>
          <cell r="Q52">
            <v>72540</v>
          </cell>
          <cell r="R52">
            <v>61402</v>
          </cell>
          <cell r="S52">
            <v>-11138</v>
          </cell>
          <cell r="T52">
            <v>172968</v>
          </cell>
          <cell r="U52">
            <v>99161.347560975613</v>
          </cell>
          <cell r="V52">
            <v>73806.652439024387</v>
          </cell>
          <cell r="W52">
            <v>93632</v>
          </cell>
          <cell r="X52">
            <v>-79336</v>
          </cell>
          <cell r="Y52">
            <v>145979</v>
          </cell>
          <cell r="Z52">
            <v>86757.750161952048</v>
          </cell>
          <cell r="AA52">
            <v>59221.249838047952</v>
          </cell>
          <cell r="AB52">
            <v>76301</v>
          </cell>
          <cell r="AC52">
            <v>-69678</v>
          </cell>
          <cell r="AD52">
            <v>0</v>
          </cell>
          <cell r="AE52">
            <v>0</v>
          </cell>
          <cell r="AF52">
            <v>0</v>
          </cell>
          <cell r="AI52">
            <v>0</v>
          </cell>
          <cell r="AJ52">
            <v>0</v>
          </cell>
          <cell r="AN52">
            <v>0</v>
          </cell>
          <cell r="AP52">
            <v>391488</v>
          </cell>
          <cell r="AQ52">
            <v>185920.09772292766</v>
          </cell>
          <cell r="AR52">
            <v>205567.90227707234</v>
          </cell>
          <cell r="AS52">
            <v>231335</v>
          </cell>
          <cell r="AT52">
            <v>-160153</v>
          </cell>
          <cell r="AU52">
            <v>185919.09772292766</v>
          </cell>
          <cell r="AV52">
            <v>205568</v>
          </cell>
          <cell r="AW52">
            <v>1</v>
          </cell>
          <cell r="AX52">
            <v>-9.7722927661379799E-2</v>
          </cell>
        </row>
        <row r="53">
          <cell r="C53">
            <v>0</v>
          </cell>
          <cell r="D53">
            <v>0</v>
          </cell>
          <cell r="E53">
            <v>0</v>
          </cell>
          <cell r="N53">
            <v>0</v>
          </cell>
          <cell r="P53">
            <v>0</v>
          </cell>
          <cell r="Q53">
            <v>72540</v>
          </cell>
          <cell r="R53">
            <v>61402</v>
          </cell>
          <cell r="S53">
            <v>-11138</v>
          </cell>
          <cell r="T53">
            <v>172968</v>
          </cell>
          <cell r="U53">
            <v>99161.347560975613</v>
          </cell>
          <cell r="V53">
            <v>73806.652439024387</v>
          </cell>
          <cell r="W53">
            <v>93632</v>
          </cell>
          <cell r="X53">
            <v>-79336</v>
          </cell>
          <cell r="Y53">
            <v>145979</v>
          </cell>
          <cell r="Z53">
            <v>86757.750161952048</v>
          </cell>
          <cell r="AA53">
            <v>59221.249838047952</v>
          </cell>
          <cell r="AB53">
            <v>46301</v>
          </cell>
          <cell r="AC53">
            <v>-99678</v>
          </cell>
          <cell r="AD53">
            <v>0</v>
          </cell>
          <cell r="AE53">
            <v>0</v>
          </cell>
          <cell r="AF53">
            <v>0</v>
          </cell>
          <cell r="AI53">
            <v>0</v>
          </cell>
          <cell r="AJ53">
            <v>0</v>
          </cell>
          <cell r="AP53">
            <v>391487</v>
          </cell>
          <cell r="AQ53">
            <v>185919.09772292766</v>
          </cell>
          <cell r="AR53">
            <v>205567.90227707234</v>
          </cell>
          <cell r="AS53">
            <v>201335</v>
          </cell>
          <cell r="AT53">
            <v>-190152</v>
          </cell>
          <cell r="AU53">
            <v>185919.09772292766</v>
          </cell>
          <cell r="AV53">
            <v>205568</v>
          </cell>
          <cell r="AW53">
            <v>0</v>
          </cell>
          <cell r="AX53">
            <v>-9.7722927661379799E-2</v>
          </cell>
        </row>
        <row r="54">
          <cell r="C54">
            <v>0</v>
          </cell>
          <cell r="D54">
            <v>0</v>
          </cell>
          <cell r="E54">
            <v>0</v>
          </cell>
          <cell r="N54">
            <v>0</v>
          </cell>
          <cell r="P54">
            <v>0</v>
          </cell>
          <cell r="Q54">
            <v>0</v>
          </cell>
          <cell r="S54">
            <v>0</v>
          </cell>
          <cell r="T54">
            <v>0</v>
          </cell>
          <cell r="U54">
            <v>0</v>
          </cell>
          <cell r="Y54">
            <v>0</v>
          </cell>
          <cell r="Z54">
            <v>0</v>
          </cell>
          <cell r="AA54">
            <v>0</v>
          </cell>
          <cell r="AD54">
            <v>0</v>
          </cell>
          <cell r="AE54">
            <v>0</v>
          </cell>
          <cell r="AS54">
            <v>0</v>
          </cell>
          <cell r="AT54">
            <v>0</v>
          </cell>
          <cell r="AV54">
            <v>0</v>
          </cell>
        </row>
        <row r="55">
          <cell r="C55">
            <v>14</v>
          </cell>
          <cell r="D55">
            <v>6</v>
          </cell>
          <cell r="E55">
            <v>8</v>
          </cell>
          <cell r="N55">
            <v>248.08600000000001</v>
          </cell>
          <cell r="O55">
            <v>140</v>
          </cell>
          <cell r="P55">
            <v>-108.08600000000001</v>
          </cell>
          <cell r="Q55">
            <v>12039.690666666667</v>
          </cell>
          <cell r="R55">
            <v>8493</v>
          </cell>
          <cell r="S55">
            <v>-3546.6906666666673</v>
          </cell>
          <cell r="T55">
            <v>0</v>
          </cell>
          <cell r="U55">
            <v>0</v>
          </cell>
          <cell r="V55">
            <v>0</v>
          </cell>
          <cell r="X55">
            <v>0</v>
          </cell>
          <cell r="Y55">
            <v>0</v>
          </cell>
          <cell r="Z55">
            <v>0</v>
          </cell>
          <cell r="AA55">
            <v>0</v>
          </cell>
          <cell r="AB55">
            <v>0</v>
          </cell>
          <cell r="AC55">
            <v>0</v>
          </cell>
          <cell r="AD55">
            <v>5631.1900000000005</v>
          </cell>
          <cell r="AE55">
            <v>2322.672</v>
          </cell>
          <cell r="AF55">
            <v>3308.5180000000005</v>
          </cell>
          <cell r="AG55">
            <v>809</v>
          </cell>
          <cell r="AH55">
            <v>810</v>
          </cell>
          <cell r="AI55">
            <v>1225</v>
          </cell>
          <cell r="AJ55">
            <v>-4822.1900000000005</v>
          </cell>
          <cell r="AN55">
            <v>0</v>
          </cell>
          <cell r="AP55">
            <v>14624.448666666667</v>
          </cell>
          <cell r="AQ55">
            <v>254.08600000000001</v>
          </cell>
          <cell r="AR55">
            <v>14370.362666666668</v>
          </cell>
          <cell r="AS55">
            <v>9442</v>
          </cell>
          <cell r="AT55">
            <v>-5182.4486666666671</v>
          </cell>
          <cell r="AU55">
            <v>0</v>
          </cell>
          <cell r="AV55">
            <v>4093</v>
          </cell>
          <cell r="AW55">
            <v>254.08600000000001</v>
          </cell>
          <cell r="AX55">
            <v>10277.362666666668</v>
          </cell>
        </row>
        <row r="56">
          <cell r="C56">
            <v>1390.097</v>
          </cell>
          <cell r="D56">
            <v>310</v>
          </cell>
          <cell r="E56">
            <v>1080.097</v>
          </cell>
          <cell r="N56">
            <v>4321.6193939393943</v>
          </cell>
          <cell r="O56">
            <v>1303</v>
          </cell>
          <cell r="P56">
            <v>-3018.6193939393943</v>
          </cell>
          <cell r="Q56">
            <v>7790.4500000000007</v>
          </cell>
          <cell r="R56">
            <v>2369</v>
          </cell>
          <cell r="S56">
            <v>-5421.4500000000007</v>
          </cell>
          <cell r="T56">
            <v>2320.1227272727274</v>
          </cell>
          <cell r="U56">
            <v>1090</v>
          </cell>
          <cell r="V56">
            <v>1230.1227272727274</v>
          </cell>
          <cell r="W56">
            <v>745</v>
          </cell>
          <cell r="X56">
            <v>-1575.1227272727274</v>
          </cell>
          <cell r="Y56">
            <v>2183.8872727272728</v>
          </cell>
          <cell r="Z56">
            <v>1178</v>
          </cell>
          <cell r="AA56">
            <v>1005.8872727272728</v>
          </cell>
          <cell r="AB56">
            <v>662</v>
          </cell>
          <cell r="AC56">
            <v>-1521.8872727272728</v>
          </cell>
          <cell r="AD56">
            <v>8412.3463636363631</v>
          </cell>
          <cell r="AE56">
            <v>7525.8454545454542</v>
          </cell>
          <cell r="AF56">
            <v>886.50090909090886</v>
          </cell>
          <cell r="AG56">
            <v>2563</v>
          </cell>
          <cell r="AH56">
            <v>1747</v>
          </cell>
          <cell r="AI56">
            <v>306</v>
          </cell>
          <cell r="AJ56">
            <v>-5849.3463636363631</v>
          </cell>
          <cell r="AN56">
            <v>0</v>
          </cell>
          <cell r="AP56">
            <v>26303.021848484848</v>
          </cell>
          <cell r="AQ56">
            <v>7408.4375757575763</v>
          </cell>
          <cell r="AR56">
            <v>18894.584272727272</v>
          </cell>
          <cell r="AS56">
            <v>6826</v>
          </cell>
          <cell r="AT56">
            <v>-19477.021848484848</v>
          </cell>
          <cell r="AU56">
            <v>2268</v>
          </cell>
          <cell r="AV56">
            <v>4885</v>
          </cell>
          <cell r="AW56">
            <v>5140.4375757575763</v>
          </cell>
          <cell r="AX56">
            <v>14009.584272727272</v>
          </cell>
        </row>
        <row r="57">
          <cell r="C57">
            <v>76</v>
          </cell>
          <cell r="D57">
            <v>16</v>
          </cell>
          <cell r="E57">
            <v>60</v>
          </cell>
          <cell r="N57">
            <v>238</v>
          </cell>
          <cell r="O57">
            <v>70</v>
          </cell>
          <cell r="P57">
            <v>-168</v>
          </cell>
          <cell r="Q57">
            <v>429</v>
          </cell>
          <cell r="R57">
            <v>129</v>
          </cell>
          <cell r="S57">
            <v>-300</v>
          </cell>
          <cell r="T57">
            <v>127</v>
          </cell>
          <cell r="U57">
            <v>60</v>
          </cell>
          <cell r="V57">
            <v>67</v>
          </cell>
          <cell r="W57">
            <v>39</v>
          </cell>
          <cell r="X57">
            <v>-88</v>
          </cell>
          <cell r="Y57">
            <v>119</v>
          </cell>
          <cell r="Z57">
            <v>65</v>
          </cell>
          <cell r="AA57">
            <v>54</v>
          </cell>
          <cell r="AB57">
            <v>35</v>
          </cell>
          <cell r="AC57">
            <v>-84</v>
          </cell>
          <cell r="AD57">
            <v>463</v>
          </cell>
          <cell r="AE57">
            <v>413</v>
          </cell>
          <cell r="AF57">
            <v>50</v>
          </cell>
          <cell r="AG57">
            <v>136</v>
          </cell>
          <cell r="AH57">
            <v>96</v>
          </cell>
          <cell r="AI57">
            <v>18</v>
          </cell>
          <cell r="AJ57">
            <v>-327</v>
          </cell>
          <cell r="AN57">
            <v>0</v>
          </cell>
          <cell r="AP57">
            <v>1445</v>
          </cell>
          <cell r="AQ57">
            <v>407</v>
          </cell>
          <cell r="AR57">
            <v>1038</v>
          </cell>
          <cell r="AS57">
            <v>369</v>
          </cell>
          <cell r="AT57">
            <v>-1076</v>
          </cell>
          <cell r="AU57">
            <v>125</v>
          </cell>
          <cell r="AV57">
            <v>202</v>
          </cell>
          <cell r="AW57">
            <v>282</v>
          </cell>
          <cell r="AX57">
            <v>836</v>
          </cell>
        </row>
        <row r="58">
          <cell r="C58">
            <v>444</v>
          </cell>
          <cell r="D58">
            <v>117</v>
          </cell>
          <cell r="E58">
            <v>327</v>
          </cell>
          <cell r="N58">
            <v>1384</v>
          </cell>
          <cell r="O58">
            <v>417</v>
          </cell>
          <cell r="P58">
            <v>-967</v>
          </cell>
          <cell r="Q58">
            <v>2492</v>
          </cell>
          <cell r="R58">
            <v>610</v>
          </cell>
          <cell r="S58">
            <v>-1882</v>
          </cell>
          <cell r="T58">
            <v>742</v>
          </cell>
          <cell r="U58">
            <v>348</v>
          </cell>
          <cell r="V58">
            <v>394</v>
          </cell>
          <cell r="W58">
            <v>229</v>
          </cell>
          <cell r="X58">
            <v>-513</v>
          </cell>
          <cell r="Y58">
            <v>699</v>
          </cell>
          <cell r="Z58">
            <v>378</v>
          </cell>
          <cell r="AA58">
            <v>321</v>
          </cell>
          <cell r="AB58">
            <v>205</v>
          </cell>
          <cell r="AC58">
            <v>-494</v>
          </cell>
          <cell r="AD58">
            <v>2692</v>
          </cell>
          <cell r="AE58">
            <v>2408</v>
          </cell>
          <cell r="AF58">
            <v>284</v>
          </cell>
          <cell r="AG58">
            <v>793</v>
          </cell>
          <cell r="AH58">
            <v>559</v>
          </cell>
          <cell r="AI58">
            <v>103</v>
          </cell>
          <cell r="AJ58">
            <v>-1899</v>
          </cell>
          <cell r="AN58">
            <v>0</v>
          </cell>
          <cell r="AP58">
            <v>8416</v>
          </cell>
          <cell r="AQ58">
            <v>2388</v>
          </cell>
          <cell r="AR58">
            <v>6028</v>
          </cell>
          <cell r="AS58">
            <v>2021</v>
          </cell>
          <cell r="AT58">
            <v>-6395</v>
          </cell>
          <cell r="AU58">
            <v>0</v>
          </cell>
          <cell r="AV58">
            <v>0</v>
          </cell>
          <cell r="AW58">
            <v>0</v>
          </cell>
          <cell r="AX58">
            <v>0</v>
          </cell>
        </row>
        <row r="59">
          <cell r="C59">
            <v>0</v>
          </cell>
          <cell r="D59">
            <v>0</v>
          </cell>
          <cell r="E59">
            <v>0</v>
          </cell>
          <cell r="N59">
            <v>0</v>
          </cell>
          <cell r="P59">
            <v>0</v>
          </cell>
          <cell r="Q59">
            <v>0</v>
          </cell>
          <cell r="S59">
            <v>0</v>
          </cell>
          <cell r="T59">
            <v>0</v>
          </cell>
          <cell r="U59">
            <v>0</v>
          </cell>
          <cell r="V59">
            <v>0</v>
          </cell>
          <cell r="X59">
            <v>0</v>
          </cell>
          <cell r="Y59">
            <v>0</v>
          </cell>
          <cell r="Z59">
            <v>0</v>
          </cell>
          <cell r="AA59">
            <v>0</v>
          </cell>
          <cell r="AC59">
            <v>0</v>
          </cell>
          <cell r="AD59">
            <v>0</v>
          </cell>
          <cell r="AE59">
            <v>0</v>
          </cell>
          <cell r="AF59">
            <v>0</v>
          </cell>
          <cell r="AI59">
            <v>0</v>
          </cell>
          <cell r="AJ59">
            <v>0</v>
          </cell>
          <cell r="AP59">
            <v>0</v>
          </cell>
          <cell r="AQ59">
            <v>0</v>
          </cell>
          <cell r="AR59">
            <v>0</v>
          </cell>
          <cell r="AS59">
            <v>0</v>
          </cell>
          <cell r="AT59">
            <v>0</v>
          </cell>
          <cell r="AU59">
            <v>0</v>
          </cell>
          <cell r="AV59">
            <v>0</v>
          </cell>
          <cell r="AW59">
            <v>0</v>
          </cell>
          <cell r="AX59">
            <v>0</v>
          </cell>
        </row>
        <row r="60">
          <cell r="C60">
            <v>237</v>
          </cell>
          <cell r="D60">
            <v>85</v>
          </cell>
          <cell r="E60">
            <v>152</v>
          </cell>
          <cell r="N60">
            <v>4102</v>
          </cell>
          <cell r="O60">
            <v>1794</v>
          </cell>
          <cell r="P60">
            <v>-2308</v>
          </cell>
          <cell r="Q60">
            <v>8986</v>
          </cell>
          <cell r="R60">
            <v>3886</v>
          </cell>
          <cell r="S60">
            <v>-5100</v>
          </cell>
          <cell r="T60">
            <v>4817</v>
          </cell>
          <cell r="U60">
            <v>2244</v>
          </cell>
          <cell r="V60">
            <v>2573</v>
          </cell>
          <cell r="W60">
            <v>2064</v>
          </cell>
          <cell r="X60">
            <v>-2753</v>
          </cell>
          <cell r="Y60">
            <v>5046.666666666667</v>
          </cell>
          <cell r="Z60">
            <v>2612</v>
          </cell>
          <cell r="AA60">
            <v>2434.666666666667</v>
          </cell>
          <cell r="AB60">
            <v>2209</v>
          </cell>
          <cell r="AC60">
            <v>-2837.666666666667</v>
          </cell>
          <cell r="AD60">
            <v>4355.666666666667</v>
          </cell>
          <cell r="AE60">
            <v>4204.3333333333339</v>
          </cell>
          <cell r="AF60">
            <v>151.33333333333303</v>
          </cell>
          <cell r="AG60">
            <v>1641</v>
          </cell>
          <cell r="AH60">
            <v>1265</v>
          </cell>
          <cell r="AI60">
            <v>155</v>
          </cell>
          <cell r="AJ60">
            <v>-2714.666666666667</v>
          </cell>
          <cell r="AN60">
            <v>0</v>
          </cell>
          <cell r="AP60">
            <v>27369</v>
          </cell>
          <cell r="AQ60">
            <v>9071</v>
          </cell>
          <cell r="AR60">
            <v>18298</v>
          </cell>
          <cell r="AS60">
            <v>11218</v>
          </cell>
          <cell r="AT60">
            <v>-16151</v>
          </cell>
          <cell r="AU60">
            <v>4856</v>
          </cell>
          <cell r="AV60">
            <v>8063</v>
          </cell>
          <cell r="AW60">
            <v>4215</v>
          </cell>
          <cell r="AX60">
            <v>10235</v>
          </cell>
        </row>
        <row r="61">
          <cell r="C61">
            <v>0</v>
          </cell>
          <cell r="D61">
            <v>0</v>
          </cell>
          <cell r="E61">
            <v>0</v>
          </cell>
          <cell r="N61">
            <v>0</v>
          </cell>
          <cell r="P61">
            <v>0</v>
          </cell>
          <cell r="Q61">
            <v>0</v>
          </cell>
          <cell r="S61">
            <v>0</v>
          </cell>
          <cell r="T61">
            <v>0</v>
          </cell>
          <cell r="U61">
            <v>0</v>
          </cell>
          <cell r="X61">
            <v>0</v>
          </cell>
          <cell r="Y61">
            <v>0</v>
          </cell>
          <cell r="Z61">
            <v>0</v>
          </cell>
          <cell r="AA61">
            <v>0</v>
          </cell>
          <cell r="AC61">
            <v>0</v>
          </cell>
          <cell r="AD61">
            <v>0</v>
          </cell>
          <cell r="AE61">
            <v>0</v>
          </cell>
          <cell r="AF61">
            <v>0</v>
          </cell>
          <cell r="AG61">
            <v>0</v>
          </cell>
          <cell r="AH61">
            <v>126</v>
          </cell>
          <cell r="AI61">
            <v>0</v>
          </cell>
          <cell r="AJ61">
            <v>0</v>
          </cell>
          <cell r="AP61">
            <v>0</v>
          </cell>
          <cell r="AS61">
            <v>126</v>
          </cell>
          <cell r="AT61">
            <v>126</v>
          </cell>
        </row>
        <row r="62">
          <cell r="C62">
            <v>252</v>
          </cell>
          <cell r="D62">
            <v>76</v>
          </cell>
          <cell r="E62">
            <v>176</v>
          </cell>
          <cell r="N62">
            <v>4222.1499999999996</v>
          </cell>
          <cell r="P62">
            <v>-4222.1499999999996</v>
          </cell>
          <cell r="Q62">
            <v>8235.8940000000002</v>
          </cell>
          <cell r="S62">
            <v>-8235.8940000000002</v>
          </cell>
          <cell r="T62">
            <v>667.97</v>
          </cell>
          <cell r="U62">
            <v>53</v>
          </cell>
          <cell r="X62">
            <v>-667.97</v>
          </cell>
          <cell r="Y62">
            <v>1140.26</v>
          </cell>
          <cell r="Z62">
            <v>65</v>
          </cell>
          <cell r="AA62">
            <v>1075.26</v>
          </cell>
          <cell r="AC62">
            <v>-1140.26</v>
          </cell>
          <cell r="AD62">
            <v>1769</v>
          </cell>
          <cell r="AE62">
            <v>1769</v>
          </cell>
          <cell r="AF62">
            <v>0</v>
          </cell>
          <cell r="AI62">
            <v>0</v>
          </cell>
          <cell r="AJ62">
            <v>-1769</v>
          </cell>
          <cell r="AP62">
            <v>16300.273999999999</v>
          </cell>
          <cell r="AQ62">
            <v>4429.1499999999996</v>
          </cell>
          <cell r="AR62">
            <v>11871.124</v>
          </cell>
          <cell r="AS62">
            <v>0</v>
          </cell>
          <cell r="AT62">
            <v>-16300.273999999999</v>
          </cell>
          <cell r="AV62">
            <v>3340</v>
          </cell>
        </row>
        <row r="63">
          <cell r="C63">
            <v>0</v>
          </cell>
          <cell r="D63">
            <v>0</v>
          </cell>
          <cell r="E63">
            <v>0</v>
          </cell>
          <cell r="N63">
            <v>0</v>
          </cell>
          <cell r="P63">
            <v>0</v>
          </cell>
          <cell r="Q63">
            <v>0</v>
          </cell>
          <cell r="S63">
            <v>0</v>
          </cell>
          <cell r="T63">
            <v>0</v>
          </cell>
          <cell r="U63">
            <v>0</v>
          </cell>
          <cell r="X63">
            <v>0</v>
          </cell>
          <cell r="Y63">
            <v>0</v>
          </cell>
          <cell r="Z63">
            <v>0</v>
          </cell>
          <cell r="AA63">
            <v>0</v>
          </cell>
          <cell r="AC63">
            <v>0</v>
          </cell>
          <cell r="AD63">
            <v>0</v>
          </cell>
          <cell r="AE63">
            <v>0</v>
          </cell>
          <cell r="AF63">
            <v>0</v>
          </cell>
          <cell r="AI63">
            <v>0</v>
          </cell>
          <cell r="AJ63">
            <v>0</v>
          </cell>
          <cell r="AP63">
            <v>0</v>
          </cell>
          <cell r="AQ63">
            <v>0</v>
          </cell>
          <cell r="AR63">
            <v>0</v>
          </cell>
          <cell r="AS63">
            <v>0</v>
          </cell>
          <cell r="AT63">
            <v>0</v>
          </cell>
          <cell r="AV63">
            <v>0</v>
          </cell>
        </row>
        <row r="64">
          <cell r="C64">
            <v>0</v>
          </cell>
          <cell r="D64">
            <v>9</v>
          </cell>
          <cell r="E64">
            <v>-9</v>
          </cell>
          <cell r="N64">
            <v>-120.15000000000009</v>
          </cell>
          <cell r="P64">
            <v>120.15000000000009</v>
          </cell>
          <cell r="Q64">
            <v>750.10600000000022</v>
          </cell>
          <cell r="S64">
            <v>-750.10600000000022</v>
          </cell>
          <cell r="T64">
            <v>4149.03</v>
          </cell>
          <cell r="U64">
            <v>2191</v>
          </cell>
          <cell r="X64">
            <v>-4149.03</v>
          </cell>
          <cell r="Y64">
            <v>3906.4066666666663</v>
          </cell>
          <cell r="Z64">
            <v>2547</v>
          </cell>
          <cell r="AA64">
            <v>1359.4066666666663</v>
          </cell>
          <cell r="AC64">
            <v>-3906.4066666666663</v>
          </cell>
          <cell r="AD64">
            <v>2586</v>
          </cell>
          <cell r="AE64">
            <v>2435</v>
          </cell>
          <cell r="AF64">
            <v>151</v>
          </cell>
          <cell r="AG64">
            <v>1641</v>
          </cell>
          <cell r="AH64">
            <v>1139</v>
          </cell>
          <cell r="AI64">
            <v>155</v>
          </cell>
          <cell r="AJ64">
            <v>-945</v>
          </cell>
          <cell r="AP64">
            <v>11127.392666666667</v>
          </cell>
          <cell r="AS64">
            <v>1139</v>
          </cell>
          <cell r="AT64">
            <v>-9988.3926666666666</v>
          </cell>
        </row>
        <row r="65">
          <cell r="C65">
            <v>810</v>
          </cell>
          <cell r="D65">
            <v>63</v>
          </cell>
          <cell r="E65">
            <v>747</v>
          </cell>
          <cell r="N65">
            <v>4888.6000000000004</v>
          </cell>
          <cell r="O65">
            <v>1295</v>
          </cell>
          <cell r="P65">
            <v>-3593.6000000000004</v>
          </cell>
          <cell r="Q65">
            <v>10553.895454545454</v>
          </cell>
          <cell r="R65">
            <v>2254</v>
          </cell>
          <cell r="S65">
            <v>-8299.8954545454544</v>
          </cell>
          <cell r="T65">
            <v>8878.2590909090904</v>
          </cell>
          <cell r="U65">
            <v>4919</v>
          </cell>
          <cell r="V65">
            <v>3959.2590909090904</v>
          </cell>
          <cell r="W65">
            <v>1557</v>
          </cell>
          <cell r="X65">
            <v>-7321.2590909090904</v>
          </cell>
          <cell r="Y65">
            <v>7244.0999999999995</v>
          </cell>
          <cell r="Z65">
            <v>4367</v>
          </cell>
          <cell r="AA65">
            <v>2877.0999999999995</v>
          </cell>
          <cell r="AB65">
            <v>1201</v>
          </cell>
          <cell r="AC65">
            <v>-6043.0999999999995</v>
          </cell>
          <cell r="AD65">
            <v>5961.1136363636369</v>
          </cell>
          <cell r="AE65">
            <v>5888.1136363636369</v>
          </cell>
          <cell r="AF65">
            <v>73</v>
          </cell>
          <cell r="AG65">
            <v>1946</v>
          </cell>
          <cell r="AH65">
            <v>938</v>
          </cell>
          <cell r="AI65">
            <v>0</v>
          </cell>
          <cell r="AJ65">
            <v>-4015.1136363636369</v>
          </cell>
          <cell r="AP65">
            <v>38268.968181818185</v>
          </cell>
          <cell r="AQ65">
            <v>14207.6</v>
          </cell>
          <cell r="AR65">
            <v>24061.368181818187</v>
          </cell>
          <cell r="AS65">
            <v>7245</v>
          </cell>
          <cell r="AT65">
            <v>-31023.968181818185</v>
          </cell>
          <cell r="AU65">
            <v>9286</v>
          </cell>
          <cell r="AV65">
            <v>10425</v>
          </cell>
          <cell r="AW65">
            <v>4921.6000000000004</v>
          </cell>
          <cell r="AX65">
            <v>13636.368181818187</v>
          </cell>
        </row>
        <row r="66">
          <cell r="C66">
            <v>0</v>
          </cell>
          <cell r="D66">
            <v>0</v>
          </cell>
          <cell r="E66">
            <v>0</v>
          </cell>
          <cell r="N66">
            <v>520.33333333333326</v>
          </cell>
          <cell r="O66">
            <v>198</v>
          </cell>
          <cell r="P66">
            <v>-322.33333333333326</v>
          </cell>
          <cell r="Q66">
            <v>3093.0909090909095</v>
          </cell>
          <cell r="R66">
            <v>1097</v>
          </cell>
          <cell r="S66">
            <v>-1996.0909090909095</v>
          </cell>
          <cell r="T66">
            <v>1803.4545454545455</v>
          </cell>
          <cell r="U66">
            <v>922</v>
          </cell>
          <cell r="V66">
            <v>881.4545454545455</v>
          </cell>
          <cell r="W66">
            <v>608</v>
          </cell>
          <cell r="X66">
            <v>-1195.4545454545455</v>
          </cell>
          <cell r="Y66">
            <v>1171</v>
          </cell>
          <cell r="Z66">
            <v>634</v>
          </cell>
          <cell r="AA66">
            <v>537</v>
          </cell>
          <cell r="AB66">
            <v>435</v>
          </cell>
          <cell r="AC66">
            <v>-736</v>
          </cell>
          <cell r="AD66">
            <v>1256</v>
          </cell>
          <cell r="AE66">
            <v>1256.090909090909</v>
          </cell>
          <cell r="AF66">
            <v>-9.0909090909008228E-2</v>
          </cell>
          <cell r="AG66">
            <v>318</v>
          </cell>
          <cell r="AH66">
            <v>237</v>
          </cell>
          <cell r="AI66">
            <v>0</v>
          </cell>
          <cell r="AJ66">
            <v>-938</v>
          </cell>
          <cell r="AP66">
            <v>7843.969696969697</v>
          </cell>
          <cell r="AQ66">
            <v>2076.333333333333</v>
          </cell>
          <cell r="AR66">
            <v>5767.636363636364</v>
          </cell>
          <cell r="AS66">
            <v>2575</v>
          </cell>
          <cell r="AT66">
            <v>-5268.969696969697</v>
          </cell>
        </row>
        <row r="67">
          <cell r="C67">
            <v>0</v>
          </cell>
          <cell r="D67">
            <v>0</v>
          </cell>
          <cell r="E67">
            <v>0</v>
          </cell>
          <cell r="N67">
            <v>30</v>
          </cell>
          <cell r="O67">
            <v>11</v>
          </cell>
          <cell r="P67">
            <v>-19</v>
          </cell>
          <cell r="Q67">
            <v>170</v>
          </cell>
          <cell r="R67">
            <v>60</v>
          </cell>
          <cell r="S67">
            <v>-110</v>
          </cell>
          <cell r="T67">
            <v>99</v>
          </cell>
          <cell r="U67">
            <v>51</v>
          </cell>
          <cell r="V67">
            <v>48</v>
          </cell>
          <cell r="W67">
            <v>33</v>
          </cell>
          <cell r="X67">
            <v>-66</v>
          </cell>
          <cell r="Y67">
            <v>64</v>
          </cell>
          <cell r="Z67">
            <v>35</v>
          </cell>
          <cell r="AA67">
            <v>29</v>
          </cell>
          <cell r="AB67">
            <v>24</v>
          </cell>
          <cell r="AC67">
            <v>-40</v>
          </cell>
          <cell r="AD67">
            <v>69</v>
          </cell>
          <cell r="AE67">
            <v>69</v>
          </cell>
          <cell r="AF67">
            <v>0</v>
          </cell>
          <cell r="AG67">
            <v>17</v>
          </cell>
          <cell r="AH67">
            <v>12</v>
          </cell>
          <cell r="AI67">
            <v>0</v>
          </cell>
          <cell r="AJ67">
            <v>-52</v>
          </cell>
          <cell r="AP67">
            <v>432</v>
          </cell>
          <cell r="AQ67">
            <v>116</v>
          </cell>
          <cell r="AR67">
            <v>316</v>
          </cell>
          <cell r="AS67">
            <v>140</v>
          </cell>
          <cell r="AT67">
            <v>-292</v>
          </cell>
        </row>
        <row r="68">
          <cell r="C68">
            <v>0</v>
          </cell>
          <cell r="D68">
            <v>0</v>
          </cell>
          <cell r="E68">
            <v>0</v>
          </cell>
          <cell r="N68">
            <v>168</v>
          </cell>
          <cell r="O68">
            <v>63</v>
          </cell>
          <cell r="P68">
            <v>-105</v>
          </cell>
          <cell r="Q68">
            <v>988</v>
          </cell>
          <cell r="R68">
            <v>330</v>
          </cell>
          <cell r="S68">
            <v>-658</v>
          </cell>
          <cell r="T68">
            <v>578</v>
          </cell>
          <cell r="U68">
            <v>295</v>
          </cell>
          <cell r="V68">
            <v>283</v>
          </cell>
          <cell r="W68">
            <v>190</v>
          </cell>
          <cell r="X68">
            <v>-388</v>
          </cell>
          <cell r="Y68">
            <v>377</v>
          </cell>
          <cell r="Z68">
            <v>205</v>
          </cell>
          <cell r="AA68">
            <v>172</v>
          </cell>
          <cell r="AB68">
            <v>137</v>
          </cell>
          <cell r="AC68">
            <v>-240</v>
          </cell>
          <cell r="AD68">
            <v>402</v>
          </cell>
          <cell r="AE68">
            <v>402</v>
          </cell>
          <cell r="AF68">
            <v>0</v>
          </cell>
          <cell r="AG68">
            <v>102</v>
          </cell>
          <cell r="AH68">
            <v>16</v>
          </cell>
          <cell r="AI68">
            <v>0</v>
          </cell>
          <cell r="AJ68">
            <v>-300</v>
          </cell>
          <cell r="AP68">
            <v>2513</v>
          </cell>
          <cell r="AQ68">
            <v>668</v>
          </cell>
          <cell r="AR68">
            <v>1845</v>
          </cell>
          <cell r="AS68">
            <v>620</v>
          </cell>
          <cell r="AT68">
            <v>-1893</v>
          </cell>
        </row>
        <row r="69">
          <cell r="C69">
            <v>0</v>
          </cell>
          <cell r="D69">
            <v>0</v>
          </cell>
          <cell r="E69">
            <v>0</v>
          </cell>
          <cell r="N69">
            <v>198</v>
          </cell>
          <cell r="P69">
            <v>-198</v>
          </cell>
          <cell r="Q69">
            <v>0</v>
          </cell>
          <cell r="S69">
            <v>0</v>
          </cell>
          <cell r="T69">
            <v>0</v>
          </cell>
          <cell r="U69">
            <v>0</v>
          </cell>
          <cell r="V69">
            <v>0</v>
          </cell>
          <cell r="X69">
            <v>0</v>
          </cell>
          <cell r="Y69">
            <v>0</v>
          </cell>
          <cell r="Z69">
            <v>0</v>
          </cell>
          <cell r="AA69">
            <v>0</v>
          </cell>
          <cell r="AC69">
            <v>0</v>
          </cell>
          <cell r="AD69">
            <v>0</v>
          </cell>
          <cell r="AE69">
            <v>0</v>
          </cell>
          <cell r="AF69">
            <v>0</v>
          </cell>
          <cell r="AI69">
            <v>0</v>
          </cell>
          <cell r="AJ69">
            <v>0</v>
          </cell>
          <cell r="AP69">
            <v>198</v>
          </cell>
          <cell r="AQ69">
            <v>198</v>
          </cell>
          <cell r="AR69">
            <v>0</v>
          </cell>
          <cell r="AS69">
            <v>0</v>
          </cell>
          <cell r="AT69">
            <v>-198</v>
          </cell>
        </row>
        <row r="70">
          <cell r="C70" t="e">
            <v>#REF!</v>
          </cell>
          <cell r="D70" t="e">
            <v>#REF!</v>
          </cell>
          <cell r="E70" t="e">
            <v>#REF!</v>
          </cell>
          <cell r="N70">
            <v>1182.5</v>
          </cell>
          <cell r="P70">
            <v>-1182.5</v>
          </cell>
          <cell r="Q70">
            <v>500.6</v>
          </cell>
          <cell r="S70">
            <v>-500.6</v>
          </cell>
          <cell r="T70">
            <v>527</v>
          </cell>
          <cell r="U70">
            <v>0</v>
          </cell>
          <cell r="V70">
            <v>527</v>
          </cell>
          <cell r="X70">
            <v>-527</v>
          </cell>
          <cell r="Y70">
            <v>0</v>
          </cell>
          <cell r="Z70">
            <v>170</v>
          </cell>
          <cell r="AA70">
            <v>-170</v>
          </cell>
          <cell r="AC70">
            <v>0</v>
          </cell>
          <cell r="AD70">
            <v>1020.7636363636364</v>
          </cell>
          <cell r="AE70">
            <v>1020.7636363636364</v>
          </cell>
          <cell r="AF70">
            <v>0</v>
          </cell>
          <cell r="AI70">
            <v>0</v>
          </cell>
          <cell r="AJ70">
            <v>-1020.7636363636364</v>
          </cell>
          <cell r="AP70" t="e">
            <v>#REF!</v>
          </cell>
          <cell r="AQ70" t="e">
            <v>#REF!</v>
          </cell>
          <cell r="AS70">
            <v>0</v>
          </cell>
          <cell r="AT70" t="e">
            <v>#REF!</v>
          </cell>
        </row>
        <row r="71">
          <cell r="C71" t="e">
            <v>#REF!</v>
          </cell>
          <cell r="D71" t="e">
            <v>#REF!</v>
          </cell>
          <cell r="E71" t="e">
            <v>#REF!</v>
          </cell>
          <cell r="N71">
            <v>0</v>
          </cell>
          <cell r="P71">
            <v>0</v>
          </cell>
          <cell r="Q71">
            <v>0</v>
          </cell>
          <cell r="S71">
            <v>0</v>
          </cell>
          <cell r="T71">
            <v>0</v>
          </cell>
          <cell r="U71">
            <v>0</v>
          </cell>
          <cell r="V71">
            <v>0</v>
          </cell>
          <cell r="X71">
            <v>0</v>
          </cell>
          <cell r="Y71">
            <v>0</v>
          </cell>
          <cell r="Z71">
            <v>0</v>
          </cell>
          <cell r="AA71">
            <v>0</v>
          </cell>
          <cell r="AC71">
            <v>0</v>
          </cell>
          <cell r="AD71">
            <v>0</v>
          </cell>
          <cell r="AE71">
            <v>0</v>
          </cell>
          <cell r="AF71">
            <v>0</v>
          </cell>
          <cell r="AI71">
            <v>0</v>
          </cell>
          <cell r="AJ71">
            <v>0</v>
          </cell>
          <cell r="AP71" t="e">
            <v>#REF!</v>
          </cell>
          <cell r="AQ71" t="e">
            <v>#REF!</v>
          </cell>
          <cell r="AS71">
            <v>0</v>
          </cell>
          <cell r="AT71" t="e">
            <v>#REF!</v>
          </cell>
        </row>
        <row r="72">
          <cell r="C72">
            <v>10489.5</v>
          </cell>
          <cell r="D72">
            <v>1252</v>
          </cell>
          <cell r="E72">
            <v>9237.5</v>
          </cell>
          <cell r="N72">
            <v>710.07</v>
          </cell>
          <cell r="O72">
            <v>227</v>
          </cell>
          <cell r="P72">
            <v>-483.07000000000005</v>
          </cell>
          <cell r="Q72">
            <v>2114.3516666666665</v>
          </cell>
          <cell r="R72">
            <v>403</v>
          </cell>
          <cell r="S72">
            <v>-1711.3516666666665</v>
          </cell>
          <cell r="T72">
            <v>728.45800000000008</v>
          </cell>
          <cell r="U72">
            <v>344</v>
          </cell>
          <cell r="V72">
            <v>384.45800000000008</v>
          </cell>
          <cell r="W72">
            <v>175</v>
          </cell>
          <cell r="X72">
            <v>-553.45800000000008</v>
          </cell>
          <cell r="Y72">
            <v>645.31200000000001</v>
          </cell>
          <cell r="Z72">
            <v>350</v>
          </cell>
          <cell r="AA72">
            <v>295.31200000000001</v>
          </cell>
          <cell r="AB72">
            <v>94</v>
          </cell>
          <cell r="AC72">
            <v>-551.31200000000001</v>
          </cell>
          <cell r="AD72">
            <v>1489.9006666666667</v>
          </cell>
          <cell r="AE72">
            <v>1233.93</v>
          </cell>
          <cell r="AF72">
            <v>255.9706666666666</v>
          </cell>
          <cell r="AG72">
            <v>379</v>
          </cell>
          <cell r="AH72">
            <v>173</v>
          </cell>
          <cell r="AI72">
            <v>35</v>
          </cell>
          <cell r="AJ72">
            <v>-1110.9006666666667</v>
          </cell>
          <cell r="AN72">
            <v>0</v>
          </cell>
          <cell r="AP72">
            <v>17151.752333333334</v>
          </cell>
          <cell r="AQ72" t="e">
            <v>#REF!</v>
          </cell>
          <cell r="AR72" t="e">
            <v>#REF!</v>
          </cell>
          <cell r="AS72">
            <v>181</v>
          </cell>
          <cell r="AT72">
            <v>-16970.752333333334</v>
          </cell>
          <cell r="AU72">
            <v>694</v>
          </cell>
          <cell r="AV72">
            <v>1364</v>
          </cell>
          <cell r="AW72">
            <v>2524.67</v>
          </cell>
          <cell r="AX72" t="e">
            <v>#REF!</v>
          </cell>
        </row>
        <row r="73">
          <cell r="C73">
            <v>927</v>
          </cell>
          <cell r="D73">
            <v>70</v>
          </cell>
          <cell r="E73">
            <v>857</v>
          </cell>
          <cell r="N73">
            <v>0</v>
          </cell>
          <cell r="P73">
            <v>0</v>
          </cell>
          <cell r="Q73">
            <v>0</v>
          </cell>
          <cell r="S73">
            <v>0</v>
          </cell>
          <cell r="T73">
            <v>0</v>
          </cell>
          <cell r="U73">
            <v>0</v>
          </cell>
          <cell r="V73">
            <v>0</v>
          </cell>
          <cell r="X73">
            <v>0</v>
          </cell>
          <cell r="Y73">
            <v>18</v>
          </cell>
          <cell r="Z73">
            <v>0</v>
          </cell>
          <cell r="AA73">
            <v>18</v>
          </cell>
          <cell r="AC73">
            <v>-18</v>
          </cell>
          <cell r="AD73">
            <v>0</v>
          </cell>
          <cell r="AE73">
            <v>0</v>
          </cell>
          <cell r="AF73">
            <v>0</v>
          </cell>
          <cell r="AI73">
            <v>0</v>
          </cell>
          <cell r="AJ73">
            <v>0</v>
          </cell>
          <cell r="AP73">
            <v>945</v>
          </cell>
          <cell r="AQ73">
            <v>70</v>
          </cell>
          <cell r="AR73">
            <v>875</v>
          </cell>
          <cell r="AS73">
            <v>0</v>
          </cell>
          <cell r="AT73">
            <v>-945</v>
          </cell>
          <cell r="AU73">
            <v>0</v>
          </cell>
          <cell r="AV73">
            <v>18</v>
          </cell>
          <cell r="AW73">
            <v>70</v>
          </cell>
          <cell r="AX73">
            <v>857</v>
          </cell>
        </row>
        <row r="74">
          <cell r="C74">
            <v>9562.5</v>
          </cell>
          <cell r="D74">
            <v>1182</v>
          </cell>
          <cell r="E74">
            <v>8380.5</v>
          </cell>
          <cell r="N74">
            <v>710.07</v>
          </cell>
          <cell r="P74">
            <v>-710.07</v>
          </cell>
          <cell r="Q74">
            <v>2013.3516666666667</v>
          </cell>
          <cell r="S74">
            <v>-2013.3516666666667</v>
          </cell>
          <cell r="T74">
            <v>728.45800000000008</v>
          </cell>
          <cell r="U74">
            <v>344</v>
          </cell>
          <cell r="V74">
            <v>384.45800000000008</v>
          </cell>
          <cell r="X74">
            <v>-728.45800000000008</v>
          </cell>
          <cell r="Y74">
            <v>627.31200000000001</v>
          </cell>
          <cell r="Z74">
            <v>350</v>
          </cell>
          <cell r="AA74">
            <v>277.31200000000001</v>
          </cell>
          <cell r="AC74">
            <v>-627.31200000000001</v>
          </cell>
          <cell r="AD74">
            <v>1489.9006666666667</v>
          </cell>
          <cell r="AE74">
            <v>1233.33</v>
          </cell>
          <cell r="AF74">
            <v>256.57066666666674</v>
          </cell>
          <cell r="AG74">
            <v>379</v>
          </cell>
          <cell r="AH74">
            <v>173</v>
          </cell>
          <cell r="AI74">
            <v>35</v>
          </cell>
          <cell r="AJ74">
            <v>-1110.9006666666667</v>
          </cell>
          <cell r="AN74">
            <v>0</v>
          </cell>
          <cell r="AP74">
            <v>16105.152333333333</v>
          </cell>
          <cell r="AQ74">
            <v>3148.67</v>
          </cell>
          <cell r="AR74">
            <v>12956.482333333333</v>
          </cell>
          <cell r="AS74">
            <v>181</v>
          </cell>
          <cell r="AT74">
            <v>-15924.152333333333</v>
          </cell>
          <cell r="AU74">
            <v>694</v>
          </cell>
          <cell r="AV74">
            <v>1346</v>
          </cell>
          <cell r="AW74">
            <v>2454.67</v>
          </cell>
          <cell r="AX74">
            <v>11610.482333333333</v>
          </cell>
        </row>
        <row r="75">
          <cell r="C75">
            <v>1066</v>
          </cell>
          <cell r="D75">
            <v>299</v>
          </cell>
          <cell r="E75">
            <v>767</v>
          </cell>
          <cell r="N75">
            <v>479.07</v>
          </cell>
          <cell r="P75">
            <v>-479.07</v>
          </cell>
          <cell r="Q75">
            <v>1244.9099999999999</v>
          </cell>
          <cell r="S75">
            <v>-1244.9099999999999</v>
          </cell>
          <cell r="T75">
            <v>420.80799999999999</v>
          </cell>
          <cell r="U75">
            <v>202</v>
          </cell>
          <cell r="V75">
            <v>218.80799999999999</v>
          </cell>
          <cell r="X75">
            <v>-420.80799999999999</v>
          </cell>
          <cell r="Y75">
            <v>250.36199999999999</v>
          </cell>
          <cell r="Z75">
            <v>204</v>
          </cell>
          <cell r="AA75">
            <v>46.361999999999995</v>
          </cell>
          <cell r="AC75">
            <v>-250.36199999999999</v>
          </cell>
          <cell r="AD75">
            <v>961.10066666666671</v>
          </cell>
          <cell r="AE75">
            <v>817.48</v>
          </cell>
          <cell r="AF75">
            <v>143.62066666666669</v>
          </cell>
          <cell r="AJ75">
            <v>-961.10066666666671</v>
          </cell>
          <cell r="AP75">
            <v>4678.6299999999992</v>
          </cell>
          <cell r="AQ75">
            <v>1408.67</v>
          </cell>
          <cell r="AR75">
            <v>3269.9599999999991</v>
          </cell>
          <cell r="AS75">
            <v>0</v>
          </cell>
          <cell r="AT75">
            <v>-4678.6299999999992</v>
          </cell>
          <cell r="AX75">
            <v>3269.9599999999991</v>
          </cell>
        </row>
        <row r="76">
          <cell r="C76">
            <v>0</v>
          </cell>
          <cell r="D76">
            <v>0</v>
          </cell>
          <cell r="E76">
            <v>0</v>
          </cell>
          <cell r="N76">
            <v>0</v>
          </cell>
          <cell r="P76">
            <v>0</v>
          </cell>
          <cell r="Q76">
            <v>0</v>
          </cell>
          <cell r="S76">
            <v>0</v>
          </cell>
          <cell r="T76">
            <v>0</v>
          </cell>
          <cell r="U76">
            <v>0</v>
          </cell>
          <cell r="V76">
            <v>0</v>
          </cell>
          <cell r="X76">
            <v>0</v>
          </cell>
          <cell r="Y76">
            <v>0</v>
          </cell>
          <cell r="Z76">
            <v>0</v>
          </cell>
          <cell r="AA76">
            <v>0</v>
          </cell>
          <cell r="AC76">
            <v>0</v>
          </cell>
          <cell r="AD76">
            <v>0</v>
          </cell>
          <cell r="AE76">
            <v>0</v>
          </cell>
          <cell r="AF76">
            <v>0</v>
          </cell>
          <cell r="AJ76">
            <v>0</v>
          </cell>
          <cell r="AP76">
            <v>658.33066666666662</v>
          </cell>
          <cell r="AQ76">
            <v>324</v>
          </cell>
          <cell r="AR76">
            <v>334.33066666666662</v>
          </cell>
          <cell r="AS76">
            <v>0</v>
          </cell>
          <cell r="AT76">
            <v>-658.33066666666662</v>
          </cell>
          <cell r="AX76">
            <v>334.33066666666662</v>
          </cell>
        </row>
        <row r="77">
          <cell r="C77">
            <v>915</v>
          </cell>
          <cell r="D77">
            <v>323</v>
          </cell>
          <cell r="E77">
            <v>592</v>
          </cell>
          <cell r="N77">
            <v>87.75</v>
          </cell>
          <cell r="Q77">
            <v>515.4666666666667</v>
          </cell>
          <cell r="T77">
            <v>133.6</v>
          </cell>
          <cell r="U77">
            <v>17</v>
          </cell>
          <cell r="V77">
            <v>116.6</v>
          </cell>
          <cell r="Y77">
            <v>126.15</v>
          </cell>
          <cell r="Z77">
            <v>46</v>
          </cell>
          <cell r="AA77">
            <v>80.150000000000006</v>
          </cell>
          <cell r="AD77">
            <v>253.75</v>
          </cell>
          <cell r="AE77">
            <v>212.85</v>
          </cell>
          <cell r="AF77">
            <v>40.900000000000006</v>
          </cell>
        </row>
        <row r="78">
          <cell r="C78">
            <v>3122.5</v>
          </cell>
          <cell r="D78">
            <v>363</v>
          </cell>
          <cell r="E78">
            <v>2759.5</v>
          </cell>
          <cell r="N78">
            <v>142.25</v>
          </cell>
          <cell r="Q78">
            <v>353.97500000000002</v>
          </cell>
          <cell r="T78">
            <v>173.05</v>
          </cell>
          <cell r="U78">
            <v>34</v>
          </cell>
          <cell r="V78">
            <v>139.05000000000001</v>
          </cell>
          <cell r="Y78">
            <v>250.8</v>
          </cell>
          <cell r="Z78">
            <v>69</v>
          </cell>
          <cell r="AA78">
            <v>181.8</v>
          </cell>
          <cell r="AD78">
            <v>274.05</v>
          </cell>
          <cell r="AE78">
            <v>203</v>
          </cell>
          <cell r="AF78">
            <v>71.050000000000011</v>
          </cell>
        </row>
        <row r="79">
          <cell r="C79">
            <v>0</v>
          </cell>
          <cell r="D79">
            <v>85</v>
          </cell>
          <cell r="E79">
            <v>-85</v>
          </cell>
          <cell r="N79">
            <v>15.1</v>
          </cell>
          <cell r="P79">
            <v>-15.1</v>
          </cell>
          <cell r="Q79">
            <v>7.5</v>
          </cell>
          <cell r="S79">
            <v>-7.5</v>
          </cell>
          <cell r="T79">
            <v>0</v>
          </cell>
          <cell r="U79">
            <v>0</v>
          </cell>
          <cell r="V79">
            <v>0</v>
          </cell>
          <cell r="X79">
            <v>0</v>
          </cell>
          <cell r="Y79">
            <v>6.7</v>
          </cell>
          <cell r="Z79">
            <v>0</v>
          </cell>
          <cell r="AA79">
            <v>6.7</v>
          </cell>
          <cell r="AC79">
            <v>-6.7</v>
          </cell>
          <cell r="AD79">
            <v>38.799999999999997</v>
          </cell>
          <cell r="AE79">
            <v>34</v>
          </cell>
          <cell r="AF79">
            <v>4.7999999999999972</v>
          </cell>
          <cell r="AJ79">
            <v>-38.799999999999997</v>
          </cell>
          <cell r="AP79">
            <v>66.300000000000011</v>
          </cell>
          <cell r="AQ79">
            <v>103.1</v>
          </cell>
          <cell r="AS79">
            <v>0</v>
          </cell>
          <cell r="AT79">
            <v>-66.300000000000011</v>
          </cell>
        </row>
        <row r="80">
          <cell r="C80">
            <v>15664.597</v>
          </cell>
          <cell r="D80">
            <v>2178</v>
          </cell>
          <cell r="E80">
            <v>13486.597</v>
          </cell>
          <cell r="N80">
            <v>19283.667393939395</v>
          </cell>
          <cell r="O80">
            <v>6571</v>
          </cell>
          <cell r="P80">
            <v>-12712.667393939395</v>
          </cell>
          <cell r="Q80">
            <v>126414.37178787879</v>
          </cell>
          <cell r="R80">
            <v>83057</v>
          </cell>
          <cell r="S80">
            <v>-43357.371787878787</v>
          </cell>
          <cell r="T80">
            <v>198443.80515151517</v>
          </cell>
          <cell r="U80">
            <v>112107.34756097561</v>
          </cell>
          <cell r="V80">
            <v>86336.457590539532</v>
          </cell>
          <cell r="W80">
            <v>101508</v>
          </cell>
          <cell r="X80">
            <v>-96935.805151515175</v>
          </cell>
          <cell r="Y80">
            <v>163986.33393939392</v>
          </cell>
          <cell r="Z80">
            <v>96838.750161952048</v>
          </cell>
          <cell r="AA80">
            <v>67147.583777441905</v>
          </cell>
          <cell r="AB80">
            <v>81399</v>
          </cell>
          <cell r="AC80">
            <v>-82587.333939393924</v>
          </cell>
          <cell r="AD80">
            <v>33796.432666666668</v>
          </cell>
          <cell r="AE80">
            <v>27938.544424242424</v>
          </cell>
          <cell r="AF80">
            <v>5857.888242424242</v>
          </cell>
          <cell r="AG80">
            <v>9642</v>
          </cell>
          <cell r="AH80">
            <v>6481</v>
          </cell>
          <cell r="AI80">
            <v>2032</v>
          </cell>
          <cell r="AJ80">
            <v>-24154.432666666668</v>
          </cell>
          <cell r="AL80">
            <v>0</v>
          </cell>
          <cell r="AN80">
            <v>0</v>
          </cell>
          <cell r="AP80">
            <v>554220.57036363648</v>
          </cell>
          <cell r="AQ80" t="e">
            <v>#REF!</v>
          </cell>
          <cell r="AR80" t="e">
            <v>#REF!</v>
          </cell>
          <cell r="AS80">
            <v>278125</v>
          </cell>
          <cell r="AT80">
            <v>-276095.57036363648</v>
          </cell>
          <cell r="AU80">
            <v>208220.09772292766</v>
          </cell>
          <cell r="AV80">
            <v>242680</v>
          </cell>
          <cell r="AW80">
            <v>21243.085575757577</v>
          </cell>
          <cell r="AX80" t="e">
            <v>#REF!</v>
          </cell>
        </row>
        <row r="81">
          <cell r="C81">
            <v>14737.597</v>
          </cell>
          <cell r="D81">
            <v>2108</v>
          </cell>
          <cell r="E81">
            <v>12629.597</v>
          </cell>
          <cell r="P81">
            <v>0</v>
          </cell>
          <cell r="S81">
            <v>0</v>
          </cell>
          <cell r="X81">
            <v>0</v>
          </cell>
          <cell r="AC81">
            <v>0</v>
          </cell>
          <cell r="AJ81">
            <v>0</v>
          </cell>
          <cell r="AP81">
            <v>162732.57036363648</v>
          </cell>
          <cell r="AQ81" t="e">
            <v>#REF!</v>
          </cell>
          <cell r="AR81" t="e">
            <v>#REF!</v>
          </cell>
          <cell r="AS81">
            <v>0</v>
          </cell>
          <cell r="AT81">
            <v>-162732.57036363648</v>
          </cell>
          <cell r="AU81">
            <v>22301</v>
          </cell>
          <cell r="AV81">
            <v>37112</v>
          </cell>
          <cell r="AW81">
            <v>21242.085575757577</v>
          </cell>
          <cell r="AX81" t="e">
            <v>#REF!</v>
          </cell>
        </row>
        <row r="82">
          <cell r="N82">
            <v>4841.9527272727273</v>
          </cell>
          <cell r="O82">
            <v>1501</v>
          </cell>
          <cell r="P82">
            <v>-3340.9527272727273</v>
          </cell>
          <cell r="Q82">
            <v>10883.540909090911</v>
          </cell>
          <cell r="R82">
            <v>3466</v>
          </cell>
          <cell r="S82">
            <v>-7417.5409090909106</v>
          </cell>
          <cell r="T82">
            <v>4123.5772727272724</v>
          </cell>
          <cell r="U82">
            <v>2012</v>
          </cell>
          <cell r="V82">
            <v>2111.5772727272729</v>
          </cell>
          <cell r="W82">
            <v>1353</v>
          </cell>
          <cell r="X82">
            <v>-2770.5772727272724</v>
          </cell>
          <cell r="Y82">
            <v>3354.8872727272728</v>
          </cell>
          <cell r="Z82">
            <v>1812</v>
          </cell>
          <cell r="AA82">
            <v>1542.8872727272728</v>
          </cell>
          <cell r="AB82">
            <v>1097</v>
          </cell>
          <cell r="AC82">
            <v>-2257.8872727272728</v>
          </cell>
          <cell r="AD82">
            <v>9668.3463636363631</v>
          </cell>
          <cell r="AE82">
            <v>8781.9363636363632</v>
          </cell>
          <cell r="AF82">
            <v>886.40999999999985</v>
          </cell>
          <cell r="AG82">
            <v>2881</v>
          </cell>
          <cell r="AH82">
            <v>1984</v>
          </cell>
          <cell r="AI82">
            <v>306</v>
          </cell>
          <cell r="AJ82">
            <v>-6787.3463636363631</v>
          </cell>
          <cell r="AN82">
            <v>0</v>
          </cell>
          <cell r="AP82">
            <v>34146.991545454548</v>
          </cell>
          <cell r="AS82">
            <v>9401</v>
          </cell>
          <cell r="AT82">
            <v>-24745.991545454548</v>
          </cell>
        </row>
        <row r="83">
          <cell r="C83">
            <v>14767</v>
          </cell>
          <cell r="D83">
            <v>11292</v>
          </cell>
          <cell r="E83">
            <v>0</v>
          </cell>
          <cell r="P83">
            <v>0</v>
          </cell>
          <cell r="S83">
            <v>0</v>
          </cell>
          <cell r="X83">
            <v>0</v>
          </cell>
          <cell r="AC83">
            <v>0</v>
          </cell>
          <cell r="AJ83">
            <v>0</v>
          </cell>
          <cell r="AP83">
            <v>14767</v>
          </cell>
          <cell r="AQ83">
            <v>11292</v>
          </cell>
          <cell r="AR83">
            <v>0</v>
          </cell>
          <cell r="AS83">
            <v>0</v>
          </cell>
          <cell r="AT83">
            <v>-14767</v>
          </cell>
          <cell r="AU83">
            <v>0</v>
          </cell>
          <cell r="AV83">
            <v>0</v>
          </cell>
          <cell r="AW83">
            <v>0</v>
          </cell>
          <cell r="AX83">
            <v>0</v>
          </cell>
        </row>
        <row r="84">
          <cell r="C84">
            <v>30431.597000000002</v>
          </cell>
          <cell r="D84">
            <v>13470</v>
          </cell>
          <cell r="E84">
            <v>13486.597</v>
          </cell>
          <cell r="N84">
            <v>19283.667393939395</v>
          </cell>
          <cell r="O84">
            <v>6571</v>
          </cell>
          <cell r="P84">
            <v>-12712.667393939395</v>
          </cell>
          <cell r="Q84">
            <v>126414.37178787879</v>
          </cell>
          <cell r="R84">
            <v>83057</v>
          </cell>
          <cell r="S84">
            <v>-43357.371787878787</v>
          </cell>
          <cell r="T84">
            <v>198443.80515151517</v>
          </cell>
          <cell r="U84">
            <v>112107.34756097561</v>
          </cell>
          <cell r="V84">
            <v>86336.457590539532</v>
          </cell>
          <cell r="W84">
            <v>101508</v>
          </cell>
          <cell r="X84">
            <v>-96935.805151515175</v>
          </cell>
          <cell r="Y84">
            <v>163986.33393939392</v>
          </cell>
          <cell r="Z84">
            <v>96838.750161952048</v>
          </cell>
          <cell r="AA84">
            <v>67147.583777441905</v>
          </cell>
          <cell r="AB84">
            <v>81399</v>
          </cell>
          <cell r="AC84">
            <v>-82587.333939393924</v>
          </cell>
          <cell r="AD84">
            <v>33796.432666666668</v>
          </cell>
          <cell r="AE84">
            <v>27938.544424242424</v>
          </cell>
          <cell r="AF84">
            <v>5857.888242424242</v>
          </cell>
          <cell r="AG84">
            <v>9642</v>
          </cell>
          <cell r="AH84">
            <v>6481</v>
          </cell>
          <cell r="AI84">
            <v>2032</v>
          </cell>
          <cell r="AJ84">
            <v>-24154.432666666668</v>
          </cell>
          <cell r="AL84">
            <v>0</v>
          </cell>
          <cell r="AN84">
            <v>0</v>
          </cell>
          <cell r="AP84">
            <v>568987.57036363648</v>
          </cell>
          <cell r="AQ84" t="e">
            <v>#REF!</v>
          </cell>
          <cell r="AR84" t="e">
            <v>#REF!</v>
          </cell>
          <cell r="AS84">
            <v>278125</v>
          </cell>
          <cell r="AT84">
            <v>-290862.57036363648</v>
          </cell>
          <cell r="AU84">
            <v>208220.09772292766</v>
          </cell>
          <cell r="AV84">
            <v>242680</v>
          </cell>
          <cell r="AW84">
            <v>21243.085575757577</v>
          </cell>
          <cell r="AX84" t="e">
            <v>#REF!</v>
          </cell>
        </row>
        <row r="85">
          <cell r="C85">
            <v>0</v>
          </cell>
          <cell r="D85">
            <v>0</v>
          </cell>
          <cell r="E85">
            <v>0</v>
          </cell>
          <cell r="N85">
            <v>0</v>
          </cell>
          <cell r="P85">
            <v>0</v>
          </cell>
          <cell r="Q85">
            <v>0</v>
          </cell>
          <cell r="S85">
            <v>0</v>
          </cell>
          <cell r="U85">
            <v>0</v>
          </cell>
          <cell r="V85">
            <v>0</v>
          </cell>
          <cell r="X85">
            <v>0</v>
          </cell>
          <cell r="Y85">
            <v>13442.217575757575</v>
          </cell>
          <cell r="AC85">
            <v>-13442.217575757575</v>
          </cell>
          <cell r="AI85">
            <v>0</v>
          </cell>
          <cell r="AJ85">
            <v>0</v>
          </cell>
          <cell r="AP85">
            <v>13441.217575757575</v>
          </cell>
          <cell r="AQ85">
            <v>0</v>
          </cell>
          <cell r="AR85">
            <v>13441.217575757575</v>
          </cell>
          <cell r="AS85">
            <v>0</v>
          </cell>
          <cell r="AT85">
            <v>-13441.217575757575</v>
          </cell>
          <cell r="AU85">
            <v>0</v>
          </cell>
          <cell r="AV85">
            <v>0</v>
          </cell>
          <cell r="AW85">
            <v>0</v>
          </cell>
          <cell r="AX85">
            <v>13441.217575757575</v>
          </cell>
        </row>
        <row r="86">
          <cell r="C86">
            <v>1383</v>
          </cell>
          <cell r="D86">
            <v>1959</v>
          </cell>
          <cell r="E86">
            <v>-576</v>
          </cell>
          <cell r="N86">
            <v>0</v>
          </cell>
          <cell r="P86">
            <v>0</v>
          </cell>
          <cell r="Q86">
            <v>0</v>
          </cell>
          <cell r="S86">
            <v>0</v>
          </cell>
          <cell r="T86">
            <v>0</v>
          </cell>
          <cell r="U86">
            <v>0</v>
          </cell>
          <cell r="V86">
            <v>0</v>
          </cell>
          <cell r="X86">
            <v>0</v>
          </cell>
          <cell r="Y86">
            <v>0</v>
          </cell>
          <cell r="AC86">
            <v>0</v>
          </cell>
          <cell r="AI86">
            <v>0</v>
          </cell>
          <cell r="AJ86">
            <v>0</v>
          </cell>
          <cell r="AP86">
            <v>1383</v>
          </cell>
          <cell r="AQ86">
            <v>1959</v>
          </cell>
          <cell r="AR86">
            <v>-576</v>
          </cell>
          <cell r="AS86">
            <v>0</v>
          </cell>
          <cell r="AT86">
            <v>-1383</v>
          </cell>
          <cell r="AU86">
            <v>0</v>
          </cell>
          <cell r="AV86">
            <v>0</v>
          </cell>
          <cell r="AW86">
            <v>1959</v>
          </cell>
          <cell r="AX86">
            <v>-576</v>
          </cell>
        </row>
        <row r="87">
          <cell r="C87">
            <v>101</v>
          </cell>
          <cell r="D87">
            <v>481</v>
          </cell>
          <cell r="E87">
            <v>-380</v>
          </cell>
          <cell r="N87">
            <v>0</v>
          </cell>
          <cell r="P87">
            <v>0</v>
          </cell>
          <cell r="Q87">
            <v>0</v>
          </cell>
          <cell r="S87">
            <v>0</v>
          </cell>
          <cell r="T87">
            <v>0</v>
          </cell>
          <cell r="U87">
            <v>0</v>
          </cell>
          <cell r="V87">
            <v>0</v>
          </cell>
          <cell r="X87">
            <v>0</v>
          </cell>
          <cell r="Y87">
            <v>0</v>
          </cell>
          <cell r="Z87">
            <v>0</v>
          </cell>
          <cell r="AA87">
            <v>0</v>
          </cell>
          <cell r="AC87">
            <v>0</v>
          </cell>
          <cell r="AI87">
            <v>0</v>
          </cell>
          <cell r="AJ87">
            <v>0</v>
          </cell>
          <cell r="AP87">
            <v>100</v>
          </cell>
          <cell r="AQ87">
            <v>481</v>
          </cell>
          <cell r="AR87">
            <v>-381</v>
          </cell>
          <cell r="AS87">
            <v>-1</v>
          </cell>
          <cell r="AT87">
            <v>-101</v>
          </cell>
          <cell r="AU87">
            <v>0</v>
          </cell>
          <cell r="AV87">
            <v>0</v>
          </cell>
          <cell r="AW87">
            <v>481</v>
          </cell>
          <cell r="AX87">
            <v>-381</v>
          </cell>
        </row>
        <row r="88">
          <cell r="C88">
            <v>74</v>
          </cell>
          <cell r="D88">
            <v>12</v>
          </cell>
          <cell r="E88">
            <v>62</v>
          </cell>
          <cell r="N88">
            <v>182.13333333333333</v>
          </cell>
          <cell r="O88">
            <v>51</v>
          </cell>
          <cell r="P88">
            <v>-131.13333333333333</v>
          </cell>
          <cell r="Q88">
            <v>189.6</v>
          </cell>
          <cell r="S88">
            <v>-189.6</v>
          </cell>
          <cell r="T88">
            <v>169.93333333333331</v>
          </cell>
          <cell r="U88">
            <v>176</v>
          </cell>
          <cell r="V88">
            <v>-6.0666666666666913</v>
          </cell>
          <cell r="X88">
            <v>-169.93333333333331</v>
          </cell>
          <cell r="Y88">
            <v>389.93333333333328</v>
          </cell>
          <cell r="Z88">
            <v>0</v>
          </cell>
          <cell r="AB88">
            <v>0</v>
          </cell>
          <cell r="AC88">
            <v>-389.93333333333328</v>
          </cell>
          <cell r="AD88">
            <v>140</v>
          </cell>
          <cell r="AE88">
            <v>46</v>
          </cell>
          <cell r="AF88">
            <v>94</v>
          </cell>
          <cell r="AG88">
            <v>44</v>
          </cell>
          <cell r="AH88">
            <v>15</v>
          </cell>
          <cell r="AI88">
            <v>29</v>
          </cell>
          <cell r="AJ88">
            <v>-96</v>
          </cell>
          <cell r="AP88">
            <v>956.59999999999991</v>
          </cell>
          <cell r="AQ88">
            <v>301.13333333333333</v>
          </cell>
          <cell r="AR88">
            <v>655.46666666666658</v>
          </cell>
          <cell r="AS88">
            <v>65</v>
          </cell>
          <cell r="AT88">
            <v>-891.59999999999991</v>
          </cell>
          <cell r="AU88">
            <v>176</v>
          </cell>
          <cell r="AV88">
            <v>46</v>
          </cell>
          <cell r="AW88">
            <v>125.13333333333333</v>
          </cell>
          <cell r="AX88">
            <v>609.46666666666658</v>
          </cell>
        </row>
        <row r="89">
          <cell r="C89">
            <v>31989.597000000002</v>
          </cell>
          <cell r="D89">
            <v>15922</v>
          </cell>
          <cell r="E89">
            <v>12592.597</v>
          </cell>
          <cell r="N89">
            <v>19465.80072727273</v>
          </cell>
          <cell r="O89">
            <v>6622</v>
          </cell>
          <cell r="P89">
            <v>-12843.80072727273</v>
          </cell>
          <cell r="Q89">
            <v>126603.97178787879</v>
          </cell>
          <cell r="R89">
            <v>83057</v>
          </cell>
          <cell r="S89">
            <v>-43546.971787878792</v>
          </cell>
          <cell r="T89">
            <v>198613.73848484849</v>
          </cell>
          <cell r="U89">
            <v>112283.34756097561</v>
          </cell>
          <cell r="V89">
            <v>86330.390923872867</v>
          </cell>
          <cell r="W89">
            <v>101508</v>
          </cell>
          <cell r="X89">
            <v>-97105.738484848494</v>
          </cell>
          <cell r="Y89">
            <v>177818.48484848483</v>
          </cell>
          <cell r="Z89">
            <v>96838.750161952048</v>
          </cell>
          <cell r="AA89">
            <v>67147.583777441905</v>
          </cell>
          <cell r="AB89">
            <v>81399</v>
          </cell>
          <cell r="AC89">
            <v>-96419.484848484833</v>
          </cell>
          <cell r="AD89">
            <v>33936.432666666668</v>
          </cell>
          <cell r="AE89">
            <v>27984.544424242424</v>
          </cell>
          <cell r="AF89">
            <v>5951.888242424242</v>
          </cell>
          <cell r="AG89">
            <v>9686</v>
          </cell>
          <cell r="AH89">
            <v>6496</v>
          </cell>
          <cell r="AI89">
            <v>2061</v>
          </cell>
          <cell r="AJ89">
            <v>-24250.432666666668</v>
          </cell>
          <cell r="AK89">
            <v>0</v>
          </cell>
          <cell r="AN89">
            <v>0</v>
          </cell>
          <cell r="AP89">
            <v>584870.38793939399</v>
          </cell>
          <cell r="AQ89" t="e">
            <v>#REF!</v>
          </cell>
          <cell r="AR89" t="e">
            <v>#REF!</v>
          </cell>
          <cell r="AS89">
            <v>278189</v>
          </cell>
          <cell r="AT89">
            <v>-306681.38793939399</v>
          </cell>
          <cell r="AU89">
            <v>208396.09772292766</v>
          </cell>
          <cell r="AV89">
            <v>242726</v>
          </cell>
          <cell r="AW89">
            <v>23808.218909090912</v>
          </cell>
          <cell r="AX89" t="e">
            <v>#REF!</v>
          </cell>
        </row>
        <row r="90">
          <cell r="C90">
            <v>17222.597000000002</v>
          </cell>
          <cell r="D90">
            <v>4630</v>
          </cell>
          <cell r="E90">
            <v>12592.597</v>
          </cell>
          <cell r="N90">
            <v>19465.80072727273</v>
          </cell>
          <cell r="O90">
            <v>6622</v>
          </cell>
          <cell r="P90">
            <v>-12843.80072727273</v>
          </cell>
          <cell r="Q90">
            <v>54063.971787878792</v>
          </cell>
          <cell r="R90">
            <v>21655</v>
          </cell>
          <cell r="S90">
            <v>-32408.971787878792</v>
          </cell>
          <cell r="T90">
            <v>25645.738484848494</v>
          </cell>
          <cell r="U90">
            <v>13122</v>
          </cell>
          <cell r="V90">
            <v>12523.73848484848</v>
          </cell>
          <cell r="W90">
            <v>7876</v>
          </cell>
          <cell r="X90">
            <v>-17769.738484848494</v>
          </cell>
          <cell r="Y90">
            <v>31839.484848484833</v>
          </cell>
          <cell r="Z90">
            <v>10081</v>
          </cell>
          <cell r="AA90">
            <v>7926.3339393939532</v>
          </cell>
          <cell r="AB90">
            <v>5098</v>
          </cell>
          <cell r="AC90">
            <v>-26741.484848484833</v>
          </cell>
          <cell r="AD90">
            <v>33936.432666666668</v>
          </cell>
          <cell r="AE90">
            <v>27984.544424242424</v>
          </cell>
          <cell r="AF90">
            <v>5951.888242424242</v>
          </cell>
          <cell r="AG90">
            <v>9686</v>
          </cell>
          <cell r="AH90">
            <v>6496</v>
          </cell>
          <cell r="AI90">
            <v>2061</v>
          </cell>
          <cell r="AJ90">
            <v>-24250.432666666668</v>
          </cell>
          <cell r="AN90">
            <v>0</v>
          </cell>
          <cell r="AP90">
            <v>178615.38793939399</v>
          </cell>
          <cell r="AQ90" t="e">
            <v>#REF!</v>
          </cell>
          <cell r="AR90" t="e">
            <v>#REF!</v>
          </cell>
          <cell r="AS90">
            <v>46854</v>
          </cell>
          <cell r="AT90">
            <v>-131761.38793939399</v>
          </cell>
          <cell r="AU90">
            <v>22477</v>
          </cell>
          <cell r="AV90">
            <v>37158</v>
          </cell>
          <cell r="AW90">
            <v>23807.218909090912</v>
          </cell>
          <cell r="AX90" t="e">
            <v>#REF!</v>
          </cell>
        </row>
        <row r="91">
          <cell r="C91">
            <v>1390.097</v>
          </cell>
          <cell r="D91">
            <v>310</v>
          </cell>
          <cell r="E91">
            <v>1080.097</v>
          </cell>
          <cell r="N91">
            <v>4841.9527272727273</v>
          </cell>
          <cell r="O91">
            <v>1501</v>
          </cell>
          <cell r="P91">
            <v>-3340.9527272727273</v>
          </cell>
          <cell r="Q91">
            <v>10883.540909090911</v>
          </cell>
          <cell r="R91">
            <v>3466</v>
          </cell>
          <cell r="S91">
            <v>-7417.5409090909106</v>
          </cell>
          <cell r="T91">
            <v>4123.5772727272724</v>
          </cell>
          <cell r="U91">
            <v>2012</v>
          </cell>
          <cell r="V91">
            <v>2111.5772727272729</v>
          </cell>
          <cell r="W91">
            <v>1353</v>
          </cell>
          <cell r="X91">
            <v>-2770.5772727272724</v>
          </cell>
          <cell r="Y91">
            <v>3354.8872727272728</v>
          </cell>
          <cell r="AB91">
            <v>1097</v>
          </cell>
          <cell r="AC91">
            <v>-2257.8872727272728</v>
          </cell>
          <cell r="AD91">
            <v>9668.3463636363631</v>
          </cell>
          <cell r="AE91">
            <v>8781.9363636363632</v>
          </cell>
          <cell r="AF91">
            <v>886.40999999999985</v>
          </cell>
          <cell r="AG91">
            <v>2881</v>
          </cell>
          <cell r="AH91">
            <v>1984</v>
          </cell>
          <cell r="AI91">
            <v>306</v>
          </cell>
          <cell r="AJ91">
            <v>-6787.3463636363631</v>
          </cell>
          <cell r="AN91">
            <v>0</v>
          </cell>
          <cell r="AP91">
            <v>34146.991545454548</v>
          </cell>
          <cell r="AQ91">
            <v>585023.38793939399</v>
          </cell>
          <cell r="AR91">
            <v>245956.31663201857</v>
          </cell>
          <cell r="AS91">
            <v>9401</v>
          </cell>
        </row>
        <row r="92">
          <cell r="C92">
            <v>4245.2000000000007</v>
          </cell>
          <cell r="N92">
            <v>6155.65</v>
          </cell>
          <cell r="P92">
            <v>-6155.65</v>
          </cell>
          <cell r="Q92">
            <v>16301.093999999999</v>
          </cell>
          <cell r="S92">
            <v>-16301.093999999999</v>
          </cell>
          <cell r="T92">
            <v>668.47</v>
          </cell>
          <cell r="X92">
            <v>-668.47</v>
          </cell>
          <cell r="Y92">
            <v>3357.9775757575753</v>
          </cell>
          <cell r="AB92">
            <v>432</v>
          </cell>
          <cell r="AC92">
            <v>-2925.9775757575753</v>
          </cell>
          <cell r="AD92">
            <v>1768.6</v>
          </cell>
          <cell r="AE92">
            <v>932.45</v>
          </cell>
          <cell r="AF92">
            <v>836.14999999999986</v>
          </cell>
          <cell r="AG92">
            <v>1768.6</v>
          </cell>
          <cell r="AI92">
            <v>1768.6</v>
          </cell>
          <cell r="AJ92" t="e">
            <v>#REF!</v>
          </cell>
          <cell r="AN92" t="e">
            <v>#REF!</v>
          </cell>
          <cell r="AO92">
            <v>1616</v>
          </cell>
          <cell r="AP92" t="e">
            <v>#REF!</v>
          </cell>
          <cell r="AS92">
            <v>2048</v>
          </cell>
        </row>
        <row r="93">
          <cell r="C93">
            <v>-1273</v>
          </cell>
          <cell r="N93">
            <v>1687</v>
          </cell>
          <cell r="P93">
            <v>-1687</v>
          </cell>
          <cell r="Q93">
            <v>4262</v>
          </cell>
          <cell r="S93">
            <v>-4262</v>
          </cell>
          <cell r="T93">
            <v>0</v>
          </cell>
          <cell r="W93">
            <v>0</v>
          </cell>
          <cell r="X93">
            <v>0</v>
          </cell>
          <cell r="Y93">
            <v>3358</v>
          </cell>
          <cell r="AB93">
            <v>432</v>
          </cell>
          <cell r="AC93">
            <v>-2926</v>
          </cell>
          <cell r="AD93">
            <v>-904.4</v>
          </cell>
          <cell r="AE93">
            <v>932.45</v>
          </cell>
          <cell r="AF93">
            <v>-1836.85</v>
          </cell>
          <cell r="AI93">
            <v>0</v>
          </cell>
          <cell r="AJ93">
            <v>904.4</v>
          </cell>
          <cell r="AN93" t="e">
            <v>#REF!</v>
          </cell>
          <cell r="AP93" t="e">
            <v>#REF!</v>
          </cell>
          <cell r="AS93">
            <v>432</v>
          </cell>
        </row>
        <row r="95">
          <cell r="C95">
            <v>-1308</v>
          </cell>
          <cell r="N95">
            <v>900</v>
          </cell>
          <cell r="P95">
            <v>-900</v>
          </cell>
          <cell r="Q95">
            <v>620</v>
          </cell>
          <cell r="R95">
            <v>0</v>
          </cell>
          <cell r="S95">
            <v>-620</v>
          </cell>
          <cell r="T95">
            <v>0</v>
          </cell>
          <cell r="X95">
            <v>0</v>
          </cell>
          <cell r="Y95">
            <v>0</v>
          </cell>
          <cell r="AC95">
            <v>0</v>
          </cell>
          <cell r="AD95">
            <v>0</v>
          </cell>
          <cell r="AE95">
            <v>0</v>
          </cell>
          <cell r="AF95">
            <v>0</v>
          </cell>
          <cell r="AI95">
            <v>0</v>
          </cell>
          <cell r="AJ95">
            <v>0</v>
          </cell>
          <cell r="AN95" t="e">
            <v>#REF!</v>
          </cell>
          <cell r="AP95" t="e">
            <v>#REF!</v>
          </cell>
          <cell r="AS95">
            <v>0</v>
          </cell>
        </row>
        <row r="96">
          <cell r="P96">
            <v>0</v>
          </cell>
          <cell r="S96">
            <v>0</v>
          </cell>
          <cell r="X96">
            <v>0</v>
          </cell>
          <cell r="AC96">
            <v>0</v>
          </cell>
          <cell r="AF96">
            <v>0</v>
          </cell>
          <cell r="AI96">
            <v>0</v>
          </cell>
          <cell r="AJ96">
            <v>0</v>
          </cell>
          <cell r="AN96" t="e">
            <v>#REF!</v>
          </cell>
          <cell r="AP96" t="e">
            <v>#REF!</v>
          </cell>
          <cell r="AS96">
            <v>0</v>
          </cell>
        </row>
        <row r="97">
          <cell r="P97">
            <v>0</v>
          </cell>
          <cell r="S97">
            <v>0</v>
          </cell>
          <cell r="X97">
            <v>0</v>
          </cell>
          <cell r="AC97">
            <v>0</v>
          </cell>
          <cell r="AF97">
            <v>0</v>
          </cell>
          <cell r="AI97">
            <v>0</v>
          </cell>
          <cell r="AJ97">
            <v>0</v>
          </cell>
          <cell r="AN97" t="e">
            <v>#REF!</v>
          </cell>
          <cell r="AP97" t="e">
            <v>#REF!</v>
          </cell>
          <cell r="AS97">
            <v>0</v>
          </cell>
        </row>
        <row r="98">
          <cell r="P98">
            <v>0</v>
          </cell>
          <cell r="S98">
            <v>0</v>
          </cell>
          <cell r="X98">
            <v>0</v>
          </cell>
          <cell r="AC98">
            <v>0</v>
          </cell>
          <cell r="AF98">
            <v>0</v>
          </cell>
          <cell r="AI98">
            <v>0</v>
          </cell>
          <cell r="AJ98">
            <v>0</v>
          </cell>
          <cell r="AN98" t="e">
            <v>#REF!</v>
          </cell>
          <cell r="AP98" t="e">
            <v>#REF!</v>
          </cell>
          <cell r="AS98">
            <v>0</v>
          </cell>
        </row>
        <row r="99">
          <cell r="P99">
            <v>0</v>
          </cell>
          <cell r="S99">
            <v>0</v>
          </cell>
          <cell r="X99">
            <v>0</v>
          </cell>
          <cell r="AC99">
            <v>0</v>
          </cell>
          <cell r="AI99">
            <v>0</v>
          </cell>
          <cell r="AJ99">
            <v>0</v>
          </cell>
          <cell r="AN99" t="e">
            <v>#REF!</v>
          </cell>
          <cell r="AP99" t="e">
            <v>#REF!</v>
          </cell>
          <cell r="AS99">
            <v>0</v>
          </cell>
        </row>
        <row r="100">
          <cell r="C100">
            <v>-1308</v>
          </cell>
          <cell r="N100">
            <v>0.19200000000000017</v>
          </cell>
          <cell r="P100">
            <v>-0.19200000000000017</v>
          </cell>
          <cell r="Q100">
            <v>-0.32000000000000028</v>
          </cell>
          <cell r="R100">
            <v>31</v>
          </cell>
          <cell r="S100">
            <v>31.32</v>
          </cell>
          <cell r="T100">
            <v>-0.3360000000000003</v>
          </cell>
          <cell r="W100">
            <v>2</v>
          </cell>
          <cell r="X100">
            <v>2.3360000000000003</v>
          </cell>
          <cell r="Y100">
            <v>0.28000000000000114</v>
          </cell>
          <cell r="AB100">
            <v>10</v>
          </cell>
          <cell r="AC100">
            <v>9.7199999999999989</v>
          </cell>
          <cell r="AD100">
            <v>0.35200000000000031</v>
          </cell>
          <cell r="AE100">
            <v>0.35200000000000031</v>
          </cell>
          <cell r="AF100">
            <v>0</v>
          </cell>
          <cell r="AG100">
            <v>128</v>
          </cell>
          <cell r="AH100">
            <v>128</v>
          </cell>
          <cell r="AI100">
            <v>0</v>
          </cell>
          <cell r="AJ100">
            <v>127.648</v>
          </cell>
          <cell r="AN100" t="e">
            <v>#REF!</v>
          </cell>
          <cell r="AP100" t="e">
            <v>#REF!</v>
          </cell>
          <cell r="AS100">
            <v>140</v>
          </cell>
        </row>
        <row r="101">
          <cell r="C101">
            <v>-2616</v>
          </cell>
          <cell r="N101">
            <v>0</v>
          </cell>
          <cell r="P101">
            <v>0</v>
          </cell>
          <cell r="Q101">
            <v>0</v>
          </cell>
          <cell r="R101">
            <v>0</v>
          </cell>
          <cell r="S101">
            <v>0</v>
          </cell>
          <cell r="T101">
            <v>0</v>
          </cell>
          <cell r="X101">
            <v>0</v>
          </cell>
          <cell r="Y101">
            <v>0</v>
          </cell>
          <cell r="AC101">
            <v>0</v>
          </cell>
          <cell r="AD101">
            <v>0</v>
          </cell>
          <cell r="AE101">
            <v>0</v>
          </cell>
          <cell r="AF101">
            <v>0</v>
          </cell>
          <cell r="AI101">
            <v>0</v>
          </cell>
          <cell r="AJ101">
            <v>0</v>
          </cell>
          <cell r="AN101" t="e">
            <v>#REF!</v>
          </cell>
          <cell r="AP101" t="e">
            <v>#REF!</v>
          </cell>
          <cell r="AS101">
            <v>0</v>
          </cell>
        </row>
        <row r="102">
          <cell r="C102">
            <v>-1308</v>
          </cell>
          <cell r="N102">
            <v>0</v>
          </cell>
          <cell r="P102">
            <v>0</v>
          </cell>
          <cell r="Q102">
            <v>0</v>
          </cell>
          <cell r="S102">
            <v>0</v>
          </cell>
          <cell r="T102">
            <v>0</v>
          </cell>
          <cell r="X102">
            <v>0</v>
          </cell>
          <cell r="Y102">
            <v>0</v>
          </cell>
          <cell r="AC102">
            <v>0</v>
          </cell>
          <cell r="AD102">
            <v>0</v>
          </cell>
          <cell r="AE102">
            <v>0</v>
          </cell>
          <cell r="AF102">
            <v>0</v>
          </cell>
          <cell r="AI102">
            <v>0</v>
          </cell>
          <cell r="AJ102">
            <v>0</v>
          </cell>
          <cell r="AN102" t="e">
            <v>#REF!</v>
          </cell>
          <cell r="AP102" t="e">
            <v>#REF!</v>
          </cell>
          <cell r="AS102">
            <v>0</v>
          </cell>
        </row>
        <row r="103">
          <cell r="C103">
            <v>0</v>
          </cell>
          <cell r="N103">
            <v>0.19200000000000017</v>
          </cell>
          <cell r="P103">
            <v>-0.19200000000000017</v>
          </cell>
          <cell r="Q103">
            <v>-0.32000000000000028</v>
          </cell>
          <cell r="R103">
            <v>31</v>
          </cell>
          <cell r="S103">
            <v>31.32</v>
          </cell>
          <cell r="T103">
            <v>-0.3360000000000003</v>
          </cell>
          <cell r="W103">
            <v>2</v>
          </cell>
          <cell r="X103">
            <v>2.3360000000000003</v>
          </cell>
          <cell r="Y103">
            <v>0.28000000000000114</v>
          </cell>
          <cell r="AB103">
            <v>10</v>
          </cell>
          <cell r="AC103">
            <v>9.7199999999999989</v>
          </cell>
          <cell r="AD103">
            <v>0.35200000000000031</v>
          </cell>
          <cell r="AE103">
            <v>0.35200000000000031</v>
          </cell>
          <cell r="AF103">
            <v>0</v>
          </cell>
          <cell r="AG103">
            <v>128</v>
          </cell>
          <cell r="AH103">
            <v>128</v>
          </cell>
          <cell r="AI103">
            <v>0</v>
          </cell>
          <cell r="AJ103">
            <v>127.648</v>
          </cell>
          <cell r="AN103">
            <v>3701.768</v>
          </cell>
          <cell r="AP103">
            <v>3702</v>
          </cell>
          <cell r="AS103">
            <v>140</v>
          </cell>
        </row>
        <row r="104">
          <cell r="C104">
            <v>0</v>
          </cell>
          <cell r="N104">
            <v>0.20800000000000018</v>
          </cell>
          <cell r="P104">
            <v>-0.20800000000000018</v>
          </cell>
          <cell r="Q104">
            <v>234.404</v>
          </cell>
          <cell r="R104">
            <v>154</v>
          </cell>
          <cell r="S104">
            <v>-80.403999999999996</v>
          </cell>
          <cell r="T104">
            <v>-0.42800000000000082</v>
          </cell>
          <cell r="W104">
            <v>79</v>
          </cell>
          <cell r="X104">
            <v>79.427999999999997</v>
          </cell>
          <cell r="Y104">
            <v>6.799999999999784E-2</v>
          </cell>
          <cell r="AB104">
            <v>86</v>
          </cell>
          <cell r="AC104">
            <v>85.932000000000002</v>
          </cell>
          <cell r="AD104">
            <v>0.28399999999999892</v>
          </cell>
          <cell r="AE104">
            <v>0.28399999999999892</v>
          </cell>
          <cell r="AF104">
            <v>0</v>
          </cell>
          <cell r="AG104">
            <v>30</v>
          </cell>
          <cell r="AH104">
            <v>30</v>
          </cell>
          <cell r="AI104">
            <v>0</v>
          </cell>
          <cell r="AJ104">
            <v>29.716000000000001</v>
          </cell>
          <cell r="AN104" t="e">
            <v>#REF!</v>
          </cell>
          <cell r="AP104" t="e">
            <v>#REF!</v>
          </cell>
          <cell r="AS104">
            <v>195</v>
          </cell>
        </row>
        <row r="105">
          <cell r="C105">
            <v>0</v>
          </cell>
          <cell r="N105">
            <v>0</v>
          </cell>
          <cell r="P105">
            <v>0</v>
          </cell>
          <cell r="Q105">
            <v>233.64000000000001</v>
          </cell>
          <cell r="R105">
            <v>0</v>
          </cell>
          <cell r="S105">
            <v>-233.64000000000001</v>
          </cell>
          <cell r="T105">
            <v>0</v>
          </cell>
          <cell r="W105">
            <v>0</v>
          </cell>
          <cell r="X105">
            <v>0</v>
          </cell>
          <cell r="Y105">
            <v>0</v>
          </cell>
          <cell r="AB105">
            <v>0</v>
          </cell>
          <cell r="AC105">
            <v>0</v>
          </cell>
          <cell r="AD105">
            <v>0</v>
          </cell>
          <cell r="AE105">
            <v>0</v>
          </cell>
          <cell r="AF105">
            <v>0</v>
          </cell>
          <cell r="AI105">
            <v>0</v>
          </cell>
          <cell r="AJ105">
            <v>0</v>
          </cell>
          <cell r="AN105" t="e">
            <v>#REF!</v>
          </cell>
          <cell r="AP105" t="e">
            <v>#REF!</v>
          </cell>
          <cell r="AS105">
            <v>0</v>
          </cell>
        </row>
        <row r="106">
          <cell r="C106">
            <v>0</v>
          </cell>
          <cell r="N106">
            <v>0.20800000000000018</v>
          </cell>
          <cell r="P106">
            <v>-0.20800000000000018</v>
          </cell>
          <cell r="Q106">
            <v>-0.23600000000000065</v>
          </cell>
          <cell r="R106">
            <v>154</v>
          </cell>
          <cell r="S106">
            <v>154.23599999999999</v>
          </cell>
          <cell r="T106">
            <v>-0.42800000000000082</v>
          </cell>
          <cell r="W106">
            <v>79</v>
          </cell>
          <cell r="X106">
            <v>79.427999999999997</v>
          </cell>
          <cell r="Y106">
            <v>6.799999999999784E-2</v>
          </cell>
          <cell r="AB106">
            <v>86</v>
          </cell>
          <cell r="AC106">
            <v>85.932000000000002</v>
          </cell>
          <cell r="AD106">
            <v>0.28399999999999892</v>
          </cell>
          <cell r="AE106">
            <v>0.28399999999999892</v>
          </cell>
          <cell r="AF106">
            <v>0</v>
          </cell>
          <cell r="AG106">
            <v>30</v>
          </cell>
          <cell r="AH106">
            <v>30</v>
          </cell>
          <cell r="AI106">
            <v>0</v>
          </cell>
          <cell r="AJ106">
            <v>29.716000000000001</v>
          </cell>
          <cell r="AN106" t="e">
            <v>#REF!</v>
          </cell>
          <cell r="AP106" t="e">
            <v>#REF!</v>
          </cell>
          <cell r="AS106">
            <v>195</v>
          </cell>
        </row>
        <row r="107">
          <cell r="C107" t="e">
            <v>#REF!</v>
          </cell>
          <cell r="N107">
            <v>0</v>
          </cell>
          <cell r="P107">
            <v>0</v>
          </cell>
          <cell r="Q107">
            <v>526.04999999999995</v>
          </cell>
          <cell r="R107">
            <v>800</v>
          </cell>
          <cell r="S107">
            <v>273.95000000000005</v>
          </cell>
          <cell r="T107">
            <v>0</v>
          </cell>
          <cell r="X107">
            <v>0</v>
          </cell>
          <cell r="Y107">
            <v>0</v>
          </cell>
          <cell r="AC107">
            <v>0</v>
          </cell>
          <cell r="AD107">
            <v>0</v>
          </cell>
          <cell r="AE107">
            <v>0</v>
          </cell>
          <cell r="AF107">
            <v>0</v>
          </cell>
          <cell r="AI107">
            <v>0</v>
          </cell>
          <cell r="AJ107">
            <v>0</v>
          </cell>
          <cell r="AN107" t="e">
            <v>#REF!</v>
          </cell>
          <cell r="AP107" t="e">
            <v>#REF!</v>
          </cell>
          <cell r="AQ107" t="e">
            <v>#REF!</v>
          </cell>
          <cell r="AR107" t="e">
            <v>#REF!</v>
          </cell>
          <cell r="AS107">
            <v>0</v>
          </cell>
        </row>
        <row r="108">
          <cell r="C108">
            <v>0</v>
          </cell>
          <cell r="N108">
            <v>0</v>
          </cell>
          <cell r="P108">
            <v>0</v>
          </cell>
          <cell r="Q108">
            <v>526.04999999999995</v>
          </cell>
          <cell r="R108">
            <v>800</v>
          </cell>
          <cell r="S108">
            <v>273.95000000000005</v>
          </cell>
          <cell r="T108">
            <v>0</v>
          </cell>
          <cell r="X108">
            <v>0</v>
          </cell>
          <cell r="Y108">
            <v>0</v>
          </cell>
          <cell r="AC108">
            <v>0</v>
          </cell>
          <cell r="AD108">
            <v>0</v>
          </cell>
          <cell r="AE108">
            <v>0</v>
          </cell>
          <cell r="AF108">
            <v>0</v>
          </cell>
          <cell r="AI108">
            <v>0</v>
          </cell>
          <cell r="AJ108">
            <v>0</v>
          </cell>
          <cell r="AN108" t="e">
            <v>#REF!</v>
          </cell>
          <cell r="AP108" t="e">
            <v>#REF!</v>
          </cell>
          <cell r="AS108">
            <v>0</v>
          </cell>
        </row>
        <row r="109">
          <cell r="C109">
            <v>0</v>
          </cell>
          <cell r="N109">
            <v>0</v>
          </cell>
          <cell r="P109">
            <v>0</v>
          </cell>
          <cell r="Q109">
            <v>0</v>
          </cell>
          <cell r="S109">
            <v>0</v>
          </cell>
          <cell r="T109">
            <v>0</v>
          </cell>
          <cell r="X109">
            <v>0</v>
          </cell>
          <cell r="Y109">
            <v>0</v>
          </cell>
          <cell r="AC109">
            <v>0</v>
          </cell>
          <cell r="AD109">
            <v>0</v>
          </cell>
          <cell r="AE109">
            <v>0</v>
          </cell>
          <cell r="AF109">
            <v>0</v>
          </cell>
          <cell r="AI109">
            <v>0</v>
          </cell>
          <cell r="AJ109">
            <v>0</v>
          </cell>
          <cell r="AN109" t="e">
            <v>#REF!</v>
          </cell>
          <cell r="AP109" t="e">
            <v>#REF!</v>
          </cell>
          <cell r="AQ109">
            <v>0</v>
          </cell>
          <cell r="AR109">
            <v>0</v>
          </cell>
          <cell r="AS109">
            <v>0</v>
          </cell>
        </row>
        <row r="110">
          <cell r="C110">
            <v>0</v>
          </cell>
          <cell r="N110">
            <v>0</v>
          </cell>
          <cell r="P110">
            <v>0</v>
          </cell>
          <cell r="Q110">
            <v>0</v>
          </cell>
          <cell r="S110">
            <v>0</v>
          </cell>
          <cell r="T110">
            <v>0</v>
          </cell>
          <cell r="X110">
            <v>0</v>
          </cell>
          <cell r="Y110">
            <v>0</v>
          </cell>
          <cell r="AC110">
            <v>0</v>
          </cell>
          <cell r="AD110">
            <v>0</v>
          </cell>
          <cell r="AE110">
            <v>0</v>
          </cell>
          <cell r="AF110">
            <v>0</v>
          </cell>
          <cell r="AI110">
            <v>0</v>
          </cell>
          <cell r="AJ110">
            <v>0</v>
          </cell>
          <cell r="AN110" t="e">
            <v>#REF!</v>
          </cell>
          <cell r="AP110" t="e">
            <v>#REF!</v>
          </cell>
          <cell r="AS110">
            <v>0</v>
          </cell>
        </row>
        <row r="111">
          <cell r="C111">
            <v>0</v>
          </cell>
          <cell r="N111">
            <v>0</v>
          </cell>
          <cell r="P111">
            <v>0</v>
          </cell>
          <cell r="Q111">
            <v>0</v>
          </cell>
          <cell r="R111">
            <v>928</v>
          </cell>
          <cell r="S111">
            <v>928</v>
          </cell>
          <cell r="T111">
            <v>0</v>
          </cell>
          <cell r="W111">
            <v>366</v>
          </cell>
          <cell r="X111">
            <v>366</v>
          </cell>
          <cell r="Y111">
            <v>0</v>
          </cell>
          <cell r="AB111">
            <v>251</v>
          </cell>
          <cell r="AC111">
            <v>251</v>
          </cell>
          <cell r="AD111">
            <v>0</v>
          </cell>
          <cell r="AE111">
            <v>0</v>
          </cell>
          <cell r="AF111">
            <v>0</v>
          </cell>
          <cell r="AG111">
            <v>535</v>
          </cell>
          <cell r="AH111">
            <v>535</v>
          </cell>
          <cell r="AI111">
            <v>0</v>
          </cell>
          <cell r="AJ111">
            <v>535</v>
          </cell>
          <cell r="AN111" t="e">
            <v>#REF!</v>
          </cell>
          <cell r="AP111" t="e">
            <v>#REF!</v>
          </cell>
          <cell r="AS111">
            <v>1152</v>
          </cell>
        </row>
        <row r="112">
          <cell r="C112">
            <v>0</v>
          </cell>
          <cell r="N112">
            <v>0</v>
          </cell>
          <cell r="P112">
            <v>0</v>
          </cell>
          <cell r="Q112">
            <v>0</v>
          </cell>
          <cell r="R112">
            <v>8</v>
          </cell>
          <cell r="S112">
            <v>8</v>
          </cell>
          <cell r="T112">
            <v>0</v>
          </cell>
          <cell r="W112">
            <v>57</v>
          </cell>
          <cell r="X112">
            <v>57</v>
          </cell>
          <cell r="Y112">
            <v>0</v>
          </cell>
          <cell r="AB112">
            <v>7</v>
          </cell>
          <cell r="AC112">
            <v>7</v>
          </cell>
          <cell r="AD112">
            <v>0</v>
          </cell>
          <cell r="AE112">
            <v>0</v>
          </cell>
          <cell r="AF112">
            <v>0</v>
          </cell>
          <cell r="AI112">
            <v>0</v>
          </cell>
          <cell r="AJ112">
            <v>0</v>
          </cell>
          <cell r="AN112">
            <v>19</v>
          </cell>
          <cell r="AP112">
            <v>19</v>
          </cell>
          <cell r="AS112">
            <v>64</v>
          </cell>
        </row>
        <row r="113">
          <cell r="C113">
            <v>695</v>
          </cell>
          <cell r="N113">
            <v>0</v>
          </cell>
          <cell r="P113">
            <v>0</v>
          </cell>
          <cell r="Q113">
            <v>0</v>
          </cell>
          <cell r="S113">
            <v>0</v>
          </cell>
          <cell r="T113">
            <v>0</v>
          </cell>
          <cell r="X113">
            <v>0</v>
          </cell>
          <cell r="Y113">
            <v>0</v>
          </cell>
          <cell r="AC113">
            <v>0</v>
          </cell>
          <cell r="AD113">
            <v>0</v>
          </cell>
          <cell r="AE113">
            <v>0</v>
          </cell>
          <cell r="AF113">
            <v>0</v>
          </cell>
          <cell r="AI113">
            <v>0</v>
          </cell>
          <cell r="AJ113">
            <v>0</v>
          </cell>
          <cell r="AN113" t="e">
            <v>#REF!</v>
          </cell>
          <cell r="AP113" t="e">
            <v>#REF!</v>
          </cell>
          <cell r="AS113">
            <v>0</v>
          </cell>
        </row>
        <row r="114">
          <cell r="C114">
            <v>100</v>
          </cell>
          <cell r="P114">
            <v>0</v>
          </cell>
          <cell r="S114">
            <v>0</v>
          </cell>
          <cell r="X114">
            <v>0</v>
          </cell>
          <cell r="AC114">
            <v>0</v>
          </cell>
          <cell r="AF114">
            <v>0</v>
          </cell>
          <cell r="AI114">
            <v>0</v>
          </cell>
          <cell r="AJ114">
            <v>0</v>
          </cell>
          <cell r="AP114">
            <v>100</v>
          </cell>
          <cell r="AS114">
            <v>0</v>
          </cell>
        </row>
        <row r="115">
          <cell r="C115">
            <v>7109</v>
          </cell>
          <cell r="P115">
            <v>0</v>
          </cell>
          <cell r="S115">
            <v>0</v>
          </cell>
          <cell r="X115">
            <v>0</v>
          </cell>
          <cell r="AC115">
            <v>0</v>
          </cell>
          <cell r="AF115">
            <v>0</v>
          </cell>
          <cell r="AI115">
            <v>0</v>
          </cell>
          <cell r="AJ115">
            <v>0</v>
          </cell>
          <cell r="AP115">
            <v>7109</v>
          </cell>
          <cell r="AS115">
            <v>0</v>
          </cell>
        </row>
        <row r="116">
          <cell r="C116">
            <v>3500</v>
          </cell>
        </row>
        <row r="119">
          <cell r="P119">
            <v>0</v>
          </cell>
          <cell r="S119">
            <v>0</v>
          </cell>
          <cell r="X119">
            <v>0</v>
          </cell>
          <cell r="AC119">
            <v>0</v>
          </cell>
          <cell r="AE119" t="e">
            <v>#REF!</v>
          </cell>
          <cell r="AF119" t="e">
            <v>#REF!</v>
          </cell>
          <cell r="AI119">
            <v>0</v>
          </cell>
          <cell r="AJ119">
            <v>0</v>
          </cell>
          <cell r="AN119" t="e">
            <v>#REF!</v>
          </cell>
          <cell r="AP119">
            <v>36465</v>
          </cell>
          <cell r="AQ119" t="e">
            <v>#REF!</v>
          </cell>
          <cell r="AS119">
            <v>0</v>
          </cell>
        </row>
        <row r="120">
          <cell r="C120">
            <v>0</v>
          </cell>
          <cell r="P120">
            <v>0</v>
          </cell>
          <cell r="S120">
            <v>0</v>
          </cell>
          <cell r="X120">
            <v>0</v>
          </cell>
          <cell r="AC120">
            <v>0</v>
          </cell>
          <cell r="AJ120">
            <v>0</v>
          </cell>
          <cell r="AN120" t="e">
            <v>#REF!</v>
          </cell>
          <cell r="AP120" t="e">
            <v>#REF!</v>
          </cell>
          <cell r="AS120">
            <v>0</v>
          </cell>
        </row>
        <row r="121">
          <cell r="C121">
            <v>11853</v>
          </cell>
          <cell r="D121">
            <v>0</v>
          </cell>
          <cell r="E121">
            <v>0</v>
          </cell>
          <cell r="N121">
            <v>0.40000000000000036</v>
          </cell>
          <cell r="O121">
            <v>0</v>
          </cell>
          <cell r="P121">
            <v>-0.40000000000000036</v>
          </cell>
          <cell r="Q121">
            <v>0</v>
          </cell>
          <cell r="R121">
            <v>1921</v>
          </cell>
          <cell r="S121">
            <v>1921</v>
          </cell>
          <cell r="T121">
            <v>-0.76400000000000112</v>
          </cell>
          <cell r="U121">
            <v>0</v>
          </cell>
          <cell r="V121">
            <v>0</v>
          </cell>
          <cell r="W121">
            <v>504</v>
          </cell>
          <cell r="X121">
            <v>504.76400000000001</v>
          </cell>
          <cell r="Y121">
            <v>0.34799999999999898</v>
          </cell>
          <cell r="Z121">
            <v>0</v>
          </cell>
          <cell r="AA121">
            <v>0</v>
          </cell>
          <cell r="AB121">
            <v>354</v>
          </cell>
          <cell r="AC121">
            <v>353.65199999999999</v>
          </cell>
          <cell r="AD121">
            <v>0.63599999999999923</v>
          </cell>
          <cell r="AE121">
            <v>0.63599999999999923</v>
          </cell>
          <cell r="AF121">
            <v>0</v>
          </cell>
          <cell r="AG121">
            <v>693</v>
          </cell>
          <cell r="AH121">
            <v>693</v>
          </cell>
          <cell r="AI121">
            <v>0</v>
          </cell>
          <cell r="AJ121">
            <v>692.36400000000003</v>
          </cell>
          <cell r="AN121" t="e">
            <v>#REF!</v>
          </cell>
          <cell r="AP121" t="e">
            <v>#REF!</v>
          </cell>
          <cell r="AU121">
            <v>0</v>
          </cell>
          <cell r="AV121">
            <v>0</v>
          </cell>
          <cell r="AW121">
            <v>0</v>
          </cell>
          <cell r="AX121">
            <v>0</v>
          </cell>
        </row>
        <row r="122">
          <cell r="C122" t="e">
            <v>#REF!</v>
          </cell>
          <cell r="D122">
            <v>0</v>
          </cell>
          <cell r="E122">
            <v>0</v>
          </cell>
          <cell r="N122">
            <v>900.4</v>
          </cell>
          <cell r="P122">
            <v>-900.4</v>
          </cell>
          <cell r="Q122">
            <v>1380.134</v>
          </cell>
          <cell r="T122">
            <v>-0.76400000000000112</v>
          </cell>
          <cell r="U122">
            <v>0</v>
          </cell>
          <cell r="V122">
            <v>0</v>
          </cell>
          <cell r="X122">
            <v>0.76400000000000112</v>
          </cell>
          <cell r="Y122">
            <v>0.34799999999999898</v>
          </cell>
          <cell r="Z122">
            <v>0</v>
          </cell>
          <cell r="AA122">
            <v>0</v>
          </cell>
          <cell r="AC122">
            <v>-0.34799999999999898</v>
          </cell>
          <cell r="AJ122">
            <v>0</v>
          </cell>
          <cell r="AN122" t="e">
            <v>#REF!</v>
          </cell>
          <cell r="AP122" t="e">
            <v>#REF!</v>
          </cell>
        </row>
        <row r="123">
          <cell r="P123">
            <v>0</v>
          </cell>
          <cell r="X123">
            <v>0</v>
          </cell>
          <cell r="AC123">
            <v>0</v>
          </cell>
          <cell r="AJ123">
            <v>0</v>
          </cell>
          <cell r="AP123" t="e">
            <v>#REF!</v>
          </cell>
        </row>
        <row r="124">
          <cell r="P124">
            <v>0</v>
          </cell>
          <cell r="X124">
            <v>0</v>
          </cell>
          <cell r="AC124">
            <v>0</v>
          </cell>
          <cell r="AJ124">
            <v>0</v>
          </cell>
          <cell r="AP124" t="e">
            <v>#REF!</v>
          </cell>
        </row>
        <row r="125">
          <cell r="P125">
            <v>0</v>
          </cell>
          <cell r="X125">
            <v>0</v>
          </cell>
          <cell r="AC125">
            <v>0</v>
          </cell>
          <cell r="AJ125">
            <v>0</v>
          </cell>
          <cell r="AP125" t="e">
            <v>#REF!</v>
          </cell>
          <cell r="AQ125" t="e">
            <v>#REF!</v>
          </cell>
          <cell r="AR125" t="e">
            <v>#REF!</v>
          </cell>
        </row>
        <row r="126">
          <cell r="P126">
            <v>0</v>
          </cell>
          <cell r="X126">
            <v>0</v>
          </cell>
          <cell r="AC126">
            <v>0</v>
          </cell>
          <cell r="AJ126">
            <v>0</v>
          </cell>
        </row>
        <row r="127">
          <cell r="P127">
            <v>0</v>
          </cell>
          <cell r="X127">
            <v>0</v>
          </cell>
          <cell r="AC127">
            <v>0</v>
          </cell>
          <cell r="AJ127">
            <v>0</v>
          </cell>
          <cell r="AP127" t="e">
            <v>#REF!</v>
          </cell>
          <cell r="AU127">
            <v>0</v>
          </cell>
        </row>
        <row r="128">
          <cell r="P128">
            <v>0</v>
          </cell>
          <cell r="X128">
            <v>0</v>
          </cell>
          <cell r="AC128">
            <v>0</v>
          </cell>
          <cell r="AJ128">
            <v>0</v>
          </cell>
        </row>
        <row r="129">
          <cell r="P129">
            <v>0</v>
          </cell>
          <cell r="X129">
            <v>0</v>
          </cell>
          <cell r="AC129">
            <v>0</v>
          </cell>
          <cell r="AJ129">
            <v>0</v>
          </cell>
        </row>
        <row r="130">
          <cell r="P130">
            <v>0</v>
          </cell>
          <cell r="X130">
            <v>0</v>
          </cell>
          <cell r="AC130">
            <v>0</v>
          </cell>
          <cell r="AJ130">
            <v>0</v>
          </cell>
          <cell r="AP130" t="e">
            <v>#REF!</v>
          </cell>
          <cell r="AR130" t="e">
            <v>#REF!</v>
          </cell>
          <cell r="AU130">
            <v>0</v>
          </cell>
          <cell r="AW130">
            <v>0</v>
          </cell>
        </row>
        <row r="131">
          <cell r="P131">
            <v>0</v>
          </cell>
          <cell r="X131">
            <v>0</v>
          </cell>
          <cell r="AC131">
            <v>0</v>
          </cell>
          <cell r="AJ131">
            <v>0</v>
          </cell>
          <cell r="AP131" t="e">
            <v>#REF!</v>
          </cell>
          <cell r="AU131">
            <v>0</v>
          </cell>
        </row>
        <row r="132">
          <cell r="P132">
            <v>0</v>
          </cell>
          <cell r="X132">
            <v>0</v>
          </cell>
          <cell r="AC132">
            <v>0</v>
          </cell>
          <cell r="AJ132">
            <v>0</v>
          </cell>
          <cell r="AP132" t="e">
            <v>#REF!</v>
          </cell>
          <cell r="AU132" t="e">
            <v>#DIV/0!</v>
          </cell>
        </row>
        <row r="133">
          <cell r="P133">
            <v>0</v>
          </cell>
          <cell r="X133">
            <v>0</v>
          </cell>
          <cell r="AC133">
            <v>0</v>
          </cell>
          <cell r="AJ133">
            <v>0</v>
          </cell>
          <cell r="AP133" t="e">
            <v>#REF!</v>
          </cell>
          <cell r="AU133" t="e">
            <v>#DIV/0!</v>
          </cell>
        </row>
        <row r="134">
          <cell r="P134">
            <v>0</v>
          </cell>
          <cell r="X134">
            <v>0</v>
          </cell>
          <cell r="AC134">
            <v>0</v>
          </cell>
          <cell r="AJ134">
            <v>0</v>
          </cell>
          <cell r="AP134">
            <v>0</v>
          </cell>
          <cell r="AU134">
            <v>0</v>
          </cell>
        </row>
        <row r="135">
          <cell r="P135">
            <v>0</v>
          </cell>
          <cell r="X135">
            <v>0</v>
          </cell>
          <cell r="AC135">
            <v>0</v>
          </cell>
          <cell r="AJ135">
            <v>0</v>
          </cell>
        </row>
        <row r="136">
          <cell r="P136">
            <v>0</v>
          </cell>
          <cell r="X136">
            <v>0</v>
          </cell>
          <cell r="AC136">
            <v>0</v>
          </cell>
          <cell r="AJ136">
            <v>0</v>
          </cell>
          <cell r="AP136">
            <v>36.19</v>
          </cell>
          <cell r="AU136" t="e">
            <v>#DIV/0!</v>
          </cell>
        </row>
        <row r="137">
          <cell r="P137">
            <v>0</v>
          </cell>
          <cell r="X137">
            <v>0</v>
          </cell>
          <cell r="AC137">
            <v>0</v>
          </cell>
          <cell r="AJ137">
            <v>0</v>
          </cell>
        </row>
        <row r="138">
          <cell r="P138">
            <v>0</v>
          </cell>
          <cell r="X138">
            <v>0</v>
          </cell>
          <cell r="AC138">
            <v>0</v>
          </cell>
          <cell r="AJ138">
            <v>0</v>
          </cell>
          <cell r="AN138">
            <v>0</v>
          </cell>
          <cell r="AP138" t="e">
            <v>#REF!</v>
          </cell>
          <cell r="AU138" t="e">
            <v>#DIV/0!</v>
          </cell>
        </row>
        <row r="139">
          <cell r="P139">
            <v>0</v>
          </cell>
          <cell r="X139">
            <v>0</v>
          </cell>
          <cell r="AC139">
            <v>0</v>
          </cell>
          <cell r="AJ139">
            <v>0</v>
          </cell>
          <cell r="AP139">
            <v>180931</v>
          </cell>
          <cell r="AQ139">
            <v>180931</v>
          </cell>
        </row>
        <row r="140">
          <cell r="C140" t="str">
            <v>коп/кВтг</v>
          </cell>
          <cell r="P140">
            <v>0</v>
          </cell>
          <cell r="X140">
            <v>0</v>
          </cell>
          <cell r="AC140">
            <v>0</v>
          </cell>
          <cell r="AJ140">
            <v>0</v>
          </cell>
        </row>
        <row r="141">
          <cell r="P141">
            <v>0</v>
          </cell>
          <cell r="X141">
            <v>0</v>
          </cell>
          <cell r="AC141">
            <v>0</v>
          </cell>
          <cell r="AJ141">
            <v>0</v>
          </cell>
          <cell r="AN141">
            <v>0</v>
          </cell>
          <cell r="AP141">
            <v>0</v>
          </cell>
        </row>
        <row r="142">
          <cell r="P142">
            <v>0</v>
          </cell>
          <cell r="Q142">
            <v>0</v>
          </cell>
          <cell r="X142">
            <v>0</v>
          </cell>
          <cell r="AC142">
            <v>0</v>
          </cell>
          <cell r="AJ142">
            <v>0</v>
          </cell>
          <cell r="AP142">
            <v>2601</v>
          </cell>
        </row>
        <row r="143">
          <cell r="P143">
            <v>0</v>
          </cell>
          <cell r="X143">
            <v>0</v>
          </cell>
          <cell r="AC143">
            <v>0</v>
          </cell>
          <cell r="AJ143">
            <v>0</v>
          </cell>
          <cell r="AN143">
            <v>0</v>
          </cell>
          <cell r="AP143" t="e">
            <v>#REF!</v>
          </cell>
          <cell r="AQ143">
            <v>180931</v>
          </cell>
          <cell r="AR143" t="e">
            <v>#REF!</v>
          </cell>
          <cell r="AU143">
            <v>0</v>
          </cell>
        </row>
        <row r="144">
          <cell r="P144">
            <v>0</v>
          </cell>
          <cell r="X144">
            <v>0</v>
          </cell>
          <cell r="AC144">
            <v>0</v>
          </cell>
          <cell r="AJ144">
            <v>0</v>
          </cell>
          <cell r="AP144">
            <v>0</v>
          </cell>
        </row>
        <row r="145">
          <cell r="P145">
            <v>0</v>
          </cell>
          <cell r="X145">
            <v>0</v>
          </cell>
          <cell r="AC145">
            <v>0</v>
          </cell>
          <cell r="AJ145">
            <v>0</v>
          </cell>
          <cell r="AP145" t="e">
            <v>#REF!</v>
          </cell>
          <cell r="AQ145">
            <v>180931</v>
          </cell>
          <cell r="AR145" t="e">
            <v>#REF!</v>
          </cell>
        </row>
        <row r="146">
          <cell r="P146">
            <v>0</v>
          </cell>
          <cell r="X146">
            <v>0</v>
          </cell>
          <cell r="AC146">
            <v>0</v>
          </cell>
          <cell r="AJ146">
            <v>0</v>
          </cell>
          <cell r="AU146">
            <v>22477</v>
          </cell>
          <cell r="AV146">
            <v>37158</v>
          </cell>
          <cell r="AW146">
            <v>23807.218909090912</v>
          </cell>
          <cell r="AX146" t="e">
            <v>#REF!</v>
          </cell>
        </row>
        <row r="147">
          <cell r="P147">
            <v>0</v>
          </cell>
          <cell r="X147">
            <v>0</v>
          </cell>
          <cell r="AC147">
            <v>0</v>
          </cell>
          <cell r="AJ147">
            <v>0</v>
          </cell>
          <cell r="AP147" t="e">
            <v>#REF!</v>
          </cell>
          <cell r="AQ147" t="e">
            <v>#REF!</v>
          </cell>
          <cell r="AR147" t="e">
            <v>#REF!</v>
          </cell>
        </row>
        <row r="148">
          <cell r="P148">
            <v>0</v>
          </cell>
          <cell r="X148">
            <v>0</v>
          </cell>
          <cell r="AC148">
            <v>0</v>
          </cell>
          <cell r="AJ148">
            <v>0</v>
          </cell>
        </row>
        <row r="149">
          <cell r="C149">
            <v>0</v>
          </cell>
          <cell r="N149">
            <v>0</v>
          </cell>
          <cell r="P149">
            <v>0</v>
          </cell>
          <cell r="Q149">
            <v>0</v>
          </cell>
          <cell r="T149">
            <v>0</v>
          </cell>
          <cell r="X149">
            <v>0</v>
          </cell>
          <cell r="Y149">
            <v>0</v>
          </cell>
          <cell r="AC149">
            <v>0</v>
          </cell>
          <cell r="AJ149">
            <v>0</v>
          </cell>
          <cell r="AN149">
            <v>0</v>
          </cell>
        </row>
        <row r="151">
          <cell r="C151">
            <v>916.24199999999996</v>
          </cell>
          <cell r="N151">
            <v>1295.5</v>
          </cell>
          <cell r="P151">
            <v>-1295.5</v>
          </cell>
          <cell r="Q151">
            <v>2567.7454545454548</v>
          </cell>
          <cell r="S151">
            <v>-2567.7454545454548</v>
          </cell>
          <cell r="T151">
            <v>1558.3090909090909</v>
          </cell>
          <cell r="W151">
            <v>1510</v>
          </cell>
          <cell r="X151">
            <v>-48.309090909090855</v>
          </cell>
          <cell r="Y151">
            <v>1196.7</v>
          </cell>
          <cell r="AC151">
            <v>-1196.7</v>
          </cell>
          <cell r="AD151">
            <v>1791.7636363636364</v>
          </cell>
          <cell r="AE151">
            <v>1791.7636363636364</v>
          </cell>
          <cell r="AF151">
            <v>0</v>
          </cell>
          <cell r="AG151">
            <v>1946</v>
          </cell>
          <cell r="AH151">
            <v>938</v>
          </cell>
          <cell r="AI151">
            <v>0</v>
          </cell>
          <cell r="AJ151">
            <v>154.23636363636365</v>
          </cell>
          <cell r="AN151">
            <v>197</v>
          </cell>
          <cell r="AP151">
            <v>9542.2601818181811</v>
          </cell>
        </row>
        <row r="152">
          <cell r="C152">
            <v>916.24199999999996</v>
          </cell>
        </row>
        <row r="153">
          <cell r="N153">
            <v>916.33333333333326</v>
          </cell>
          <cell r="O153">
            <v>272</v>
          </cell>
          <cell r="P153">
            <v>-644.33333333333326</v>
          </cell>
          <cell r="Q153">
            <v>4251.0909090909099</v>
          </cell>
          <cell r="R153">
            <v>1487</v>
          </cell>
          <cell r="S153">
            <v>-2764.0909090909099</v>
          </cell>
          <cell r="T153">
            <v>2480.4545454545455</v>
          </cell>
          <cell r="U153">
            <v>1268</v>
          </cell>
          <cell r="V153">
            <v>1212.4545454545455</v>
          </cell>
          <cell r="W153">
            <v>831</v>
          </cell>
          <cell r="X153">
            <v>-1649.4545454545455</v>
          </cell>
          <cell r="Y153">
            <v>1612</v>
          </cell>
          <cell r="Z153">
            <v>874</v>
          </cell>
          <cell r="AA153">
            <v>738</v>
          </cell>
          <cell r="AB153">
            <v>596</v>
          </cell>
          <cell r="AC153">
            <v>-1016</v>
          </cell>
          <cell r="AD153">
            <v>1727</v>
          </cell>
          <cell r="AE153">
            <v>1727.090909090909</v>
          </cell>
          <cell r="AF153">
            <v>-9.0909090909008228E-2</v>
          </cell>
          <cell r="AG153">
            <v>437</v>
          </cell>
          <cell r="AH153">
            <v>265</v>
          </cell>
          <cell r="AI153">
            <v>0</v>
          </cell>
          <cell r="AJ153">
            <v>-1290</v>
          </cell>
          <cell r="AN153">
            <v>0</v>
          </cell>
        </row>
        <row r="154">
          <cell r="N154">
            <v>0</v>
          </cell>
          <cell r="P154">
            <v>0</v>
          </cell>
          <cell r="Q154">
            <v>0</v>
          </cell>
          <cell r="S154">
            <v>0</v>
          </cell>
          <cell r="T154">
            <v>70</v>
          </cell>
          <cell r="X154">
            <v>-70</v>
          </cell>
          <cell r="Y154">
            <v>24</v>
          </cell>
          <cell r="AC154">
            <v>-24</v>
          </cell>
          <cell r="AJ154">
            <v>0</v>
          </cell>
          <cell r="AP154" t="e">
            <v>#REF!</v>
          </cell>
        </row>
        <row r="155">
          <cell r="N155">
            <v>0</v>
          </cell>
          <cell r="P155">
            <v>0</v>
          </cell>
          <cell r="Q155">
            <v>0</v>
          </cell>
          <cell r="S155">
            <v>0</v>
          </cell>
          <cell r="T155">
            <v>0</v>
          </cell>
          <cell r="X155">
            <v>0</v>
          </cell>
          <cell r="Y155">
            <v>0</v>
          </cell>
          <cell r="AC155">
            <v>0</v>
          </cell>
          <cell r="AJ155">
            <v>0</v>
          </cell>
          <cell r="AP155" t="e">
            <v>#REF!</v>
          </cell>
        </row>
        <row r="156">
          <cell r="C156" t="e">
            <v>#REF!</v>
          </cell>
          <cell r="N156">
            <v>681</v>
          </cell>
          <cell r="P156">
            <v>-681</v>
          </cell>
          <cell r="Q156">
            <v>1041.8333333333333</v>
          </cell>
          <cell r="S156">
            <v>-1041.8333333333333</v>
          </cell>
          <cell r="T156">
            <v>213</v>
          </cell>
          <cell r="X156">
            <v>-213</v>
          </cell>
          <cell r="Y156">
            <v>1171.0035872727274</v>
          </cell>
          <cell r="AC156">
            <v>-1171.0035872727274</v>
          </cell>
          <cell r="AJ156">
            <v>0</v>
          </cell>
          <cell r="AP156" t="e">
            <v>#REF!</v>
          </cell>
        </row>
        <row r="157">
          <cell r="C157" t="e">
            <v>#REF!</v>
          </cell>
          <cell r="N157">
            <v>47</v>
          </cell>
          <cell r="P157">
            <v>-47</v>
          </cell>
          <cell r="Q157">
            <v>140</v>
          </cell>
          <cell r="S157">
            <v>-140</v>
          </cell>
          <cell r="T157">
            <v>105</v>
          </cell>
          <cell r="X157">
            <v>-105</v>
          </cell>
          <cell r="Y157">
            <v>190</v>
          </cell>
          <cell r="AC157">
            <v>-190</v>
          </cell>
          <cell r="AJ157">
            <v>0</v>
          </cell>
          <cell r="AP157" t="e">
            <v>#REF!</v>
          </cell>
        </row>
        <row r="158">
          <cell r="C158" t="e">
            <v>#REF!</v>
          </cell>
          <cell r="N158">
            <v>1248.5</v>
          </cell>
          <cell r="P158">
            <v>-1248.5</v>
          </cell>
          <cell r="Q158">
            <v>140</v>
          </cell>
          <cell r="S158">
            <v>-140</v>
          </cell>
          <cell r="T158" t="str">
            <v xml:space="preserve">                   КОРИГУВАННЯ   ПЛАНУ   НА   СЕРПЕНЬ  1998 р</v>
          </cell>
          <cell r="X158" t="e">
            <v>#VALUE!</v>
          </cell>
          <cell r="Y158">
            <v>1006.7</v>
          </cell>
          <cell r="AC158">
            <v>-1006.7</v>
          </cell>
          <cell r="AJ158">
            <v>0</v>
          </cell>
          <cell r="AP158" t="e">
            <v>#REF!</v>
          </cell>
        </row>
        <row r="159">
          <cell r="C159" t="e">
            <v>#REF!</v>
          </cell>
          <cell r="N159">
            <v>1295.5</v>
          </cell>
          <cell r="P159">
            <v>-1295.5</v>
          </cell>
          <cell r="Q159">
            <v>280</v>
          </cell>
          <cell r="S159">
            <v>-280</v>
          </cell>
          <cell r="X159">
            <v>0</v>
          </cell>
          <cell r="Y159">
            <v>1196.7</v>
          </cell>
          <cell r="AC159">
            <v>-1196.7</v>
          </cell>
          <cell r="AJ159">
            <v>0</v>
          </cell>
        </row>
        <row r="160">
          <cell r="N160">
            <v>0</v>
          </cell>
          <cell r="P160">
            <v>0</v>
          </cell>
          <cell r="Q160">
            <v>2287.7454545454548</v>
          </cell>
          <cell r="S160">
            <v>-2287.7454545454548</v>
          </cell>
          <cell r="X160">
            <v>0</v>
          </cell>
          <cell r="Y160">
            <v>0</v>
          </cell>
          <cell r="AC160">
            <v>0</v>
          </cell>
          <cell r="AJ160">
            <v>0</v>
          </cell>
          <cell r="AP160" t="e">
            <v>#REF!</v>
          </cell>
        </row>
        <row r="161">
          <cell r="C161" t="e">
            <v>#REF!</v>
          </cell>
          <cell r="N161" t="e">
            <v>#REF!</v>
          </cell>
          <cell r="P161" t="e">
            <v>#REF!</v>
          </cell>
          <cell r="Q161">
            <v>776</v>
          </cell>
          <cell r="S161">
            <v>-776</v>
          </cell>
          <cell r="X161">
            <v>0</v>
          </cell>
          <cell r="Y161" t="e">
            <v>#REF!</v>
          </cell>
          <cell r="AC161" t="e">
            <v>#REF!</v>
          </cell>
          <cell r="AJ161">
            <v>0</v>
          </cell>
          <cell r="AP161" t="e">
            <v>#REF!</v>
          </cell>
        </row>
        <row r="162">
          <cell r="C162">
            <v>4245.2000000000007</v>
          </cell>
          <cell r="N162">
            <v>6155.65</v>
          </cell>
          <cell r="O162">
            <v>0</v>
          </cell>
          <cell r="P162">
            <v>-6155.65</v>
          </cell>
          <cell r="Q162">
            <v>1739.5839999999998</v>
          </cell>
          <cell r="R162">
            <v>800</v>
          </cell>
          <cell r="S162">
            <v>-939.58399999999983</v>
          </cell>
          <cell r="T162">
            <v>668.47</v>
          </cell>
          <cell r="U162">
            <v>0</v>
          </cell>
          <cell r="V162">
            <v>0</v>
          </cell>
          <cell r="W162">
            <v>0</v>
          </cell>
          <cell r="X162">
            <v>-668.47</v>
          </cell>
          <cell r="Y162">
            <v>3357.9775757575753</v>
          </cell>
          <cell r="Z162">
            <v>0</v>
          </cell>
          <cell r="AA162">
            <v>0</v>
          </cell>
          <cell r="AB162">
            <v>432</v>
          </cell>
          <cell r="AC162">
            <v>-2925.9775757575753</v>
          </cell>
          <cell r="AD162" t="e">
            <v>#REF!</v>
          </cell>
          <cell r="AE162">
            <v>1768.6</v>
          </cell>
          <cell r="AF162">
            <v>836.14999999999986</v>
          </cell>
          <cell r="AG162">
            <v>1768.6</v>
          </cell>
          <cell r="AH162">
            <v>0</v>
          </cell>
          <cell r="AI162">
            <v>1768.6</v>
          </cell>
          <cell r="AJ162" t="e">
            <v>#REF!</v>
          </cell>
          <cell r="AK162">
            <v>0</v>
          </cell>
          <cell r="AL162">
            <v>0</v>
          </cell>
          <cell r="AM162">
            <v>0</v>
          </cell>
          <cell r="AN162" t="e">
            <v>#REF!</v>
          </cell>
          <cell r="AO162">
            <v>1616</v>
          </cell>
          <cell r="AP162" t="e">
            <v>#REF!</v>
          </cell>
          <cell r="AS162">
            <v>2048</v>
          </cell>
        </row>
        <row r="163">
          <cell r="C163">
            <v>0</v>
          </cell>
          <cell r="N163">
            <v>0.20800000000000018</v>
          </cell>
          <cell r="O163">
            <v>0</v>
          </cell>
          <cell r="P163">
            <v>-0.20800000000000018</v>
          </cell>
          <cell r="Q163">
            <v>-0.23600000000000065</v>
          </cell>
          <cell r="R163">
            <v>154</v>
          </cell>
          <cell r="S163">
            <v>154.23599999999999</v>
          </cell>
          <cell r="T163">
            <v>-0.42800000000000082</v>
          </cell>
          <cell r="U163">
            <v>0</v>
          </cell>
          <cell r="V163">
            <v>0</v>
          </cell>
          <cell r="W163">
            <v>79</v>
          </cell>
          <cell r="X163">
            <v>79.427999999999997</v>
          </cell>
          <cell r="Y163">
            <v>6.799999999999784E-2</v>
          </cell>
          <cell r="Z163">
            <v>0</v>
          </cell>
          <cell r="AA163">
            <v>0</v>
          </cell>
          <cell r="AB163">
            <v>86</v>
          </cell>
          <cell r="AC163">
            <v>85.932000000000002</v>
          </cell>
          <cell r="AD163">
            <v>0.28399999999999892</v>
          </cell>
          <cell r="AE163">
            <v>0.28399999999999892</v>
          </cell>
          <cell r="AF163">
            <v>0</v>
          </cell>
          <cell r="AG163">
            <v>30</v>
          </cell>
          <cell r="AH163">
            <v>30</v>
          </cell>
          <cell r="AI163">
            <v>0</v>
          </cell>
          <cell r="AJ163">
            <v>29.716000000000001</v>
          </cell>
          <cell r="AK163">
            <v>0</v>
          </cell>
          <cell r="AL163">
            <v>0</v>
          </cell>
          <cell r="AM163">
            <v>0</v>
          </cell>
          <cell r="AN163" t="e">
            <v>#REF!</v>
          </cell>
          <cell r="AO163">
            <v>0</v>
          </cell>
          <cell r="AP163" t="e">
            <v>#REF!</v>
          </cell>
          <cell r="AS163">
            <v>195</v>
          </cell>
        </row>
        <row r="164">
          <cell r="C164">
            <v>1910.097</v>
          </cell>
          <cell r="N164">
            <v>6859.9527272727273</v>
          </cell>
          <cell r="O164">
            <v>2062</v>
          </cell>
          <cell r="P164">
            <v>-4797.9527272727273</v>
          </cell>
          <cell r="Q164">
            <v>14962.540909090911</v>
          </cell>
          <cell r="R164">
            <v>5523</v>
          </cell>
          <cell r="S164">
            <v>-9439.5409090909106</v>
          </cell>
          <cell r="T164">
            <v>5669.5772727272724</v>
          </cell>
          <cell r="U164">
            <v>2766</v>
          </cell>
          <cell r="V164">
            <v>2903.5772727272729</v>
          </cell>
          <cell r="W164">
            <v>2210</v>
          </cell>
          <cell r="X164">
            <v>-3459.5772727272724</v>
          </cell>
          <cell r="Y164">
            <v>4613.8872727272728</v>
          </cell>
          <cell r="Z164">
            <v>2495</v>
          </cell>
          <cell r="AA164">
            <v>2118.8872727272728</v>
          </cell>
          <cell r="AB164">
            <v>1749</v>
          </cell>
          <cell r="AC164">
            <v>-2864.8872727272728</v>
          </cell>
          <cell r="AD164">
            <v>13294.346363636363</v>
          </cell>
          <cell r="AE164">
            <v>12073.936363636363</v>
          </cell>
          <cell r="AF164">
            <v>1220.4099999999999</v>
          </cell>
          <cell r="AG164">
            <v>4464</v>
          </cell>
          <cell r="AH164">
            <v>3202</v>
          </cell>
          <cell r="AI164">
            <v>427</v>
          </cell>
          <cell r="AJ164">
            <v>-8830.3463636363631</v>
          </cell>
          <cell r="AK164">
            <v>0</v>
          </cell>
          <cell r="AL164">
            <v>0</v>
          </cell>
          <cell r="AM164">
            <v>0</v>
          </cell>
          <cell r="AN164" t="e">
            <v>#REF!</v>
          </cell>
          <cell r="AO164">
            <v>0</v>
          </cell>
          <cell r="AP164" t="e">
            <v>#REF!</v>
          </cell>
          <cell r="AS164">
            <v>13703</v>
          </cell>
        </row>
        <row r="165">
          <cell r="C165">
            <v>74</v>
          </cell>
          <cell r="N165">
            <v>182.13333333333333</v>
          </cell>
          <cell r="O165">
            <v>51</v>
          </cell>
          <cell r="P165">
            <v>-131.13333333333333</v>
          </cell>
          <cell r="Q165">
            <v>311.39999999999998</v>
          </cell>
          <cell r="R165">
            <v>62</v>
          </cell>
          <cell r="S165">
            <v>-249.39999999999998</v>
          </cell>
          <cell r="T165">
            <v>5613.5333333333338</v>
          </cell>
          <cell r="U165">
            <v>2904</v>
          </cell>
          <cell r="V165">
            <v>2709.5333333333338</v>
          </cell>
          <cell r="W165">
            <v>2464</v>
          </cell>
          <cell r="X165">
            <v>-3149.5333333333338</v>
          </cell>
          <cell r="Y165">
            <v>494.79999999999995</v>
          </cell>
          <cell r="Z165">
            <v>57</v>
          </cell>
          <cell r="AA165">
            <v>47.86666666666666</v>
          </cell>
          <cell r="AB165">
            <v>27</v>
          </cell>
          <cell r="AC165">
            <v>-467.79999999999995</v>
          </cell>
          <cell r="AD165">
            <v>145</v>
          </cell>
          <cell r="AE165">
            <v>50</v>
          </cell>
          <cell r="AF165">
            <v>95</v>
          </cell>
          <cell r="AG165">
            <v>44</v>
          </cell>
          <cell r="AH165">
            <v>15</v>
          </cell>
          <cell r="AI165">
            <v>29</v>
          </cell>
          <cell r="AJ165">
            <v>-101</v>
          </cell>
          <cell r="AK165">
            <v>0</v>
          </cell>
          <cell r="AL165">
            <v>0</v>
          </cell>
          <cell r="AM165">
            <v>0</v>
          </cell>
          <cell r="AN165">
            <v>19</v>
          </cell>
          <cell r="AO165">
            <v>0</v>
          </cell>
          <cell r="AP165">
            <v>6649.8666666666668</v>
          </cell>
          <cell r="AS165">
            <v>2610</v>
          </cell>
        </row>
        <row r="166">
          <cell r="C166">
            <v>6358.0580000000009</v>
          </cell>
          <cell r="N166">
            <v>6909.2400000000052</v>
          </cell>
          <cell r="Q166">
            <v>39364.056333333334</v>
          </cell>
          <cell r="T166">
            <v>10466.937333333344</v>
          </cell>
          <cell r="Y166">
            <v>19881.993333333321</v>
          </cell>
          <cell r="AE166">
            <v>-13957.493090909091</v>
          </cell>
          <cell r="AG166">
            <v>697.40000000000009</v>
          </cell>
          <cell r="AH166">
            <v>2561</v>
          </cell>
          <cell r="AN166" t="e">
            <v>#REF!</v>
          </cell>
          <cell r="AP166" t="e">
            <v>#REF!</v>
          </cell>
        </row>
        <row r="167">
          <cell r="C167" t="e">
            <v>#REF!</v>
          </cell>
          <cell r="N167">
            <v>4222.1499999999996</v>
          </cell>
        </row>
        <row r="168">
          <cell r="C168" t="e">
            <v>#REF!</v>
          </cell>
        </row>
        <row r="169">
          <cell r="C169" t="e">
            <v>#REF!</v>
          </cell>
        </row>
        <row r="170">
          <cell r="AV170">
            <v>1507.2</v>
          </cell>
        </row>
        <row r="173">
          <cell r="C173" t="str">
            <v>АПАРАТ ВСЬОГО</v>
          </cell>
          <cell r="D173" t="str">
            <v>АПАРАТ ЕЛЕКТРО</v>
          </cell>
          <cell r="E173" t="str">
            <v>АПАРАТ ТЕПЛО</v>
          </cell>
          <cell r="N173" t="str">
            <v>ККМ</v>
          </cell>
          <cell r="Q173" t="str">
            <v>КТМ</v>
          </cell>
          <cell r="U173">
            <v>250</v>
          </cell>
          <cell r="Y173" t="str">
            <v>ТЕЦ-6 ВСЬОГО</v>
          </cell>
          <cell r="Z173" t="str">
            <v>Е/Е</v>
          </cell>
          <cell r="AA173" t="str">
            <v xml:space="preserve"> Т/Е</v>
          </cell>
          <cell r="AN173" t="str">
            <v>ДОП.ВИР. СТ.ОРГ.</v>
          </cell>
          <cell r="AP173" t="str">
            <v>АК КЕ ВСЬОГО</v>
          </cell>
          <cell r="AQ173" t="str">
            <v>Е/Е</v>
          </cell>
          <cell r="AR173" t="str">
            <v xml:space="preserve"> Т/Е</v>
          </cell>
          <cell r="AU173" t="str">
            <v>очикуваемАК КЕ ВСЬОГО</v>
          </cell>
          <cell r="AV173" t="str">
            <v>Е/Е</v>
          </cell>
          <cell r="AW173" t="str">
            <v xml:space="preserve"> Т/Е</v>
          </cell>
        </row>
        <row r="174">
          <cell r="C174">
            <v>1.895</v>
          </cell>
          <cell r="N174">
            <v>1.847</v>
          </cell>
          <cell r="Q174">
            <v>1.895</v>
          </cell>
          <cell r="U174">
            <v>1.895</v>
          </cell>
          <cell r="V174">
            <v>1.895</v>
          </cell>
          <cell r="Y174">
            <v>1.895</v>
          </cell>
          <cell r="Z174">
            <v>1.895</v>
          </cell>
          <cell r="AA174">
            <v>1.895</v>
          </cell>
          <cell r="AN174">
            <v>1.895</v>
          </cell>
          <cell r="AP174">
            <v>1.895</v>
          </cell>
          <cell r="AQ174">
            <v>1.895</v>
          </cell>
          <cell r="AU174">
            <v>1.905</v>
          </cell>
          <cell r="AV174">
            <v>1.895</v>
          </cell>
        </row>
        <row r="176">
          <cell r="Q176">
            <v>132.19999999999999</v>
          </cell>
          <cell r="Y176">
            <v>68.7</v>
          </cell>
          <cell r="AP176">
            <v>200.89999999999998</v>
          </cell>
          <cell r="AU176">
            <v>251.12700000000001</v>
          </cell>
        </row>
        <row r="177">
          <cell r="Q177">
            <v>150.5</v>
          </cell>
          <cell r="U177">
            <v>150.5</v>
          </cell>
          <cell r="Y177">
            <v>78.3</v>
          </cell>
          <cell r="AP177">
            <v>228.8</v>
          </cell>
          <cell r="AU177">
            <v>288.28500000000003</v>
          </cell>
        </row>
        <row r="178">
          <cell r="N178">
            <v>0</v>
          </cell>
          <cell r="Q178">
            <v>82.5</v>
          </cell>
          <cell r="U178">
            <v>82.5</v>
          </cell>
          <cell r="Y178">
            <v>82.5</v>
          </cell>
          <cell r="AP178">
            <v>82.5</v>
          </cell>
          <cell r="AU178">
            <v>66</v>
          </cell>
        </row>
        <row r="179">
          <cell r="N179">
            <v>0</v>
          </cell>
          <cell r="Q179">
            <v>156.34</v>
          </cell>
          <cell r="U179">
            <v>156.34</v>
          </cell>
          <cell r="Y179">
            <v>156.34</v>
          </cell>
          <cell r="AP179">
            <v>156.34</v>
          </cell>
          <cell r="AU179">
            <v>125.73</v>
          </cell>
        </row>
        <row r="180">
          <cell r="Q180">
            <v>20668</v>
          </cell>
          <cell r="U180">
            <v>0</v>
          </cell>
          <cell r="Y180">
            <v>10741</v>
          </cell>
          <cell r="AP180">
            <v>31409</v>
          </cell>
          <cell r="AU180">
            <v>31574</v>
          </cell>
        </row>
        <row r="181">
          <cell r="AP181">
            <v>31409</v>
          </cell>
          <cell r="AU181" t="e">
            <v>#REF!</v>
          </cell>
        </row>
        <row r="182">
          <cell r="Q182">
            <v>0</v>
          </cell>
          <cell r="U182">
            <v>0</v>
          </cell>
          <cell r="Y182">
            <v>52.1</v>
          </cell>
          <cell r="AP182">
            <v>52.1</v>
          </cell>
          <cell r="AU182">
            <v>67.933000000000007</v>
          </cell>
        </row>
        <row r="183">
          <cell r="Q183">
            <v>0</v>
          </cell>
          <cell r="U183">
            <v>0</v>
          </cell>
          <cell r="Y183">
            <v>71.3</v>
          </cell>
          <cell r="AP183">
            <v>71.3</v>
          </cell>
          <cell r="AU183">
            <v>91.201999999999998</v>
          </cell>
        </row>
        <row r="184">
          <cell r="C184">
            <v>75</v>
          </cell>
          <cell r="N184">
            <v>75</v>
          </cell>
          <cell r="AN184">
            <v>0</v>
          </cell>
          <cell r="AP184">
            <v>98.96042216358839</v>
          </cell>
          <cell r="AU184">
            <v>98.96042216358839</v>
          </cell>
        </row>
        <row r="185">
          <cell r="Q185">
            <v>187.53</v>
          </cell>
          <cell r="U185">
            <v>0</v>
          </cell>
          <cell r="Y185">
            <v>187.53</v>
          </cell>
          <cell r="AP185">
            <v>187.53</v>
          </cell>
          <cell r="AU185">
            <v>187.53</v>
          </cell>
        </row>
        <row r="186">
          <cell r="Q186">
            <v>0</v>
          </cell>
          <cell r="T186">
            <v>0</v>
          </cell>
          <cell r="Y186">
            <v>9770</v>
          </cell>
          <cell r="AP186">
            <v>9770</v>
          </cell>
          <cell r="AU186">
            <v>12739</v>
          </cell>
        </row>
        <row r="187">
          <cell r="AP187">
            <v>9770</v>
          </cell>
          <cell r="AU187" t="e">
            <v>#REF!</v>
          </cell>
        </row>
        <row r="188">
          <cell r="Q188">
            <v>150.5</v>
          </cell>
          <cell r="T188">
            <v>0</v>
          </cell>
          <cell r="U188">
            <v>51.4</v>
          </cell>
          <cell r="V188">
            <v>-51.4</v>
          </cell>
          <cell r="Y188">
            <v>149.6</v>
          </cell>
          <cell r="Z188">
            <v>52.7</v>
          </cell>
          <cell r="AA188">
            <v>96.899999999999991</v>
          </cell>
          <cell r="AP188">
            <v>300.10000000000002</v>
          </cell>
          <cell r="AQ188">
            <v>104.1</v>
          </cell>
          <cell r="AR188">
            <v>196</v>
          </cell>
          <cell r="AU188">
            <v>379.48700000000002</v>
          </cell>
          <cell r="AV188">
            <v>83.676000000000002</v>
          </cell>
          <cell r="AW188">
            <v>295.81100000000004</v>
          </cell>
        </row>
        <row r="189">
          <cell r="Q189">
            <v>20668</v>
          </cell>
          <cell r="T189">
            <v>0</v>
          </cell>
          <cell r="U189" t="e">
            <v>#DIV/0!</v>
          </cell>
          <cell r="V189" t="e">
            <v>#DIV/0!</v>
          </cell>
          <cell r="Y189">
            <v>20511</v>
          </cell>
          <cell r="Z189">
            <v>7225</v>
          </cell>
          <cell r="AA189">
            <v>13286</v>
          </cell>
          <cell r="AP189" t="e">
            <v>#DIV/0!</v>
          </cell>
          <cell r="AQ189" t="e">
            <v>#DIV/0!</v>
          </cell>
          <cell r="AR189" t="e">
            <v>#DIV/0!</v>
          </cell>
          <cell r="AU189">
            <v>44313</v>
          </cell>
          <cell r="AV189">
            <v>9770.9133329995493</v>
          </cell>
          <cell r="AW189">
            <v>34542.086667000447</v>
          </cell>
        </row>
        <row r="190">
          <cell r="Q190">
            <v>137.33000000000001</v>
          </cell>
          <cell r="T190" t="e">
            <v>#DIV/0!</v>
          </cell>
          <cell r="U190" t="e">
            <v>#DIV/0!</v>
          </cell>
          <cell r="V190" t="e">
            <v>#DIV/0!</v>
          </cell>
          <cell r="Y190">
            <v>137.11000000000001</v>
          </cell>
          <cell r="Z190">
            <v>137.1</v>
          </cell>
          <cell r="AA190">
            <v>137.11000000000001</v>
          </cell>
          <cell r="AN190">
            <v>0</v>
          </cell>
          <cell r="AP190" t="e">
            <v>#DIV/0!</v>
          </cell>
          <cell r="AQ190" t="e">
            <v>#DIV/0!</v>
          </cell>
          <cell r="AR190" t="e">
            <v>#DIV/0!</v>
          </cell>
          <cell r="AU190">
            <v>116.77</v>
          </cell>
          <cell r="AV190">
            <v>116.77</v>
          </cell>
          <cell r="AW190">
            <v>116.77</v>
          </cell>
        </row>
        <row r="191">
          <cell r="AP191">
            <v>0</v>
          </cell>
          <cell r="AQ191">
            <v>0</v>
          </cell>
          <cell r="AR191">
            <v>0</v>
          </cell>
          <cell r="AU191">
            <v>0</v>
          </cell>
          <cell r="AV191">
            <v>0</v>
          </cell>
          <cell r="AW191">
            <v>0</v>
          </cell>
        </row>
        <row r="192">
          <cell r="T192" t="e">
            <v>#DIV/0!</v>
          </cell>
          <cell r="Y192">
            <v>20511</v>
          </cell>
          <cell r="AP192" t="e">
            <v>#DIV/0!</v>
          </cell>
          <cell r="AQ192" t="e">
            <v>#DIV/0!</v>
          </cell>
          <cell r="AR192" t="e">
            <v>#DIV/0!</v>
          </cell>
          <cell r="AU192">
            <v>44313</v>
          </cell>
          <cell r="AV192">
            <v>9770.9133329995493</v>
          </cell>
          <cell r="AW192">
            <v>34542.086667000447</v>
          </cell>
        </row>
        <row r="195">
          <cell r="T195" t="str">
            <v>ТЕЦ-5 ВСЬОГО</v>
          </cell>
          <cell r="U195" t="str">
            <v>Е/Е</v>
          </cell>
          <cell r="V195" t="str">
            <v xml:space="preserve"> Т/Е</v>
          </cell>
          <cell r="Y195" t="str">
            <v>ТЕЦ-6 ВСЬОГО</v>
          </cell>
          <cell r="Z195" t="str">
            <v>Е/Е</v>
          </cell>
          <cell r="AA195" t="str">
            <v xml:space="preserve"> Т/Е</v>
          </cell>
          <cell r="AP195" t="str">
            <v>АК КЕ ВСЬОГО</v>
          </cell>
          <cell r="AQ195" t="str">
            <v>Е/Е</v>
          </cell>
          <cell r="AR195" t="str">
            <v xml:space="preserve"> Т/Е</v>
          </cell>
        </row>
        <row r="196">
          <cell r="U196">
            <v>291.85000000000002</v>
          </cell>
          <cell r="V196">
            <v>750</v>
          </cell>
          <cell r="Z196">
            <v>268.14999999999998</v>
          </cell>
          <cell r="AA196">
            <v>590</v>
          </cell>
        </row>
        <row r="197">
          <cell r="U197">
            <v>176.1</v>
          </cell>
          <cell r="V197">
            <v>163.6</v>
          </cell>
          <cell r="Z197">
            <v>196.5</v>
          </cell>
          <cell r="AA197">
            <v>164.2</v>
          </cell>
        </row>
        <row r="198">
          <cell r="U198">
            <v>306.60000000000002</v>
          </cell>
          <cell r="V198">
            <v>112.8</v>
          </cell>
          <cell r="Z198">
            <v>301.89999999999998</v>
          </cell>
          <cell r="AA198">
            <v>116.3</v>
          </cell>
        </row>
        <row r="199">
          <cell r="U199">
            <v>130.50000000000003</v>
          </cell>
          <cell r="V199">
            <v>-50.8</v>
          </cell>
          <cell r="Z199">
            <v>105.39999999999998</v>
          </cell>
          <cell r="AA199">
            <v>-47.899999999999991</v>
          </cell>
        </row>
        <row r="200">
          <cell r="U200" t="e">
            <v>#DIV/0!</v>
          </cell>
          <cell r="V200" t="e">
            <v>#DIV/0!</v>
          </cell>
          <cell r="Z200">
            <v>137.1</v>
          </cell>
          <cell r="AA200">
            <v>137.11000000000001</v>
          </cell>
        </row>
        <row r="201">
          <cell r="U201" t="e">
            <v>#DIV/0!</v>
          </cell>
          <cell r="V201" t="e">
            <v>#DIV/0!</v>
          </cell>
          <cell r="Z201">
            <v>14.450339999999997</v>
          </cell>
          <cell r="AA201">
            <v>-6.5675689999999998</v>
          </cell>
        </row>
        <row r="202">
          <cell r="U202" t="e">
            <v>#DIV/0!</v>
          </cell>
          <cell r="V202" t="e">
            <v>#DIV/0!</v>
          </cell>
          <cell r="Z202">
            <v>3874.858670999999</v>
          </cell>
          <cell r="AA202">
            <v>-3874.86571</v>
          </cell>
          <cell r="AQ202" t="e">
            <v>#DIV/0!</v>
          </cell>
          <cell r="AR202" t="e">
            <v>#DIV/0!</v>
          </cell>
        </row>
        <row r="204">
          <cell r="AV204">
            <v>1507.2</v>
          </cell>
        </row>
        <row r="218">
          <cell r="Y218" t="str">
            <v>ЗАТВЕРДЖУЮ</v>
          </cell>
        </row>
        <row r="219">
          <cell r="Y219" t="str">
            <v>ГОЛОВА ПРАЛІННЯ АК КЕ</v>
          </cell>
        </row>
        <row r="220">
          <cell r="Z220" t="str">
            <v>І.В.ПЛАЧКОВ</v>
          </cell>
        </row>
        <row r="221">
          <cell r="C221" t="str">
            <v>ПОТРЕБА   В КОШТАХ НА  1 КВАРТАЛ 1998 року</v>
          </cell>
        </row>
        <row r="222">
          <cell r="C222" t="str">
            <v>ПО ФІЛІАЛАХ АК КИЇВЕНЕРГО</v>
          </cell>
        </row>
        <row r="224">
          <cell r="C224" t="str">
            <v>ВИКОН.ДИР.</v>
          </cell>
          <cell r="D224" t="str">
            <v>АПАРАТ ЕЛЕКТРО</v>
          </cell>
          <cell r="E224" t="str">
            <v>АПАРАТ ТЕПЛО</v>
          </cell>
          <cell r="N224" t="str">
            <v>ККМ</v>
          </cell>
          <cell r="Q224" t="str">
            <v>КТМ</v>
          </cell>
          <cell r="T224" t="str">
            <v>ТЕЦ-5 ВСЬОГО</v>
          </cell>
          <cell r="U224" t="str">
            <v>Е/Е</v>
          </cell>
          <cell r="V224" t="str">
            <v xml:space="preserve"> Т/Е</v>
          </cell>
          <cell r="Y224" t="str">
            <v>ТЕЦ-6 ВСЬОГО</v>
          </cell>
          <cell r="Z224" t="str">
            <v>Е/Е</v>
          </cell>
          <cell r="AA224" t="str">
            <v xml:space="preserve"> Т/Е</v>
          </cell>
          <cell r="AN224" t="str">
            <v>ДОП.ВИР. СТ.ОРГ.</v>
          </cell>
          <cell r="AP224" t="str">
            <v>АК КЕ ВСЬОГО</v>
          </cell>
          <cell r="AQ224" t="str">
            <v>Е/Е</v>
          </cell>
          <cell r="AR224" t="str">
            <v xml:space="preserve"> Т/Е</v>
          </cell>
          <cell r="AU224" t="str">
            <v>СТАНЦІї ЕЛЕКТРО</v>
          </cell>
          <cell r="AV224" t="str">
            <v>СТАНЦІІ ТЕПЛОВІ</v>
          </cell>
          <cell r="AW224" t="str">
            <v>МЕРЕЖІ ЕЛЕКТРО</v>
          </cell>
          <cell r="AX224" t="str">
            <v>МЕРЕЖІ ТЕПЛОВІ</v>
          </cell>
        </row>
        <row r="227">
          <cell r="C227" t="e">
            <v>#REF!</v>
          </cell>
          <cell r="N227" t="e">
            <v>#REF!</v>
          </cell>
          <cell r="Q227">
            <v>54839.971787878792</v>
          </cell>
          <cell r="T227">
            <v>25644.974484848495</v>
          </cell>
          <cell r="Y227" t="e">
            <v>#REF!</v>
          </cell>
          <cell r="AN227" t="e">
            <v>#REF!</v>
          </cell>
          <cell r="AP227" t="e">
            <v>#REF!</v>
          </cell>
          <cell r="AQ227" t="e">
            <v>#REF!</v>
          </cell>
        </row>
        <row r="228">
          <cell r="C228" t="e">
            <v>#REF!</v>
          </cell>
          <cell r="N228" t="e">
            <v>#REF!</v>
          </cell>
          <cell r="Q228">
            <v>22032.588212121209</v>
          </cell>
          <cell r="T228">
            <v>12941.719212121227</v>
          </cell>
          <cell r="Y228" t="e">
            <v>#REF!</v>
          </cell>
          <cell r="AP228" t="e">
            <v>#REF!</v>
          </cell>
          <cell r="AQ228" t="e">
            <v>#REF!</v>
          </cell>
        </row>
        <row r="230">
          <cell r="C230">
            <v>1910.097</v>
          </cell>
          <cell r="N230">
            <v>6859.9527272727273</v>
          </cell>
          <cell r="Q230">
            <v>14962.540909090911</v>
          </cell>
          <cell r="T230">
            <v>5669.5772727272724</v>
          </cell>
          <cell r="Y230">
            <v>4613.8872727272728</v>
          </cell>
          <cell r="AN230" t="e">
            <v>#REF!</v>
          </cell>
          <cell r="AP230" t="e">
            <v>#REF!</v>
          </cell>
          <cell r="AQ230" t="e">
            <v>#REF!</v>
          </cell>
        </row>
        <row r="231">
          <cell r="C231">
            <v>520</v>
          </cell>
          <cell r="N231">
            <v>2018</v>
          </cell>
          <cell r="Q231">
            <v>4079</v>
          </cell>
          <cell r="T231">
            <v>1546</v>
          </cell>
          <cell r="Y231">
            <v>1259</v>
          </cell>
          <cell r="AP231" t="e">
            <v>#REF!</v>
          </cell>
          <cell r="AQ231" t="e">
            <v>#REF!</v>
          </cell>
        </row>
        <row r="232">
          <cell r="AQ232" t="e">
            <v>#REF!</v>
          </cell>
        </row>
        <row r="233">
          <cell r="C233">
            <v>0</v>
          </cell>
          <cell r="N233">
            <v>0</v>
          </cell>
          <cell r="Q233">
            <v>121.8</v>
          </cell>
          <cell r="T233">
            <v>5443.6</v>
          </cell>
          <cell r="Y233">
            <v>104.86666666666666</v>
          </cell>
          <cell r="AP233">
            <v>5674.2666666666673</v>
          </cell>
          <cell r="AQ233" t="e">
            <v>#REF!</v>
          </cell>
        </row>
        <row r="234">
          <cell r="C234">
            <v>0</v>
          </cell>
          <cell r="N234">
            <v>0</v>
          </cell>
          <cell r="Q234">
            <v>0</v>
          </cell>
          <cell r="T234">
            <v>0</v>
          </cell>
          <cell r="Y234">
            <v>0</v>
          </cell>
          <cell r="AP234">
            <v>19</v>
          </cell>
          <cell r="AQ234" t="e">
            <v>#REF!</v>
          </cell>
        </row>
        <row r="235">
          <cell r="C235" t="e">
            <v>#REF!</v>
          </cell>
          <cell r="N235">
            <v>0</v>
          </cell>
          <cell r="Q235">
            <v>526.04999999999995</v>
          </cell>
          <cell r="T235">
            <v>0</v>
          </cell>
          <cell r="Y235">
            <v>13442.217575757575</v>
          </cell>
          <cell r="AP235" t="e">
            <v>#REF!</v>
          </cell>
          <cell r="AQ235" t="e">
            <v>#REF!</v>
          </cell>
        </row>
        <row r="236">
          <cell r="AQ236" t="e">
            <v>#REF!</v>
          </cell>
        </row>
        <row r="237">
          <cell r="C237">
            <v>4245.2000000000007</v>
          </cell>
          <cell r="N237">
            <v>6155.65</v>
          </cell>
          <cell r="Q237">
            <v>1739.5839999999998</v>
          </cell>
          <cell r="T237">
            <v>668.47</v>
          </cell>
          <cell r="Y237">
            <v>3357.9775757575753</v>
          </cell>
          <cell r="AP237" t="e">
            <v>#REF!</v>
          </cell>
          <cell r="AQ237" t="e">
            <v>#REF!</v>
          </cell>
        </row>
        <row r="238">
          <cell r="C238">
            <v>916.24199999999996</v>
          </cell>
          <cell r="N238">
            <v>0</v>
          </cell>
          <cell r="Q238">
            <v>0</v>
          </cell>
          <cell r="T238">
            <v>0</v>
          </cell>
          <cell r="Y238">
            <v>0</v>
          </cell>
          <cell r="AP238">
            <v>0</v>
          </cell>
          <cell r="AQ238" t="e">
            <v>#REF!</v>
          </cell>
        </row>
        <row r="239">
          <cell r="AQ239" t="e">
            <v>#REF!</v>
          </cell>
        </row>
        <row r="240">
          <cell r="C240" t="e">
            <v>#REF!</v>
          </cell>
          <cell r="N240" t="e">
            <v>#REF!</v>
          </cell>
          <cell r="Q240">
            <v>776</v>
          </cell>
          <cell r="T240">
            <v>0</v>
          </cell>
          <cell r="Y240" t="e">
            <v>#REF!</v>
          </cell>
          <cell r="AP240" t="e">
            <v>#REF!</v>
          </cell>
          <cell r="AQ240" t="e">
            <v>#REF!</v>
          </cell>
        </row>
        <row r="241">
          <cell r="AQ241" t="e">
            <v>#REF!</v>
          </cell>
        </row>
        <row r="242">
          <cell r="AQ242" t="e">
            <v>#REF!</v>
          </cell>
        </row>
        <row r="243">
          <cell r="C243">
            <v>377</v>
          </cell>
          <cell r="N243">
            <v>1234</v>
          </cell>
          <cell r="Q243">
            <v>4713.0186666666668</v>
          </cell>
          <cell r="T243">
            <v>682.25866666666661</v>
          </cell>
          <cell r="Y243">
            <v>536.22533333333331</v>
          </cell>
          <cell r="AP243">
            <v>10417.385166809334</v>
          </cell>
          <cell r="AQ243" t="e">
            <v>#REF!</v>
          </cell>
        </row>
        <row r="244">
          <cell r="C244">
            <v>1612</v>
          </cell>
          <cell r="N244">
            <v>76</v>
          </cell>
          <cell r="Q244">
            <v>429.33333333333337</v>
          </cell>
          <cell r="T244">
            <v>313.62666666666667</v>
          </cell>
          <cell r="Y244">
            <v>315.78399999999999</v>
          </cell>
          <cell r="AP244">
            <v>2883.9412082354906</v>
          </cell>
          <cell r="AQ244" t="e">
            <v>#REF!</v>
          </cell>
        </row>
        <row r="245">
          <cell r="AQ245" t="e">
            <v>#REF!</v>
          </cell>
        </row>
        <row r="246">
          <cell r="C246">
            <v>0</v>
          </cell>
          <cell r="N246">
            <v>1</v>
          </cell>
          <cell r="Q246">
            <v>0</v>
          </cell>
          <cell r="T246">
            <v>114.19266666666665</v>
          </cell>
          <cell r="Y246">
            <v>-46.472000000000008</v>
          </cell>
          <cell r="AP246">
            <v>68.720666666666645</v>
          </cell>
          <cell r="AQ246" t="e">
            <v>#REF!</v>
          </cell>
        </row>
        <row r="247">
          <cell r="C247">
            <v>14</v>
          </cell>
          <cell r="N247">
            <v>248.08600000000001</v>
          </cell>
          <cell r="Q247">
            <v>12039.690666666667</v>
          </cell>
          <cell r="T247">
            <v>0</v>
          </cell>
          <cell r="Y247">
            <v>0</v>
          </cell>
          <cell r="AP247">
            <v>14624.448666666667</v>
          </cell>
          <cell r="AQ247" t="e">
            <v>#REF!</v>
          </cell>
        </row>
        <row r="248">
          <cell r="C248">
            <v>0</v>
          </cell>
          <cell r="N248">
            <v>0</v>
          </cell>
          <cell r="Q248">
            <v>0</v>
          </cell>
          <cell r="T248">
            <v>0</v>
          </cell>
          <cell r="Y248">
            <v>0</v>
          </cell>
          <cell r="AP248">
            <v>658.33066666666662</v>
          </cell>
          <cell r="AQ248" t="e">
            <v>#REF!</v>
          </cell>
        </row>
        <row r="249">
          <cell r="C249">
            <v>927</v>
          </cell>
          <cell r="N249">
            <v>0</v>
          </cell>
          <cell r="Q249">
            <v>0</v>
          </cell>
          <cell r="T249">
            <v>0</v>
          </cell>
          <cell r="Y249">
            <v>18</v>
          </cell>
          <cell r="AP249">
            <v>945</v>
          </cell>
          <cell r="AQ249" t="e">
            <v>#REF!</v>
          </cell>
        </row>
        <row r="250">
          <cell r="C250">
            <v>0</v>
          </cell>
          <cell r="N250">
            <v>0.20800000000000018</v>
          </cell>
          <cell r="Q250">
            <v>0.76399999999998158</v>
          </cell>
          <cell r="T250">
            <v>-0.42800000000000082</v>
          </cell>
          <cell r="Y250">
            <v>6.799999999999784E-2</v>
          </cell>
          <cell r="AP250" t="e">
            <v>#REF!</v>
          </cell>
          <cell r="AQ250" t="e">
            <v>#REF!</v>
          </cell>
        </row>
        <row r="251">
          <cell r="C251">
            <v>1308</v>
          </cell>
          <cell r="N251">
            <v>0.19200000000000017</v>
          </cell>
          <cell r="Q251">
            <v>-0.32000000000000028</v>
          </cell>
          <cell r="T251">
            <v>-0.3360000000000003</v>
          </cell>
          <cell r="Y251">
            <v>0.28000000000000114</v>
          </cell>
          <cell r="AP251" t="e">
            <v>#REF!</v>
          </cell>
          <cell r="AQ251" t="e">
            <v>#REF!</v>
          </cell>
        </row>
        <row r="252">
          <cell r="C252" t="e">
            <v>#REF!</v>
          </cell>
          <cell r="N252" t="e">
            <v>#REF!</v>
          </cell>
          <cell r="Q252">
            <v>18990.510212121208</v>
          </cell>
          <cell r="T252">
            <v>12274.013212121221</v>
          </cell>
          <cell r="Y252" t="e">
            <v>#REF!</v>
          </cell>
          <cell r="AP252" t="e">
            <v>#REF!</v>
          </cell>
          <cell r="AQ252" t="e">
            <v>#REF!</v>
          </cell>
        </row>
        <row r="253">
          <cell r="Q253">
            <v>541</v>
          </cell>
          <cell r="T253">
            <v>480</v>
          </cell>
          <cell r="Y253">
            <v>44</v>
          </cell>
          <cell r="AP253">
            <v>524</v>
          </cell>
          <cell r="AQ253" t="e">
            <v>#REF!</v>
          </cell>
        </row>
        <row r="293">
          <cell r="T293" t="str">
            <v>Собівартість</v>
          </cell>
        </row>
        <row r="294">
          <cell r="V294">
            <v>-25</v>
          </cell>
        </row>
        <row r="295">
          <cell r="V295">
            <v>-1.375</v>
          </cell>
        </row>
        <row r="296">
          <cell r="V296">
            <v>-8</v>
          </cell>
        </row>
        <row r="297">
          <cell r="V297">
            <v>-2.1590909090909096</v>
          </cell>
        </row>
        <row r="303">
          <cell r="T303" t="str">
            <v>ФМЗ ( з відрахуван)</v>
          </cell>
          <cell r="V303">
            <v>25</v>
          </cell>
        </row>
      </sheetData>
      <sheetData sheetId="38" refreshError="1">
        <row r="16">
          <cell r="AP16" t="str">
            <v>ЗАТВЕРДЖУЮ</v>
          </cell>
        </row>
        <row r="17">
          <cell r="C17" t="str">
            <v>І.В.ПЛАЧКОВ</v>
          </cell>
          <cell r="AP17" t="str">
            <v>ГОЛОВА ПРАЛІННЯ АК КЕ</v>
          </cell>
        </row>
        <row r="22">
          <cell r="AV22" t="str">
            <v>І.В.ПЛАЧКОВ</v>
          </cell>
        </row>
        <row r="30">
          <cell r="C30" t="str">
            <v>ВИКОН.ДИР.ПЛАН</v>
          </cell>
          <cell r="D30" t="str">
            <v>Е/Е</v>
          </cell>
          <cell r="E30" t="str">
            <v xml:space="preserve"> Т/Е</v>
          </cell>
          <cell r="N30" t="str">
            <v xml:space="preserve">ККМ ПЛАН </v>
          </cell>
          <cell r="O30" t="str">
            <v>ЗВІТ</v>
          </cell>
          <cell r="P30" t="str">
            <v>ВІДХ.</v>
          </cell>
          <cell r="Q30" t="str">
            <v>КТМ ПЛАН</v>
          </cell>
          <cell r="R30" t="str">
            <v>ЗВІТ</v>
          </cell>
          <cell r="S30" t="str">
            <v>ВІДХ.</v>
          </cell>
          <cell r="T30" t="str">
            <v>ТЕЦ-5   ПЛАН</v>
          </cell>
          <cell r="U30" t="str">
            <v>Е/Е</v>
          </cell>
          <cell r="V30" t="str">
            <v xml:space="preserve"> Т/Е</v>
          </cell>
          <cell r="W30" t="str">
            <v>ЗВІТ</v>
          </cell>
          <cell r="X30" t="str">
            <v>ВІДХ.</v>
          </cell>
          <cell r="Y30" t="str">
            <v>ТЕЦ-6  ПЛАН</v>
          </cell>
          <cell r="Z30" t="str">
            <v>Е/Е</v>
          </cell>
          <cell r="AA30" t="str">
            <v xml:space="preserve"> Т/Е</v>
          </cell>
          <cell r="AB30" t="str">
            <v>ЗВІТ</v>
          </cell>
          <cell r="AC30" t="str">
            <v>ВІДХ.</v>
          </cell>
          <cell r="AD30" t="str">
            <v>ТРМ ВСЬОГО ПЛАН</v>
          </cell>
          <cell r="AE30" t="str">
            <v>ТРМ АК ПЛАН</v>
          </cell>
          <cell r="AF30" t="str">
            <v>ТРМ СТОР  ПЛАН</v>
          </cell>
          <cell r="AG30" t="str">
            <v>ТРМ ВСЬОГО ЗВІТ</v>
          </cell>
          <cell r="AH30" t="str">
            <v>ТРМ АК ЗВІТ</v>
          </cell>
          <cell r="AI30" t="str">
            <v>ТРМ СТОР  ЗВІТ</v>
          </cell>
          <cell r="AJ30" t="str">
            <v>відх всього</v>
          </cell>
          <cell r="AK30" t="str">
            <v>Е/Е</v>
          </cell>
          <cell r="AL30" t="str">
            <v xml:space="preserve"> Т/Е</v>
          </cell>
          <cell r="AN30" t="str">
            <v>ДОП.ВИР. ПЛАН</v>
          </cell>
          <cell r="AO30" t="str">
            <v>ЗВІТ</v>
          </cell>
          <cell r="AP30" t="str">
            <v>АК КЕ  ПЛАН</v>
          </cell>
          <cell r="AQ30" t="str">
            <v xml:space="preserve"> Е/Е</v>
          </cell>
          <cell r="AR30" t="str">
            <v xml:space="preserve"> Т/Е</v>
          </cell>
          <cell r="AS30" t="str">
            <v>ЗВІТ</v>
          </cell>
          <cell r="AT30" t="str">
            <v>відх</v>
          </cell>
          <cell r="AU30" t="str">
            <v>СТАНЦІї ЕЛЕКТРО</v>
          </cell>
          <cell r="AV30" t="str">
            <v>СТАНЦІІ ТЕПЛОВІ</v>
          </cell>
          <cell r="AW30" t="str">
            <v>МЕРЕЖІ ЕЛЕКТРО</v>
          </cell>
          <cell r="AX30" t="str">
            <v>МЕРЕЖІ ТЕПЛОВІ</v>
          </cell>
        </row>
        <row r="31">
          <cell r="U31">
            <v>330</v>
          </cell>
          <cell r="Z31">
            <v>298</v>
          </cell>
          <cell r="AQ31">
            <v>628</v>
          </cell>
        </row>
        <row r="32">
          <cell r="U32">
            <v>291.85000000000002</v>
          </cell>
          <cell r="Z32">
            <v>268.14999999999998</v>
          </cell>
          <cell r="AQ32">
            <v>560</v>
          </cell>
        </row>
        <row r="33">
          <cell r="AQ33">
            <v>0</v>
          </cell>
        </row>
        <row r="34">
          <cell r="AQ34">
            <v>0</v>
          </cell>
        </row>
        <row r="35">
          <cell r="AQ35">
            <v>32</v>
          </cell>
        </row>
        <row r="36">
          <cell r="AQ36">
            <v>0</v>
          </cell>
        </row>
        <row r="37">
          <cell r="AQ37">
            <v>500</v>
          </cell>
        </row>
        <row r="38">
          <cell r="N38">
            <v>0</v>
          </cell>
          <cell r="AQ38">
            <v>468</v>
          </cell>
        </row>
        <row r="39">
          <cell r="C39" t="e">
            <v>#REF!</v>
          </cell>
          <cell r="N39">
            <v>6918.5707272727286</v>
          </cell>
          <cell r="O39">
            <v>6571</v>
          </cell>
          <cell r="P39">
            <v>-347.57072727272862</v>
          </cell>
          <cell r="Q39">
            <v>22108.007454545455</v>
          </cell>
          <cell r="R39">
            <v>23576</v>
          </cell>
          <cell r="S39">
            <v>1467.9925454545446</v>
          </cell>
          <cell r="T39">
            <v>6545.5823636363884</v>
          </cell>
          <cell r="W39">
            <v>8380</v>
          </cell>
          <cell r="X39">
            <v>1834.4176363636116</v>
          </cell>
          <cell r="Y39">
            <v>3583.0152727272871</v>
          </cell>
          <cell r="Z39">
            <v>1208</v>
          </cell>
          <cell r="AA39">
            <v>2300.067272727274</v>
          </cell>
          <cell r="AB39">
            <v>5452</v>
          </cell>
          <cell r="AC39">
            <v>1868.9847272727129</v>
          </cell>
          <cell r="AD39">
            <v>11439.317757575758</v>
          </cell>
          <cell r="AG39">
            <v>8513</v>
          </cell>
          <cell r="AH39">
            <v>6481</v>
          </cell>
          <cell r="AI39">
            <v>2032</v>
          </cell>
          <cell r="AJ39">
            <v>-2926.3177575757582</v>
          </cell>
          <cell r="AN39" t="e">
            <v>#REF!</v>
          </cell>
        </row>
        <row r="40">
          <cell r="C40">
            <v>12426.396999999997</v>
          </cell>
        </row>
        <row r="41">
          <cell r="C41">
            <v>1651.8969999999999</v>
          </cell>
          <cell r="D41">
            <v>443</v>
          </cell>
          <cell r="E41">
            <v>1208.8969999999999</v>
          </cell>
          <cell r="N41">
            <v>2372.272727272727</v>
          </cell>
          <cell r="Q41">
            <v>5435.727272727273</v>
          </cell>
          <cell r="T41">
            <v>2142.727272727273</v>
          </cell>
          <cell r="U41">
            <v>846</v>
          </cell>
          <cell r="V41">
            <v>1296.7272727272727</v>
          </cell>
          <cell r="Y41">
            <v>1732.7272727272727</v>
          </cell>
          <cell r="Z41">
            <v>647</v>
          </cell>
          <cell r="AA41">
            <v>1085.7272727272727</v>
          </cell>
          <cell r="AE41">
            <v>4482.6363636363631</v>
          </cell>
          <cell r="AG41">
            <v>4464</v>
          </cell>
          <cell r="AH41">
            <v>3202</v>
          </cell>
          <cell r="AN41" t="e">
            <v>#REF!</v>
          </cell>
          <cell r="AR41">
            <v>2382.4545454545455</v>
          </cell>
        </row>
        <row r="42">
          <cell r="Q42">
            <v>970</v>
          </cell>
          <cell r="V42">
            <v>750</v>
          </cell>
          <cell r="AA42">
            <v>590</v>
          </cell>
          <cell r="AR42">
            <v>2095</v>
          </cell>
        </row>
        <row r="46">
          <cell r="C46">
            <v>2157</v>
          </cell>
          <cell r="D46">
            <v>327</v>
          </cell>
          <cell r="E46">
            <v>1830</v>
          </cell>
          <cell r="N46">
            <v>1361.5680000000002</v>
          </cell>
          <cell r="O46">
            <v>1204</v>
          </cell>
          <cell r="P46">
            <v>-157.56800000000021</v>
          </cell>
          <cell r="Q46">
            <v>1683.0160000000001</v>
          </cell>
          <cell r="R46">
            <v>2125</v>
          </cell>
          <cell r="S46">
            <v>441.98399999999992</v>
          </cell>
          <cell r="T46">
            <v>419.488</v>
          </cell>
          <cell r="U46">
            <v>155</v>
          </cell>
          <cell r="V46">
            <v>264.488</v>
          </cell>
          <cell r="W46">
            <v>431</v>
          </cell>
          <cell r="X46">
            <v>11.512</v>
          </cell>
          <cell r="Y46">
            <v>522.74400000000003</v>
          </cell>
          <cell r="Z46">
            <v>197</v>
          </cell>
          <cell r="AA46">
            <v>325.74400000000003</v>
          </cell>
          <cell r="AB46">
            <v>400</v>
          </cell>
          <cell r="AC46">
            <v>-122.74400000000003</v>
          </cell>
          <cell r="AD46">
            <v>998.3413333333333</v>
          </cell>
          <cell r="AE46">
            <v>844.68000000000006</v>
          </cell>
          <cell r="AF46">
            <v>153.66133333333323</v>
          </cell>
          <cell r="AG46">
            <v>1087</v>
          </cell>
          <cell r="AH46">
            <v>292</v>
          </cell>
          <cell r="AI46">
            <v>134</v>
          </cell>
          <cell r="AJ46">
            <v>88.658666666666704</v>
          </cell>
          <cell r="AN46">
            <v>0</v>
          </cell>
          <cell r="AP46">
            <v>7242.2160000000003</v>
          </cell>
          <cell r="AQ46">
            <v>2219.1680000000001</v>
          </cell>
          <cell r="AR46">
            <v>5023.0480000000007</v>
          </cell>
          <cell r="AS46">
            <v>4452</v>
          </cell>
          <cell r="AT46">
            <v>-2790.2160000000003</v>
          </cell>
          <cell r="AU46">
            <v>352</v>
          </cell>
          <cell r="AV46">
            <v>1162</v>
          </cell>
          <cell r="AW46">
            <v>1867.1680000000001</v>
          </cell>
          <cell r="AX46">
            <v>3861.0480000000007</v>
          </cell>
        </row>
        <row r="47">
          <cell r="C47">
            <v>393</v>
          </cell>
          <cell r="E47">
            <v>393</v>
          </cell>
          <cell r="Q47">
            <v>1473.1853333333333</v>
          </cell>
          <cell r="T47">
            <v>145.25866666666667</v>
          </cell>
          <cell r="U47">
            <v>53</v>
          </cell>
          <cell r="V47">
            <v>92.25866666666667</v>
          </cell>
          <cell r="Y47">
            <v>100.22533333333334</v>
          </cell>
          <cell r="Z47">
            <v>38</v>
          </cell>
          <cell r="AA47">
            <v>62.225333333333339</v>
          </cell>
          <cell r="AC47">
            <v>-100.22533333333334</v>
          </cell>
          <cell r="AD47">
            <v>698.17071999999996</v>
          </cell>
          <cell r="AE47">
            <v>625.88250014266646</v>
          </cell>
          <cell r="AP47">
            <v>2737.551833476</v>
          </cell>
        </row>
        <row r="48">
          <cell r="C48">
            <v>0</v>
          </cell>
          <cell r="E48">
            <v>0</v>
          </cell>
          <cell r="Q48">
            <v>0</v>
          </cell>
          <cell r="T48">
            <v>95.642666666666656</v>
          </cell>
          <cell r="U48">
            <v>39</v>
          </cell>
          <cell r="V48">
            <v>56.642666666666656</v>
          </cell>
          <cell r="Y48">
            <v>206.52799999999999</v>
          </cell>
          <cell r="Z48">
            <v>80</v>
          </cell>
          <cell r="AA48">
            <v>126.52799999999999</v>
          </cell>
          <cell r="AC48">
            <v>-206.52799999999999</v>
          </cell>
          <cell r="AD48">
            <v>0</v>
          </cell>
          <cell r="AE48">
            <v>0</v>
          </cell>
          <cell r="AP48">
            <v>302.17066666666665</v>
          </cell>
        </row>
        <row r="49">
          <cell r="C49">
            <v>1653</v>
          </cell>
          <cell r="E49">
            <v>1653</v>
          </cell>
          <cell r="Q49">
            <v>113.33333333333334</v>
          </cell>
          <cell r="T49">
            <v>48.626666666666665</v>
          </cell>
          <cell r="U49">
            <v>22</v>
          </cell>
          <cell r="V49">
            <v>26.626666666666665</v>
          </cell>
          <cell r="Y49">
            <v>65.784000000000006</v>
          </cell>
          <cell r="Z49">
            <v>25</v>
          </cell>
          <cell r="AA49">
            <v>40.784000000000006</v>
          </cell>
          <cell r="AC49">
            <v>-65.784000000000006</v>
          </cell>
          <cell r="AD49">
            <v>50.74026666666667</v>
          </cell>
          <cell r="AE49">
            <v>48.597208235490712</v>
          </cell>
          <cell r="AP49">
            <v>1929.3412082354907</v>
          </cell>
        </row>
        <row r="50">
          <cell r="C50">
            <v>6</v>
          </cell>
          <cell r="D50">
            <v>2</v>
          </cell>
          <cell r="E50">
            <v>4</v>
          </cell>
          <cell r="N50">
            <v>93.024000000000001</v>
          </cell>
          <cell r="O50">
            <v>121</v>
          </cell>
          <cell r="P50">
            <v>27.975999999999999</v>
          </cell>
          <cell r="Q50">
            <v>1194.9680000000001</v>
          </cell>
          <cell r="R50">
            <v>1386</v>
          </cell>
          <cell r="S50">
            <v>191.03199999999993</v>
          </cell>
          <cell r="T50">
            <v>2642.7440000000001</v>
          </cell>
          <cell r="U50">
            <v>1031</v>
          </cell>
          <cell r="V50">
            <v>1611.7440000000001</v>
          </cell>
          <cell r="W50">
            <v>2636</v>
          </cell>
          <cell r="X50">
            <v>-6.7440000000001419</v>
          </cell>
          <cell r="Y50">
            <v>235.624</v>
          </cell>
          <cell r="Z50">
            <v>87</v>
          </cell>
          <cell r="AA50">
            <v>148.624</v>
          </cell>
          <cell r="AB50">
            <v>292</v>
          </cell>
          <cell r="AC50">
            <v>56.376000000000005</v>
          </cell>
          <cell r="AD50">
            <v>446.35733333333337</v>
          </cell>
          <cell r="AE50">
            <v>369.72</v>
          </cell>
          <cell r="AF50">
            <v>76.637333333333345</v>
          </cell>
          <cell r="AG50">
            <v>288</v>
          </cell>
          <cell r="AH50">
            <v>601</v>
          </cell>
          <cell r="AI50">
            <v>56</v>
          </cell>
          <cell r="AJ50">
            <v>-158.35733333333337</v>
          </cell>
          <cell r="AN50">
            <v>0</v>
          </cell>
          <cell r="AP50">
            <v>4503.4800000000005</v>
          </cell>
          <cell r="AQ50">
            <v>1218.424</v>
          </cell>
          <cell r="AR50">
            <v>3285.0560000000005</v>
          </cell>
          <cell r="AS50">
            <v>5036</v>
          </cell>
          <cell r="AT50">
            <v>532.51999999999953</v>
          </cell>
          <cell r="AU50">
            <v>1118</v>
          </cell>
          <cell r="AV50">
            <v>2167</v>
          </cell>
          <cell r="AW50">
            <v>100.42399999999998</v>
          </cell>
          <cell r="AX50">
            <v>1118.0560000000005</v>
          </cell>
        </row>
        <row r="51">
          <cell r="C51">
            <v>0</v>
          </cell>
          <cell r="D51">
            <v>0</v>
          </cell>
          <cell r="E51">
            <v>0</v>
          </cell>
          <cell r="N51">
            <v>0</v>
          </cell>
          <cell r="P51">
            <v>0</v>
          </cell>
          <cell r="Q51">
            <v>60.8</v>
          </cell>
          <cell r="R51">
            <v>54</v>
          </cell>
          <cell r="S51">
            <v>-6.7999999999999972</v>
          </cell>
          <cell r="T51">
            <v>2406.6</v>
          </cell>
          <cell r="U51">
            <v>943</v>
          </cell>
          <cell r="V51">
            <v>1463.6</v>
          </cell>
          <cell r="W51">
            <v>2407</v>
          </cell>
          <cell r="X51">
            <v>0.40000000000009095</v>
          </cell>
          <cell r="Y51">
            <v>38.200000000000003</v>
          </cell>
          <cell r="Z51">
            <v>15</v>
          </cell>
          <cell r="AA51">
            <v>23.200000000000003</v>
          </cell>
          <cell r="AB51">
            <v>20</v>
          </cell>
          <cell r="AC51">
            <v>-18.200000000000003</v>
          </cell>
          <cell r="AD51">
            <v>0</v>
          </cell>
          <cell r="AE51">
            <v>0</v>
          </cell>
          <cell r="AF51">
            <v>0</v>
          </cell>
          <cell r="AI51">
            <v>0</v>
          </cell>
          <cell r="AJ51">
            <v>0</v>
          </cell>
          <cell r="AP51">
            <v>2505.6</v>
          </cell>
          <cell r="AQ51">
            <v>958</v>
          </cell>
          <cell r="AR51">
            <v>1547.6</v>
          </cell>
          <cell r="AS51">
            <v>2481</v>
          </cell>
          <cell r="AT51">
            <v>-24.599999999999909</v>
          </cell>
          <cell r="AU51">
            <v>958</v>
          </cell>
          <cell r="AV51">
            <v>1507</v>
          </cell>
          <cell r="AW51">
            <v>0</v>
          </cell>
          <cell r="AX51">
            <v>40.599999999999909</v>
          </cell>
        </row>
        <row r="52">
          <cell r="C52">
            <v>0</v>
          </cell>
          <cell r="D52">
            <v>0</v>
          </cell>
          <cell r="E52">
            <v>0</v>
          </cell>
          <cell r="N52">
            <v>0</v>
          </cell>
          <cell r="P52">
            <v>0</v>
          </cell>
          <cell r="Q52">
            <v>54080</v>
          </cell>
          <cell r="R52">
            <v>61402</v>
          </cell>
          <cell r="S52">
            <v>7322</v>
          </cell>
          <cell r="T52">
            <v>109560</v>
          </cell>
          <cell r="U52">
            <v>66108.347560975613</v>
          </cell>
          <cell r="V52">
            <v>43451.652439024387</v>
          </cell>
          <cell r="W52">
            <v>93632</v>
          </cell>
          <cell r="X52">
            <v>-15928</v>
          </cell>
          <cell r="Y52">
            <v>90327</v>
          </cell>
          <cell r="Z52">
            <v>51744.750161952055</v>
          </cell>
          <cell r="AA52">
            <v>38582.249838047945</v>
          </cell>
          <cell r="AB52">
            <v>76301</v>
          </cell>
          <cell r="AC52">
            <v>-14026</v>
          </cell>
          <cell r="AD52">
            <v>0</v>
          </cell>
          <cell r="AE52">
            <v>0</v>
          </cell>
          <cell r="AF52">
            <v>0</v>
          </cell>
          <cell r="AI52">
            <v>0</v>
          </cell>
          <cell r="AJ52">
            <v>0</v>
          </cell>
          <cell r="AN52">
            <v>0</v>
          </cell>
          <cell r="AP52">
            <v>253968</v>
          </cell>
          <cell r="AQ52">
            <v>117854.09772292766</v>
          </cell>
          <cell r="AR52">
            <v>136113.90227707234</v>
          </cell>
          <cell r="AS52">
            <v>231335</v>
          </cell>
          <cell r="AT52">
            <v>-22633</v>
          </cell>
          <cell r="AU52">
            <v>117853.09772292766</v>
          </cell>
          <cell r="AV52">
            <v>136114</v>
          </cell>
          <cell r="AW52">
            <v>1</v>
          </cell>
          <cell r="AX52">
            <v>-9.7722927661379799E-2</v>
          </cell>
        </row>
        <row r="53">
          <cell r="C53">
            <v>0</v>
          </cell>
          <cell r="D53">
            <v>0</v>
          </cell>
          <cell r="E53">
            <v>0</v>
          </cell>
          <cell r="N53">
            <v>0</v>
          </cell>
          <cell r="P53">
            <v>0</v>
          </cell>
          <cell r="Q53">
            <v>54080</v>
          </cell>
          <cell r="R53">
            <v>61402</v>
          </cell>
          <cell r="S53">
            <v>7322</v>
          </cell>
          <cell r="T53">
            <v>109560</v>
          </cell>
          <cell r="U53">
            <v>66108.347560975613</v>
          </cell>
          <cell r="V53">
            <v>43451.652439024387</v>
          </cell>
          <cell r="W53">
            <v>93632</v>
          </cell>
          <cell r="X53">
            <v>-15928</v>
          </cell>
          <cell r="Y53">
            <v>90327</v>
          </cell>
          <cell r="Z53">
            <v>51744.750161952055</v>
          </cell>
          <cell r="AA53">
            <v>38582.249838047945</v>
          </cell>
          <cell r="AB53">
            <v>46301</v>
          </cell>
          <cell r="AC53">
            <v>-44026</v>
          </cell>
          <cell r="AD53">
            <v>0</v>
          </cell>
          <cell r="AE53">
            <v>0</v>
          </cell>
          <cell r="AF53">
            <v>0</v>
          </cell>
          <cell r="AI53">
            <v>0</v>
          </cell>
          <cell r="AJ53">
            <v>0</v>
          </cell>
          <cell r="AP53">
            <v>253967</v>
          </cell>
          <cell r="AQ53">
            <v>117853.09772292766</v>
          </cell>
          <cell r="AR53">
            <v>136113.90227707234</v>
          </cell>
          <cell r="AS53">
            <v>201335</v>
          </cell>
          <cell r="AT53">
            <v>-52632</v>
          </cell>
          <cell r="AU53">
            <v>117853.09772292766</v>
          </cell>
          <cell r="AV53">
            <v>136114</v>
          </cell>
          <cell r="AW53">
            <v>0</v>
          </cell>
          <cell r="AX53">
            <v>-9.7722927661379799E-2</v>
          </cell>
        </row>
        <row r="54">
          <cell r="C54">
            <v>0</v>
          </cell>
          <cell r="D54">
            <v>0</v>
          </cell>
          <cell r="E54">
            <v>0</v>
          </cell>
          <cell r="N54">
            <v>0</v>
          </cell>
          <cell r="P54">
            <v>0</v>
          </cell>
          <cell r="Q54">
            <v>0</v>
          </cell>
          <cell r="S54">
            <v>0</v>
          </cell>
          <cell r="T54">
            <v>0</v>
          </cell>
          <cell r="U54">
            <v>0</v>
          </cell>
          <cell r="Y54">
            <v>0</v>
          </cell>
          <cell r="Z54">
            <v>0</v>
          </cell>
          <cell r="AA54">
            <v>0</v>
          </cell>
          <cell r="AD54">
            <v>0</v>
          </cell>
          <cell r="AE54">
            <v>0</v>
          </cell>
          <cell r="AS54">
            <v>0</v>
          </cell>
          <cell r="AT54">
            <v>0</v>
          </cell>
          <cell r="AV54">
            <v>0</v>
          </cell>
        </row>
        <row r="55">
          <cell r="C55">
            <v>13</v>
          </cell>
          <cell r="D55">
            <v>6</v>
          </cell>
          <cell r="E55">
            <v>7</v>
          </cell>
          <cell r="N55">
            <v>157.33600000000001</v>
          </cell>
          <cell r="O55">
            <v>140</v>
          </cell>
          <cell r="P55">
            <v>-17.336000000000013</v>
          </cell>
          <cell r="Q55">
            <v>9035.0240000000013</v>
          </cell>
          <cell r="R55">
            <v>8493</v>
          </cell>
          <cell r="S55">
            <v>-542.02400000000125</v>
          </cell>
          <cell r="T55">
            <v>0</v>
          </cell>
          <cell r="U55">
            <v>0</v>
          </cell>
          <cell r="V55">
            <v>0</v>
          </cell>
          <cell r="X55">
            <v>0</v>
          </cell>
          <cell r="Y55">
            <v>0</v>
          </cell>
          <cell r="Z55">
            <v>0</v>
          </cell>
          <cell r="AA55">
            <v>0</v>
          </cell>
          <cell r="AB55">
            <v>0</v>
          </cell>
          <cell r="AC55">
            <v>0</v>
          </cell>
          <cell r="AD55">
            <v>2239.04</v>
          </cell>
          <cell r="AE55">
            <v>996.67200000000003</v>
          </cell>
          <cell r="AF55">
            <v>1242.3679999999999</v>
          </cell>
          <cell r="AG55">
            <v>809</v>
          </cell>
          <cell r="AH55">
            <v>810</v>
          </cell>
          <cell r="AI55">
            <v>1225</v>
          </cell>
          <cell r="AJ55">
            <v>-1430.04</v>
          </cell>
          <cell r="AN55">
            <v>0</v>
          </cell>
          <cell r="AP55">
            <v>10202.032000000001</v>
          </cell>
          <cell r="AQ55">
            <v>163.33600000000001</v>
          </cell>
          <cell r="AR55">
            <v>10038.696000000002</v>
          </cell>
          <cell r="AS55">
            <v>9442</v>
          </cell>
          <cell r="AT55">
            <v>-760.03200000000106</v>
          </cell>
          <cell r="AU55">
            <v>0</v>
          </cell>
          <cell r="AV55">
            <v>3072</v>
          </cell>
          <cell r="AW55">
            <v>163.33600000000001</v>
          </cell>
          <cell r="AX55">
            <v>6966.6960000000017</v>
          </cell>
        </row>
        <row r="56">
          <cell r="C56">
            <v>1201.8969999999999</v>
          </cell>
          <cell r="D56">
            <v>310</v>
          </cell>
          <cell r="E56">
            <v>891.89699999999993</v>
          </cell>
          <cell r="N56">
            <v>1568.2727272727273</v>
          </cell>
          <cell r="O56">
            <v>1303</v>
          </cell>
          <cell r="P56">
            <v>-265.27272727272725</v>
          </cell>
          <cell r="Q56">
            <v>3026</v>
          </cell>
          <cell r="R56">
            <v>2369</v>
          </cell>
          <cell r="S56">
            <v>-657</v>
          </cell>
          <cell r="T56">
            <v>966.72727272727275</v>
          </cell>
          <cell r="U56">
            <v>384</v>
          </cell>
          <cell r="V56">
            <v>582.72727272727275</v>
          </cell>
          <cell r="W56">
            <v>745</v>
          </cell>
          <cell r="X56">
            <v>-221.72727272727275</v>
          </cell>
          <cell r="Y56">
            <v>825.72727272727275</v>
          </cell>
          <cell r="Z56">
            <v>308</v>
          </cell>
          <cell r="AA56">
            <v>517.72727272727275</v>
          </cell>
          <cell r="AB56">
            <v>662</v>
          </cell>
          <cell r="AC56">
            <v>-163.72727272727275</v>
          </cell>
          <cell r="AD56">
            <v>3267.5454545454545</v>
          </cell>
          <cell r="AE56">
            <v>2998.5454545454545</v>
          </cell>
          <cell r="AF56">
            <v>269</v>
          </cell>
          <cell r="AG56">
            <v>2563</v>
          </cell>
          <cell r="AH56">
            <v>1747</v>
          </cell>
          <cell r="AI56">
            <v>306</v>
          </cell>
          <cell r="AJ56">
            <v>-704.5454545454545</v>
          </cell>
          <cell r="AN56">
            <v>0</v>
          </cell>
          <cell r="AP56">
            <v>11358.169727272727</v>
          </cell>
          <cell r="AQ56">
            <v>3079.090909090909</v>
          </cell>
          <cell r="AR56">
            <v>8279.078818181817</v>
          </cell>
          <cell r="AS56">
            <v>6826</v>
          </cell>
          <cell r="AT56">
            <v>-4532.169727272727</v>
          </cell>
          <cell r="AU56">
            <v>692</v>
          </cell>
          <cell r="AV56">
            <v>2129</v>
          </cell>
          <cell r="AW56">
            <v>2387.090909090909</v>
          </cell>
          <cell r="AX56">
            <v>6150.078818181817</v>
          </cell>
        </row>
        <row r="57">
          <cell r="C57">
            <v>66</v>
          </cell>
          <cell r="D57">
            <v>16</v>
          </cell>
          <cell r="E57">
            <v>50</v>
          </cell>
          <cell r="N57">
            <v>86</v>
          </cell>
          <cell r="O57">
            <v>70</v>
          </cell>
          <cell r="P57">
            <v>-16</v>
          </cell>
          <cell r="Q57">
            <v>166</v>
          </cell>
          <cell r="R57">
            <v>129</v>
          </cell>
          <cell r="S57">
            <v>-37</v>
          </cell>
          <cell r="T57">
            <v>53</v>
          </cell>
          <cell r="U57">
            <v>22</v>
          </cell>
          <cell r="V57">
            <v>31</v>
          </cell>
          <cell r="W57">
            <v>39</v>
          </cell>
          <cell r="X57">
            <v>-14</v>
          </cell>
          <cell r="Y57">
            <v>45</v>
          </cell>
          <cell r="Z57">
            <v>17</v>
          </cell>
          <cell r="AA57">
            <v>28</v>
          </cell>
          <cell r="AB57">
            <v>35</v>
          </cell>
          <cell r="AC57">
            <v>-10</v>
          </cell>
          <cell r="AD57">
            <v>180</v>
          </cell>
          <cell r="AE57">
            <v>165</v>
          </cell>
          <cell r="AF57">
            <v>15</v>
          </cell>
          <cell r="AG57">
            <v>136</v>
          </cell>
          <cell r="AH57">
            <v>96</v>
          </cell>
          <cell r="AI57">
            <v>18</v>
          </cell>
          <cell r="AJ57">
            <v>-44</v>
          </cell>
          <cell r="AN57">
            <v>0</v>
          </cell>
          <cell r="AP57">
            <v>624</v>
          </cell>
          <cell r="AQ57">
            <v>169</v>
          </cell>
          <cell r="AR57">
            <v>455</v>
          </cell>
          <cell r="AS57">
            <v>369</v>
          </cell>
          <cell r="AT57">
            <v>-255</v>
          </cell>
          <cell r="AU57">
            <v>39</v>
          </cell>
          <cell r="AV57">
            <v>88</v>
          </cell>
          <cell r="AW57">
            <v>130</v>
          </cell>
          <cell r="AX57">
            <v>367</v>
          </cell>
        </row>
        <row r="58">
          <cell r="C58">
            <v>384</v>
          </cell>
          <cell r="D58">
            <v>117</v>
          </cell>
          <cell r="E58">
            <v>267</v>
          </cell>
          <cell r="N58">
            <v>503</v>
          </cell>
          <cell r="O58">
            <v>417</v>
          </cell>
          <cell r="P58">
            <v>-86</v>
          </cell>
          <cell r="Q58">
            <v>968</v>
          </cell>
          <cell r="R58">
            <v>610</v>
          </cell>
          <cell r="S58">
            <v>-358</v>
          </cell>
          <cell r="T58">
            <v>309</v>
          </cell>
          <cell r="U58">
            <v>123</v>
          </cell>
          <cell r="V58">
            <v>186</v>
          </cell>
          <cell r="W58">
            <v>229</v>
          </cell>
          <cell r="X58">
            <v>-80</v>
          </cell>
          <cell r="Y58">
            <v>264</v>
          </cell>
          <cell r="Z58">
            <v>99</v>
          </cell>
          <cell r="AA58">
            <v>165</v>
          </cell>
          <cell r="AB58">
            <v>205</v>
          </cell>
          <cell r="AC58">
            <v>-59</v>
          </cell>
          <cell r="AD58">
            <v>1046</v>
          </cell>
          <cell r="AE58">
            <v>960</v>
          </cell>
          <cell r="AF58">
            <v>86</v>
          </cell>
          <cell r="AG58">
            <v>793</v>
          </cell>
          <cell r="AH58">
            <v>559</v>
          </cell>
          <cell r="AI58">
            <v>103</v>
          </cell>
          <cell r="AJ58">
            <v>-253</v>
          </cell>
          <cell r="AN58">
            <v>0</v>
          </cell>
          <cell r="AP58">
            <v>3635</v>
          </cell>
          <cell r="AQ58">
            <v>1003</v>
          </cell>
          <cell r="AR58">
            <v>2632</v>
          </cell>
          <cell r="AS58">
            <v>2021</v>
          </cell>
          <cell r="AT58">
            <v>-1614</v>
          </cell>
          <cell r="AU58">
            <v>0</v>
          </cell>
          <cell r="AV58">
            <v>0</v>
          </cell>
          <cell r="AW58">
            <v>0</v>
          </cell>
          <cell r="AX58">
            <v>0</v>
          </cell>
        </row>
        <row r="59">
          <cell r="C59">
            <v>0</v>
          </cell>
          <cell r="D59">
            <v>0</v>
          </cell>
          <cell r="E59">
            <v>0</v>
          </cell>
          <cell r="N59">
            <v>0</v>
          </cell>
          <cell r="P59">
            <v>0</v>
          </cell>
          <cell r="Q59">
            <v>0</v>
          </cell>
          <cell r="S59">
            <v>0</v>
          </cell>
          <cell r="T59">
            <v>0</v>
          </cell>
          <cell r="U59">
            <v>0</v>
          </cell>
          <cell r="V59">
            <v>0</v>
          </cell>
          <cell r="X59">
            <v>0</v>
          </cell>
          <cell r="Y59">
            <v>0</v>
          </cell>
          <cell r="Z59">
            <v>0</v>
          </cell>
          <cell r="AA59">
            <v>0</v>
          </cell>
          <cell r="AC59">
            <v>0</v>
          </cell>
          <cell r="AD59">
            <v>0</v>
          </cell>
          <cell r="AE59">
            <v>0</v>
          </cell>
          <cell r="AF59">
            <v>0</v>
          </cell>
          <cell r="AI59">
            <v>0</v>
          </cell>
          <cell r="AJ59">
            <v>0</v>
          </cell>
          <cell r="AN59" t="e">
            <v>#REF!</v>
          </cell>
          <cell r="AP59">
            <v>0</v>
          </cell>
          <cell r="AQ59">
            <v>0</v>
          </cell>
          <cell r="AR59">
            <v>0</v>
          </cell>
          <cell r="AS59">
            <v>0</v>
          </cell>
          <cell r="AT59">
            <v>0</v>
          </cell>
          <cell r="AU59">
            <v>0</v>
          </cell>
          <cell r="AV59">
            <v>0</v>
          </cell>
          <cell r="AW59">
            <v>0</v>
          </cell>
          <cell r="AX59">
            <v>0</v>
          </cell>
        </row>
        <row r="60">
          <cell r="C60">
            <v>237</v>
          </cell>
          <cell r="D60">
            <v>85</v>
          </cell>
          <cell r="E60">
            <v>152</v>
          </cell>
          <cell r="N60">
            <v>1782</v>
          </cell>
          <cell r="O60">
            <v>1794</v>
          </cell>
          <cell r="P60">
            <v>12</v>
          </cell>
          <cell r="Q60">
            <v>4149</v>
          </cell>
          <cell r="R60">
            <v>3886</v>
          </cell>
          <cell r="S60">
            <v>-263</v>
          </cell>
          <cell r="T60">
            <v>2122</v>
          </cell>
          <cell r="U60">
            <v>823</v>
          </cell>
          <cell r="V60">
            <v>1299</v>
          </cell>
          <cell r="W60">
            <v>2064</v>
          </cell>
          <cell r="X60">
            <v>-58</v>
          </cell>
          <cell r="Y60">
            <v>2201</v>
          </cell>
          <cell r="Z60">
            <v>818</v>
          </cell>
          <cell r="AA60">
            <v>1383</v>
          </cell>
          <cell r="AB60">
            <v>2209</v>
          </cell>
          <cell r="AC60">
            <v>8</v>
          </cell>
          <cell r="AD60">
            <v>1725.6666666666667</v>
          </cell>
          <cell r="AE60">
            <v>1574.3333333333335</v>
          </cell>
          <cell r="AF60">
            <v>151.33333333333326</v>
          </cell>
          <cell r="AG60">
            <v>1641</v>
          </cell>
          <cell r="AH60">
            <v>1265</v>
          </cell>
          <cell r="AI60">
            <v>155</v>
          </cell>
          <cell r="AJ60">
            <v>-84.666666666666742</v>
          </cell>
          <cell r="AN60">
            <v>0</v>
          </cell>
          <cell r="AP60">
            <v>12041.333333333334</v>
          </cell>
          <cell r="AQ60">
            <v>3536</v>
          </cell>
          <cell r="AR60">
            <v>8505.3333333333339</v>
          </cell>
          <cell r="AS60">
            <v>11218</v>
          </cell>
          <cell r="AT60">
            <v>-823.33333333333394</v>
          </cell>
          <cell r="AU60">
            <v>1641</v>
          </cell>
          <cell r="AV60">
            <v>4093</v>
          </cell>
          <cell r="AW60">
            <v>1895</v>
          </cell>
          <cell r="AX60">
            <v>4412.3333333333339</v>
          </cell>
        </row>
        <row r="61">
          <cell r="C61">
            <v>0</v>
          </cell>
          <cell r="D61">
            <v>0</v>
          </cell>
          <cell r="E61">
            <v>0</v>
          </cell>
          <cell r="N61">
            <v>0</v>
          </cell>
          <cell r="P61">
            <v>0</v>
          </cell>
          <cell r="Q61">
            <v>0</v>
          </cell>
          <cell r="S61">
            <v>0</v>
          </cell>
          <cell r="T61">
            <v>0</v>
          </cell>
          <cell r="U61">
            <v>0</v>
          </cell>
          <cell r="X61">
            <v>0</v>
          </cell>
          <cell r="Y61">
            <v>0</v>
          </cell>
          <cell r="Z61">
            <v>0</v>
          </cell>
          <cell r="AA61">
            <v>0</v>
          </cell>
          <cell r="AC61">
            <v>0</v>
          </cell>
          <cell r="AD61">
            <v>0</v>
          </cell>
          <cell r="AE61">
            <v>0</v>
          </cell>
          <cell r="AF61">
            <v>0</v>
          </cell>
          <cell r="AG61">
            <v>0</v>
          </cell>
          <cell r="AH61">
            <v>126</v>
          </cell>
          <cell r="AI61">
            <v>0</v>
          </cell>
          <cell r="AJ61">
            <v>0</v>
          </cell>
          <cell r="AP61">
            <v>0</v>
          </cell>
          <cell r="AS61">
            <v>126</v>
          </cell>
          <cell r="AT61">
            <v>126</v>
          </cell>
        </row>
        <row r="62">
          <cell r="C62">
            <v>252</v>
          </cell>
          <cell r="D62">
            <v>76</v>
          </cell>
          <cell r="E62">
            <v>176</v>
          </cell>
          <cell r="N62">
            <v>1614.15</v>
          </cell>
          <cell r="P62">
            <v>-1614.15</v>
          </cell>
          <cell r="Q62">
            <v>2962.8939999999998</v>
          </cell>
          <cell r="S62">
            <v>-2962.8939999999998</v>
          </cell>
          <cell r="T62">
            <v>176.47000000000003</v>
          </cell>
          <cell r="U62">
            <v>53</v>
          </cell>
          <cell r="X62">
            <v>-176.47000000000003</v>
          </cell>
          <cell r="Y62">
            <v>225.76000000000002</v>
          </cell>
          <cell r="Z62">
            <v>28</v>
          </cell>
          <cell r="AA62">
            <v>197.76000000000002</v>
          </cell>
          <cell r="AC62">
            <v>-225.76000000000002</v>
          </cell>
          <cell r="AD62">
            <v>1009.45</v>
          </cell>
          <cell r="AE62">
            <v>932.45</v>
          </cell>
          <cell r="AF62">
            <v>77</v>
          </cell>
          <cell r="AI62">
            <v>0</v>
          </cell>
          <cell r="AJ62">
            <v>-1009.45</v>
          </cell>
          <cell r="AP62">
            <v>6176.7240000000002</v>
          </cell>
          <cell r="AQ62">
            <v>1784.15</v>
          </cell>
          <cell r="AR62">
            <v>4392.5740000000005</v>
          </cell>
          <cell r="AS62">
            <v>0</v>
          </cell>
          <cell r="AT62">
            <v>-6176.7240000000002</v>
          </cell>
          <cell r="AV62">
            <v>1013</v>
          </cell>
        </row>
        <row r="63">
          <cell r="C63">
            <v>0</v>
          </cell>
          <cell r="D63">
            <v>0</v>
          </cell>
          <cell r="E63">
            <v>0</v>
          </cell>
          <cell r="N63">
            <v>0</v>
          </cell>
          <cell r="P63">
            <v>0</v>
          </cell>
          <cell r="Q63">
            <v>0</v>
          </cell>
          <cell r="S63">
            <v>0</v>
          </cell>
          <cell r="T63">
            <v>0</v>
          </cell>
          <cell r="U63">
            <v>0</v>
          </cell>
          <cell r="X63">
            <v>0</v>
          </cell>
          <cell r="Y63">
            <v>0</v>
          </cell>
          <cell r="Z63">
            <v>0</v>
          </cell>
          <cell r="AA63">
            <v>0</v>
          </cell>
          <cell r="AC63">
            <v>0</v>
          </cell>
          <cell r="AD63">
            <v>0</v>
          </cell>
          <cell r="AE63">
            <v>0</v>
          </cell>
          <cell r="AF63">
            <v>0</v>
          </cell>
          <cell r="AI63">
            <v>0</v>
          </cell>
          <cell r="AJ63">
            <v>0</v>
          </cell>
          <cell r="AP63">
            <v>0</v>
          </cell>
          <cell r="AQ63">
            <v>0</v>
          </cell>
          <cell r="AR63">
            <v>0</v>
          </cell>
          <cell r="AS63">
            <v>0</v>
          </cell>
          <cell r="AT63">
            <v>0</v>
          </cell>
          <cell r="AV63">
            <v>0</v>
          </cell>
        </row>
        <row r="64">
          <cell r="C64">
            <v>0</v>
          </cell>
          <cell r="D64">
            <v>9</v>
          </cell>
          <cell r="E64">
            <v>-9</v>
          </cell>
          <cell r="N64">
            <v>167.84999999999991</v>
          </cell>
          <cell r="P64">
            <v>-167.84999999999991</v>
          </cell>
          <cell r="Q64">
            <v>1186.1060000000002</v>
          </cell>
          <cell r="S64">
            <v>-1186.1060000000002</v>
          </cell>
          <cell r="T64">
            <v>1945.53</v>
          </cell>
          <cell r="U64">
            <v>770</v>
          </cell>
          <cell r="X64">
            <v>-1945.53</v>
          </cell>
          <cell r="Y64">
            <v>1975.24</v>
          </cell>
          <cell r="Z64">
            <v>790</v>
          </cell>
          <cell r="AA64">
            <v>1185.24</v>
          </cell>
          <cell r="AC64">
            <v>-1975.24</v>
          </cell>
          <cell r="AD64">
            <v>716.2166666666667</v>
          </cell>
          <cell r="AE64">
            <v>641.88333333333344</v>
          </cell>
          <cell r="AF64">
            <v>74.333333333333258</v>
          </cell>
          <cell r="AG64">
            <v>1641</v>
          </cell>
          <cell r="AH64">
            <v>1139</v>
          </cell>
          <cell r="AI64">
            <v>155</v>
          </cell>
          <cell r="AJ64">
            <v>924.7833333333333</v>
          </cell>
          <cell r="AP64">
            <v>5923.6093333333329</v>
          </cell>
          <cell r="AS64">
            <v>1139</v>
          </cell>
          <cell r="AT64">
            <v>-4784.6093333333329</v>
          </cell>
        </row>
        <row r="65">
          <cell r="C65">
            <v>569</v>
          </cell>
          <cell r="D65">
            <v>63</v>
          </cell>
          <cell r="E65">
            <v>506</v>
          </cell>
          <cell r="N65">
            <v>1295.5</v>
          </cell>
          <cell r="O65">
            <v>1295</v>
          </cell>
          <cell r="P65">
            <v>-0.5</v>
          </cell>
          <cell r="Q65">
            <v>2567.7454545454548</v>
          </cell>
          <cell r="R65">
            <v>2254</v>
          </cell>
          <cell r="S65">
            <v>-313.74545454545478</v>
          </cell>
          <cell r="T65">
            <v>1558.3090909090909</v>
          </cell>
          <cell r="U65">
            <v>591</v>
          </cell>
          <cell r="V65">
            <v>967.30909090909086</v>
          </cell>
          <cell r="W65">
            <v>1557</v>
          </cell>
          <cell r="X65">
            <v>-1.3090909090908553</v>
          </cell>
          <cell r="Y65">
            <v>1196.7</v>
          </cell>
          <cell r="Z65">
            <v>400</v>
          </cell>
          <cell r="AA65">
            <v>796.7</v>
          </cell>
          <cell r="AB65">
            <v>1201</v>
          </cell>
          <cell r="AC65">
            <v>4.2999999999999545</v>
          </cell>
          <cell r="AD65">
            <v>1791.7636363636364</v>
          </cell>
          <cell r="AE65">
            <v>1791.7636363636364</v>
          </cell>
          <cell r="AF65">
            <v>0</v>
          </cell>
          <cell r="AG65">
            <v>1946</v>
          </cell>
          <cell r="AH65">
            <v>938</v>
          </cell>
          <cell r="AI65">
            <v>0</v>
          </cell>
          <cell r="AJ65">
            <v>154.23636363636365</v>
          </cell>
          <cell r="AP65">
            <v>8985.0181818181809</v>
          </cell>
          <cell r="AQ65">
            <v>2319.5</v>
          </cell>
          <cell r="AR65">
            <v>6665.5181818181809</v>
          </cell>
          <cell r="AS65">
            <v>7245</v>
          </cell>
          <cell r="AT65">
            <v>-1740.0181818181809</v>
          </cell>
          <cell r="AU65">
            <v>991</v>
          </cell>
          <cell r="AV65">
            <v>2637</v>
          </cell>
          <cell r="AW65">
            <v>1328.5</v>
          </cell>
          <cell r="AX65">
            <v>4028.5181818181809</v>
          </cell>
        </row>
        <row r="66">
          <cell r="C66">
            <v>0</v>
          </cell>
          <cell r="D66">
            <v>0</v>
          </cell>
          <cell r="E66">
            <v>0</v>
          </cell>
          <cell r="N66">
            <v>156</v>
          </cell>
          <cell r="O66">
            <v>198</v>
          </cell>
          <cell r="P66">
            <v>42</v>
          </cell>
          <cell r="Q66">
            <v>927.72727272727275</v>
          </cell>
          <cell r="R66">
            <v>1097</v>
          </cell>
          <cell r="S66">
            <v>169.27272727272725</v>
          </cell>
          <cell r="T66">
            <v>592</v>
          </cell>
          <cell r="U66">
            <v>231</v>
          </cell>
          <cell r="V66">
            <v>361</v>
          </cell>
          <cell r="W66">
            <v>608</v>
          </cell>
          <cell r="X66">
            <v>16</v>
          </cell>
          <cell r="Y66">
            <v>435</v>
          </cell>
          <cell r="Z66">
            <v>162</v>
          </cell>
          <cell r="AA66">
            <v>273</v>
          </cell>
          <cell r="AB66">
            <v>435</v>
          </cell>
          <cell r="AC66">
            <v>0</v>
          </cell>
          <cell r="AD66">
            <v>261.09090909090912</v>
          </cell>
          <cell r="AE66">
            <v>261.09090909090912</v>
          </cell>
          <cell r="AF66">
            <v>0</v>
          </cell>
          <cell r="AG66">
            <v>318</v>
          </cell>
          <cell r="AH66">
            <v>237</v>
          </cell>
          <cell r="AI66">
            <v>0</v>
          </cell>
          <cell r="AJ66">
            <v>56.909090909090878</v>
          </cell>
          <cell r="AP66">
            <v>2371.818181818182</v>
          </cell>
          <cell r="AQ66">
            <v>549</v>
          </cell>
          <cell r="AR66">
            <v>1822.818181818182</v>
          </cell>
          <cell r="AS66">
            <v>2575</v>
          </cell>
          <cell r="AT66">
            <v>203.18181818181802</v>
          </cell>
        </row>
        <row r="67">
          <cell r="C67">
            <v>0</v>
          </cell>
          <cell r="D67">
            <v>0</v>
          </cell>
          <cell r="E67">
            <v>0</v>
          </cell>
          <cell r="N67">
            <v>9</v>
          </cell>
          <cell r="O67">
            <v>11</v>
          </cell>
          <cell r="P67">
            <v>2</v>
          </cell>
          <cell r="Q67">
            <v>51</v>
          </cell>
          <cell r="R67">
            <v>60</v>
          </cell>
          <cell r="S67">
            <v>9</v>
          </cell>
          <cell r="T67">
            <v>33</v>
          </cell>
          <cell r="U67">
            <v>13</v>
          </cell>
          <cell r="V67">
            <v>20</v>
          </cell>
          <cell r="W67">
            <v>33</v>
          </cell>
          <cell r="X67">
            <v>0</v>
          </cell>
          <cell r="Y67">
            <v>24</v>
          </cell>
          <cell r="Z67">
            <v>9</v>
          </cell>
          <cell r="AA67">
            <v>15</v>
          </cell>
          <cell r="AB67">
            <v>24</v>
          </cell>
          <cell r="AC67">
            <v>0</v>
          </cell>
          <cell r="AD67">
            <v>15</v>
          </cell>
          <cell r="AE67">
            <v>15</v>
          </cell>
          <cell r="AF67">
            <v>0</v>
          </cell>
          <cell r="AG67">
            <v>17</v>
          </cell>
          <cell r="AH67">
            <v>12</v>
          </cell>
          <cell r="AI67">
            <v>0</v>
          </cell>
          <cell r="AJ67">
            <v>2</v>
          </cell>
          <cell r="AP67">
            <v>132</v>
          </cell>
          <cell r="AQ67">
            <v>31</v>
          </cell>
          <cell r="AR67">
            <v>101</v>
          </cell>
          <cell r="AS67">
            <v>140</v>
          </cell>
          <cell r="AT67">
            <v>8</v>
          </cell>
        </row>
        <row r="68">
          <cell r="C68">
            <v>0</v>
          </cell>
          <cell r="D68">
            <v>0</v>
          </cell>
          <cell r="E68">
            <v>0</v>
          </cell>
          <cell r="N68">
            <v>50</v>
          </cell>
          <cell r="O68">
            <v>63</v>
          </cell>
          <cell r="P68">
            <v>13</v>
          </cell>
          <cell r="Q68">
            <v>297</v>
          </cell>
          <cell r="R68">
            <v>330</v>
          </cell>
          <cell r="S68">
            <v>33</v>
          </cell>
          <cell r="T68">
            <v>189</v>
          </cell>
          <cell r="U68">
            <v>73</v>
          </cell>
          <cell r="V68">
            <v>116</v>
          </cell>
          <cell r="W68">
            <v>190</v>
          </cell>
          <cell r="X68">
            <v>1</v>
          </cell>
          <cell r="Y68">
            <v>139</v>
          </cell>
          <cell r="Z68">
            <v>52</v>
          </cell>
          <cell r="AA68">
            <v>87</v>
          </cell>
          <cell r="AB68">
            <v>137</v>
          </cell>
          <cell r="AC68">
            <v>-2</v>
          </cell>
          <cell r="AD68">
            <v>83</v>
          </cell>
          <cell r="AE68">
            <v>83</v>
          </cell>
          <cell r="AF68">
            <v>0</v>
          </cell>
          <cell r="AG68">
            <v>102</v>
          </cell>
          <cell r="AH68">
            <v>16</v>
          </cell>
          <cell r="AI68">
            <v>0</v>
          </cell>
          <cell r="AJ68">
            <v>19</v>
          </cell>
          <cell r="AP68">
            <v>758</v>
          </cell>
          <cell r="AQ68">
            <v>175</v>
          </cell>
          <cell r="AR68">
            <v>583</v>
          </cell>
          <cell r="AS68">
            <v>620</v>
          </cell>
          <cell r="AT68">
            <v>-138</v>
          </cell>
        </row>
        <row r="69">
          <cell r="C69">
            <v>0</v>
          </cell>
          <cell r="D69">
            <v>0</v>
          </cell>
          <cell r="E69">
            <v>0</v>
          </cell>
          <cell r="N69">
            <v>0</v>
          </cell>
          <cell r="P69">
            <v>0</v>
          </cell>
          <cell r="Q69">
            <v>0</v>
          </cell>
          <cell r="S69">
            <v>0</v>
          </cell>
          <cell r="T69">
            <v>0</v>
          </cell>
          <cell r="U69">
            <v>0</v>
          </cell>
          <cell r="V69">
            <v>0</v>
          </cell>
          <cell r="X69">
            <v>0</v>
          </cell>
          <cell r="Y69">
            <v>0</v>
          </cell>
          <cell r="Z69">
            <v>0</v>
          </cell>
          <cell r="AA69">
            <v>0</v>
          </cell>
          <cell r="AC69">
            <v>0</v>
          </cell>
          <cell r="AD69">
            <v>0</v>
          </cell>
          <cell r="AE69">
            <v>0</v>
          </cell>
          <cell r="AF69">
            <v>0</v>
          </cell>
          <cell r="AI69">
            <v>0</v>
          </cell>
          <cell r="AJ69">
            <v>0</v>
          </cell>
          <cell r="AP69">
            <v>0</v>
          </cell>
          <cell r="AQ69">
            <v>0</v>
          </cell>
          <cell r="AR69">
            <v>0</v>
          </cell>
          <cell r="AS69">
            <v>0</v>
          </cell>
          <cell r="AT69">
            <v>0</v>
          </cell>
        </row>
        <row r="70">
          <cell r="C70" t="e">
            <v>#REF!</v>
          </cell>
          <cell r="D70" t="e">
            <v>#REF!</v>
          </cell>
          <cell r="E70" t="e">
            <v>#REF!</v>
          </cell>
          <cell r="N70">
            <v>1182.5</v>
          </cell>
          <cell r="P70">
            <v>-1182.5</v>
          </cell>
          <cell r="Q70" t="e">
            <v>#REF!</v>
          </cell>
          <cell r="S70" t="e">
            <v>#REF!</v>
          </cell>
          <cell r="T70">
            <v>897.27272727272725</v>
          </cell>
          <cell r="U70">
            <v>386</v>
          </cell>
          <cell r="V70">
            <v>511.27272727272725</v>
          </cell>
          <cell r="X70">
            <v>-897.27272727272725</v>
          </cell>
          <cell r="Y70">
            <v>713.9</v>
          </cell>
          <cell r="Z70">
            <v>283</v>
          </cell>
          <cell r="AA70">
            <v>430.9</v>
          </cell>
          <cell r="AC70">
            <v>-713.9</v>
          </cell>
          <cell r="AD70">
            <v>1285.7636363636364</v>
          </cell>
          <cell r="AE70">
            <v>1285.7636363636364</v>
          </cell>
          <cell r="AF70">
            <v>0</v>
          </cell>
          <cell r="AI70">
            <v>0</v>
          </cell>
          <cell r="AJ70">
            <v>-1285.7636363636364</v>
          </cell>
          <cell r="AP70" t="e">
            <v>#REF!</v>
          </cell>
          <cell r="AQ70" t="e">
            <v>#REF!</v>
          </cell>
          <cell r="AS70">
            <v>0</v>
          </cell>
          <cell r="AT70" t="e">
            <v>#REF!</v>
          </cell>
        </row>
        <row r="71">
          <cell r="C71" t="e">
            <v>#REF!</v>
          </cell>
          <cell r="D71" t="e">
            <v>#REF!</v>
          </cell>
          <cell r="E71" t="e">
            <v>#REF!</v>
          </cell>
          <cell r="N71">
            <v>0</v>
          </cell>
          <cell r="P71">
            <v>0</v>
          </cell>
          <cell r="Q71" t="e">
            <v>#REF!</v>
          </cell>
          <cell r="S71" t="e">
            <v>#REF!</v>
          </cell>
          <cell r="T71">
            <v>0</v>
          </cell>
          <cell r="U71">
            <v>0</v>
          </cell>
          <cell r="V71">
            <v>0</v>
          </cell>
          <cell r="X71">
            <v>0</v>
          </cell>
          <cell r="Y71">
            <v>0</v>
          </cell>
          <cell r="Z71">
            <v>0</v>
          </cell>
          <cell r="AA71">
            <v>0</v>
          </cell>
          <cell r="AC71">
            <v>0</v>
          </cell>
          <cell r="AD71">
            <v>0</v>
          </cell>
          <cell r="AE71">
            <v>0</v>
          </cell>
          <cell r="AF71">
            <v>0</v>
          </cell>
          <cell r="AI71">
            <v>0</v>
          </cell>
          <cell r="AJ71">
            <v>0</v>
          </cell>
          <cell r="AP71" t="e">
            <v>#REF!</v>
          </cell>
          <cell r="AQ71" t="e">
            <v>#REF!</v>
          </cell>
          <cell r="AS71">
            <v>0</v>
          </cell>
          <cell r="AT71" t="e">
            <v>#REF!</v>
          </cell>
        </row>
        <row r="72">
          <cell r="C72">
            <v>10026.5</v>
          </cell>
          <cell r="D72">
            <v>1252</v>
          </cell>
          <cell r="E72">
            <v>8774.5</v>
          </cell>
          <cell r="N72">
            <v>189.52</v>
          </cell>
          <cell r="O72">
            <v>227</v>
          </cell>
          <cell r="P72">
            <v>37.47999999999999</v>
          </cell>
          <cell r="Q72">
            <v>483.76</v>
          </cell>
          <cell r="R72">
            <v>403</v>
          </cell>
          <cell r="S72">
            <v>-80.759999999999991</v>
          </cell>
          <cell r="T72">
            <v>221.00800000000004</v>
          </cell>
          <cell r="U72">
            <v>84</v>
          </cell>
          <cell r="V72">
            <v>137.00800000000004</v>
          </cell>
          <cell r="W72">
            <v>175</v>
          </cell>
          <cell r="X72">
            <v>-46.008000000000038</v>
          </cell>
          <cell r="Y72">
            <v>192.512</v>
          </cell>
          <cell r="Z72">
            <v>72</v>
          </cell>
          <cell r="AA72">
            <v>120.512</v>
          </cell>
          <cell r="AB72">
            <v>94</v>
          </cell>
          <cell r="AC72">
            <v>-98.512</v>
          </cell>
          <cell r="AD72">
            <v>423.85066666666671</v>
          </cell>
          <cell r="AE72">
            <v>380.04</v>
          </cell>
          <cell r="AF72">
            <v>43.810666666666691</v>
          </cell>
          <cell r="AG72">
            <v>379</v>
          </cell>
          <cell r="AH72">
            <v>173</v>
          </cell>
          <cell r="AI72">
            <v>35</v>
          </cell>
          <cell r="AJ72">
            <v>-44.850666666666712</v>
          </cell>
          <cell r="AN72">
            <v>0</v>
          </cell>
          <cell r="AP72">
            <v>12723.470666666668</v>
          </cell>
          <cell r="AQ72" t="e">
            <v>#REF!</v>
          </cell>
          <cell r="AR72" t="e">
            <v>#REF!</v>
          </cell>
          <cell r="AS72">
            <v>181</v>
          </cell>
          <cell r="AT72">
            <v>-12542.470666666668</v>
          </cell>
          <cell r="AU72">
            <v>156</v>
          </cell>
          <cell r="AV72">
            <v>422</v>
          </cell>
          <cell r="AW72">
            <v>2004.12</v>
          </cell>
          <cell r="AX72" t="e">
            <v>#REF!</v>
          </cell>
        </row>
        <row r="73">
          <cell r="C73">
            <v>988</v>
          </cell>
          <cell r="D73">
            <v>70</v>
          </cell>
          <cell r="E73">
            <v>918</v>
          </cell>
          <cell r="N73">
            <v>0</v>
          </cell>
          <cell r="P73">
            <v>0</v>
          </cell>
          <cell r="Q73">
            <v>0</v>
          </cell>
          <cell r="S73">
            <v>0</v>
          </cell>
          <cell r="T73">
            <v>0</v>
          </cell>
          <cell r="U73">
            <v>0</v>
          </cell>
          <cell r="V73">
            <v>0</v>
          </cell>
          <cell r="X73">
            <v>0</v>
          </cell>
          <cell r="Y73">
            <v>0</v>
          </cell>
          <cell r="Z73">
            <v>0</v>
          </cell>
          <cell r="AA73">
            <v>0</v>
          </cell>
          <cell r="AC73">
            <v>0</v>
          </cell>
          <cell r="AD73">
            <v>0</v>
          </cell>
          <cell r="AE73">
            <v>0</v>
          </cell>
          <cell r="AF73">
            <v>0</v>
          </cell>
          <cell r="AI73">
            <v>0</v>
          </cell>
          <cell r="AJ73">
            <v>0</v>
          </cell>
          <cell r="AP73">
            <v>988</v>
          </cell>
          <cell r="AQ73">
            <v>70</v>
          </cell>
          <cell r="AR73">
            <v>918</v>
          </cell>
          <cell r="AS73">
            <v>0</v>
          </cell>
          <cell r="AT73">
            <v>-988</v>
          </cell>
          <cell r="AU73">
            <v>0</v>
          </cell>
          <cell r="AV73">
            <v>0</v>
          </cell>
          <cell r="AW73">
            <v>70</v>
          </cell>
          <cell r="AX73">
            <v>918</v>
          </cell>
        </row>
        <row r="74">
          <cell r="C74">
            <v>9038.5</v>
          </cell>
          <cell r="D74">
            <v>1182</v>
          </cell>
          <cell r="E74">
            <v>7856.5</v>
          </cell>
          <cell r="N74">
            <v>189.52</v>
          </cell>
          <cell r="P74">
            <v>-189.52</v>
          </cell>
          <cell r="Q74">
            <v>483.76</v>
          </cell>
          <cell r="S74">
            <v>-483.76</v>
          </cell>
          <cell r="T74">
            <v>221.00800000000004</v>
          </cell>
          <cell r="U74">
            <v>84</v>
          </cell>
          <cell r="V74">
            <v>137.00800000000004</v>
          </cell>
          <cell r="X74">
            <v>-221.00800000000004</v>
          </cell>
          <cell r="Y74">
            <v>192.512</v>
          </cell>
          <cell r="Z74">
            <v>72</v>
          </cell>
          <cell r="AA74">
            <v>120.512</v>
          </cell>
          <cell r="AC74">
            <v>-192.512</v>
          </cell>
          <cell r="AD74">
            <v>423.85066666666671</v>
          </cell>
          <cell r="AE74">
            <v>380.04</v>
          </cell>
          <cell r="AF74">
            <v>43.810666666666691</v>
          </cell>
          <cell r="AG74">
            <v>379</v>
          </cell>
          <cell r="AH74">
            <v>173</v>
          </cell>
          <cell r="AI74">
            <v>35</v>
          </cell>
          <cell r="AJ74">
            <v>-44.850666666666712</v>
          </cell>
          <cell r="AN74">
            <v>0</v>
          </cell>
          <cell r="AP74">
            <v>11735.470666666668</v>
          </cell>
          <cell r="AQ74">
            <v>2090.12</v>
          </cell>
          <cell r="AR74">
            <v>9645.350666666669</v>
          </cell>
          <cell r="AS74">
            <v>181</v>
          </cell>
          <cell r="AT74">
            <v>-11554.470666666668</v>
          </cell>
          <cell r="AU74">
            <v>156</v>
          </cell>
          <cell r="AV74">
            <v>422</v>
          </cell>
          <cell r="AW74">
            <v>1934.12</v>
          </cell>
          <cell r="AX74">
            <v>9223.350666666669</v>
          </cell>
        </row>
        <row r="75">
          <cell r="C75">
            <v>3287</v>
          </cell>
          <cell r="D75">
            <v>299</v>
          </cell>
          <cell r="E75">
            <v>2988</v>
          </cell>
          <cell r="N75">
            <v>117.32</v>
          </cell>
          <cell r="P75">
            <v>-117.32</v>
          </cell>
          <cell r="Q75">
            <v>304.76</v>
          </cell>
          <cell r="S75">
            <v>-304.76</v>
          </cell>
          <cell r="T75">
            <v>120.80800000000002</v>
          </cell>
          <cell r="U75">
            <v>46</v>
          </cell>
          <cell r="V75">
            <v>74.808000000000021</v>
          </cell>
          <cell r="X75">
            <v>-120.80800000000002</v>
          </cell>
          <cell r="Y75">
            <v>73.711999999999989</v>
          </cell>
          <cell r="Z75">
            <v>48</v>
          </cell>
          <cell r="AA75">
            <v>25.711999999999989</v>
          </cell>
          <cell r="AC75">
            <v>-73.711999999999989</v>
          </cell>
          <cell r="AD75">
            <v>284.25066666666669</v>
          </cell>
          <cell r="AE75">
            <v>260.28000000000003</v>
          </cell>
          <cell r="AF75">
            <v>23.970666666666659</v>
          </cell>
          <cell r="AJ75">
            <v>-284.25066666666669</v>
          </cell>
          <cell r="AP75">
            <v>4563.88</v>
          </cell>
          <cell r="AQ75">
            <v>734.92000000000007</v>
          </cell>
          <cell r="AR75">
            <v>3828.96</v>
          </cell>
          <cell r="AS75">
            <v>0</v>
          </cell>
          <cell r="AT75">
            <v>-4563.88</v>
          </cell>
          <cell r="AX75">
            <v>3828.96</v>
          </cell>
        </row>
        <row r="76">
          <cell r="C76">
            <v>0</v>
          </cell>
          <cell r="D76">
            <v>0</v>
          </cell>
          <cell r="E76">
            <v>0</v>
          </cell>
          <cell r="N76">
            <v>0</v>
          </cell>
          <cell r="P76">
            <v>0</v>
          </cell>
          <cell r="Q76">
            <v>0</v>
          </cell>
          <cell r="S76">
            <v>0</v>
          </cell>
          <cell r="T76">
            <v>0</v>
          </cell>
          <cell r="U76">
            <v>0</v>
          </cell>
          <cell r="V76">
            <v>0</v>
          </cell>
          <cell r="X76">
            <v>0</v>
          </cell>
          <cell r="Y76">
            <v>0</v>
          </cell>
          <cell r="Z76">
            <v>0</v>
          </cell>
          <cell r="AA76">
            <v>0</v>
          </cell>
          <cell r="AC76">
            <v>0</v>
          </cell>
          <cell r="AD76">
            <v>0</v>
          </cell>
          <cell r="AE76">
            <v>0</v>
          </cell>
          <cell r="AF76">
            <v>0</v>
          </cell>
          <cell r="AJ76">
            <v>0</v>
          </cell>
          <cell r="AP76">
            <v>658.33066666666662</v>
          </cell>
          <cell r="AQ76">
            <v>324</v>
          </cell>
          <cell r="AR76">
            <v>334.33066666666662</v>
          </cell>
          <cell r="AS76">
            <v>0</v>
          </cell>
          <cell r="AT76">
            <v>-658.33066666666662</v>
          </cell>
          <cell r="AX76">
            <v>334.33066666666662</v>
          </cell>
        </row>
        <row r="77">
          <cell r="C77">
            <v>865</v>
          </cell>
          <cell r="D77">
            <v>323</v>
          </cell>
          <cell r="E77">
            <v>542</v>
          </cell>
          <cell r="N77">
            <v>34</v>
          </cell>
          <cell r="Q77">
            <v>80.800000000000011</v>
          </cell>
          <cell r="T77">
            <v>48.400000000000006</v>
          </cell>
          <cell r="U77">
            <v>8</v>
          </cell>
          <cell r="V77">
            <v>40.400000000000006</v>
          </cell>
          <cell r="Y77">
            <v>37.200000000000003</v>
          </cell>
          <cell r="Z77">
            <v>10</v>
          </cell>
          <cell r="AA77">
            <v>27.200000000000003</v>
          </cell>
          <cell r="AD77">
            <v>58.6</v>
          </cell>
          <cell r="AE77">
            <v>54.76</v>
          </cell>
          <cell r="AF77">
            <v>3.8400000000000034</v>
          </cell>
        </row>
        <row r="78">
          <cell r="C78">
            <v>3123.5</v>
          </cell>
          <cell r="D78">
            <v>363</v>
          </cell>
          <cell r="E78">
            <v>2760.5</v>
          </cell>
          <cell r="N78">
            <v>38.200000000000003</v>
          </cell>
          <cell r="Q78">
            <v>98.2</v>
          </cell>
          <cell r="T78">
            <v>51.8</v>
          </cell>
          <cell r="U78">
            <v>14</v>
          </cell>
          <cell r="V78">
            <v>37.799999999999997</v>
          </cell>
          <cell r="Y78">
            <v>81.599999999999994</v>
          </cell>
          <cell r="Z78">
            <v>14</v>
          </cell>
          <cell r="AA78">
            <v>67.599999999999994</v>
          </cell>
          <cell r="AD78">
            <v>81</v>
          </cell>
          <cell r="AE78">
            <v>65</v>
          </cell>
          <cell r="AF78">
            <v>16</v>
          </cell>
        </row>
        <row r="79">
          <cell r="C79">
            <v>13</v>
          </cell>
          <cell r="D79">
            <v>85</v>
          </cell>
          <cell r="E79">
            <v>-72</v>
          </cell>
          <cell r="N79">
            <v>15.1</v>
          </cell>
          <cell r="P79">
            <v>-15.1</v>
          </cell>
          <cell r="Q79">
            <v>7.5</v>
          </cell>
          <cell r="S79">
            <v>-7.5</v>
          </cell>
          <cell r="U79">
            <v>1</v>
          </cell>
          <cell r="V79">
            <v>-1</v>
          </cell>
          <cell r="X79">
            <v>0</v>
          </cell>
          <cell r="Y79">
            <v>6.7</v>
          </cell>
          <cell r="Z79">
            <v>0</v>
          </cell>
          <cell r="AA79">
            <v>6.7</v>
          </cell>
          <cell r="AC79">
            <v>-6.7</v>
          </cell>
          <cell r="AD79">
            <v>38.799999999999997</v>
          </cell>
          <cell r="AE79">
            <v>34</v>
          </cell>
          <cell r="AF79">
            <v>4.7999999999999972</v>
          </cell>
          <cell r="AJ79">
            <v>-38.799999999999997</v>
          </cell>
          <cell r="AP79">
            <v>79.300000000000011</v>
          </cell>
          <cell r="AQ79">
            <v>104.1</v>
          </cell>
          <cell r="AS79">
            <v>0</v>
          </cell>
          <cell r="AT79">
            <v>-79.300000000000011</v>
          </cell>
        </row>
        <row r="80">
          <cell r="C80">
            <v>14660.397000000001</v>
          </cell>
          <cell r="D80">
            <v>2178</v>
          </cell>
          <cell r="E80">
            <v>12482.397000000001</v>
          </cell>
          <cell r="N80">
            <v>7036.2207272727283</v>
          </cell>
          <cell r="O80">
            <v>6571</v>
          </cell>
          <cell r="P80">
            <v>-465.22072727272825</v>
          </cell>
          <cell r="Q80">
            <v>77353.513454545449</v>
          </cell>
          <cell r="R80">
            <v>83057</v>
          </cell>
          <cell r="S80">
            <v>5703.4865454545507</v>
          </cell>
          <cell r="T80">
            <v>117852.27636363638</v>
          </cell>
          <cell r="U80">
            <v>69321.347560975613</v>
          </cell>
          <cell r="V80">
            <v>48530.928802660754</v>
          </cell>
          <cell r="W80">
            <v>101508</v>
          </cell>
          <cell r="X80">
            <v>-16344.276363636382</v>
          </cell>
          <cell r="Y80">
            <v>95810.307272727281</v>
          </cell>
          <cell r="Z80">
            <v>53742.750161952055</v>
          </cell>
          <cell r="AA80">
            <v>42067.557110775218</v>
          </cell>
          <cell r="AB80">
            <v>81399</v>
          </cell>
          <cell r="AC80">
            <v>-14411.307272727281</v>
          </cell>
          <cell r="AD80">
            <v>12118.565090909091</v>
          </cell>
          <cell r="AE80">
            <v>10080.754424242425</v>
          </cell>
          <cell r="AF80">
            <v>2037.8106666666665</v>
          </cell>
          <cell r="AG80">
            <v>9642</v>
          </cell>
          <cell r="AH80">
            <v>6481</v>
          </cell>
          <cell r="AI80">
            <v>2032</v>
          </cell>
          <cell r="AJ80">
            <v>-2476.5650909090909</v>
          </cell>
          <cell r="AL80">
            <v>0</v>
          </cell>
          <cell r="AN80" t="e">
            <v>#REF!</v>
          </cell>
          <cell r="AP80">
            <v>325282.7199090909</v>
          </cell>
          <cell r="AQ80" t="e">
            <v>#REF!</v>
          </cell>
          <cell r="AR80" t="e">
            <v>#REF!</v>
          </cell>
          <cell r="AS80">
            <v>278125</v>
          </cell>
          <cell r="AT80">
            <v>-47157.719909090898</v>
          </cell>
          <cell r="AU80">
            <v>122842.09772292766</v>
          </cell>
          <cell r="AV80">
            <v>151884</v>
          </cell>
          <cell r="AW80">
            <v>9876.6389090909088</v>
          </cell>
          <cell r="AX80" t="e">
            <v>#REF!</v>
          </cell>
        </row>
        <row r="81">
          <cell r="C81">
            <v>13672.397000000001</v>
          </cell>
          <cell r="D81">
            <v>2108</v>
          </cell>
          <cell r="E81">
            <v>11564.397000000001</v>
          </cell>
          <cell r="P81">
            <v>0</v>
          </cell>
          <cell r="S81">
            <v>0</v>
          </cell>
          <cell r="X81">
            <v>0</v>
          </cell>
          <cell r="AC81">
            <v>0</v>
          </cell>
          <cell r="AJ81">
            <v>0</v>
          </cell>
          <cell r="AP81">
            <v>71314.719909090898</v>
          </cell>
          <cell r="AQ81" t="e">
            <v>#REF!</v>
          </cell>
          <cell r="AR81" t="e">
            <v>#REF!</v>
          </cell>
          <cell r="AS81">
            <v>0</v>
          </cell>
          <cell r="AT81">
            <v>-71314.719909090898</v>
          </cell>
          <cell r="AU81">
            <v>4989</v>
          </cell>
          <cell r="AV81">
            <v>15770</v>
          </cell>
          <cell r="AW81">
            <v>9875.6389090909088</v>
          </cell>
          <cell r="AX81" t="e">
            <v>#REF!</v>
          </cell>
        </row>
        <row r="82">
          <cell r="N82">
            <v>1724.2727272727273</v>
          </cell>
          <cell r="O82">
            <v>1501</v>
          </cell>
          <cell r="P82">
            <v>-223.27272727272725</v>
          </cell>
          <cell r="Q82">
            <v>3953.727272727273</v>
          </cell>
          <cell r="R82">
            <v>3466</v>
          </cell>
          <cell r="S82">
            <v>-487.72727272727298</v>
          </cell>
          <cell r="T82">
            <v>1558.7272727272727</v>
          </cell>
          <cell r="U82">
            <v>615</v>
          </cell>
          <cell r="V82">
            <v>943.72727272727275</v>
          </cell>
          <cell r="W82">
            <v>1353</v>
          </cell>
          <cell r="X82">
            <v>-205.72727272727275</v>
          </cell>
          <cell r="Y82">
            <v>1260.7272727272727</v>
          </cell>
          <cell r="Z82">
            <v>470</v>
          </cell>
          <cell r="AA82">
            <v>790.72727272727275</v>
          </cell>
          <cell r="AB82">
            <v>1097</v>
          </cell>
          <cell r="AC82">
            <v>-163.72727272727275</v>
          </cell>
          <cell r="AD82">
            <v>3528.6363636363635</v>
          </cell>
          <cell r="AE82">
            <v>3259.6363636363635</v>
          </cell>
          <cell r="AF82">
            <v>269</v>
          </cell>
          <cell r="AG82">
            <v>2881</v>
          </cell>
          <cell r="AH82">
            <v>1984</v>
          </cell>
          <cell r="AI82">
            <v>306</v>
          </cell>
          <cell r="AJ82">
            <v>-647.63636363636351</v>
          </cell>
          <cell r="AN82">
            <v>0</v>
          </cell>
          <cell r="AP82">
            <v>13729.987909090909</v>
          </cell>
          <cell r="AS82">
            <v>9401</v>
          </cell>
          <cell r="AT82">
            <v>-4328.9879090909089</v>
          </cell>
        </row>
        <row r="83">
          <cell r="C83">
            <v>16699</v>
          </cell>
          <cell r="D83">
            <v>11292</v>
          </cell>
          <cell r="E83">
            <v>0</v>
          </cell>
          <cell r="P83">
            <v>0</v>
          </cell>
          <cell r="S83">
            <v>0</v>
          </cell>
          <cell r="X83">
            <v>0</v>
          </cell>
          <cell r="AC83">
            <v>0</v>
          </cell>
          <cell r="AJ83">
            <v>0</v>
          </cell>
          <cell r="AP83">
            <v>16699</v>
          </cell>
          <cell r="AQ83">
            <v>11292</v>
          </cell>
          <cell r="AR83">
            <v>0</v>
          </cell>
          <cell r="AS83">
            <v>0</v>
          </cell>
          <cell r="AT83">
            <v>-16699</v>
          </cell>
          <cell r="AU83">
            <v>0</v>
          </cell>
          <cell r="AV83">
            <v>0</v>
          </cell>
          <cell r="AW83">
            <v>0</v>
          </cell>
          <cell r="AX83">
            <v>0</v>
          </cell>
        </row>
        <row r="84">
          <cell r="C84">
            <v>31359.397000000001</v>
          </cell>
          <cell r="D84">
            <v>13470</v>
          </cell>
          <cell r="E84">
            <v>12482.397000000001</v>
          </cell>
          <cell r="N84">
            <v>7036.2207272727283</v>
          </cell>
          <cell r="O84">
            <v>6571</v>
          </cell>
          <cell r="P84">
            <v>-465.22072727272825</v>
          </cell>
          <cell r="Q84">
            <v>77353.513454545449</v>
          </cell>
          <cell r="R84">
            <v>83057</v>
          </cell>
          <cell r="S84">
            <v>5703.4865454545507</v>
          </cell>
          <cell r="T84">
            <v>117852.27636363638</v>
          </cell>
          <cell r="U84">
            <v>69321.347560975613</v>
          </cell>
          <cell r="V84">
            <v>48530.928802660754</v>
          </cell>
          <cell r="W84">
            <v>101508</v>
          </cell>
          <cell r="X84">
            <v>-16344.276363636382</v>
          </cell>
          <cell r="Y84">
            <v>95810.307272727281</v>
          </cell>
          <cell r="Z84">
            <v>53742.750161952055</v>
          </cell>
          <cell r="AA84">
            <v>42067.557110775218</v>
          </cell>
          <cell r="AB84">
            <v>81399</v>
          </cell>
          <cell r="AC84">
            <v>-14411.307272727281</v>
          </cell>
          <cell r="AD84">
            <v>12118.565090909091</v>
          </cell>
          <cell r="AE84">
            <v>10080.754424242425</v>
          </cell>
          <cell r="AF84">
            <v>2037.8106666666665</v>
          </cell>
          <cell r="AG84">
            <v>9642</v>
          </cell>
          <cell r="AH84">
            <v>6481</v>
          </cell>
          <cell r="AI84">
            <v>2032</v>
          </cell>
          <cell r="AJ84">
            <v>-2476.5650909090909</v>
          </cell>
          <cell r="AL84">
            <v>0</v>
          </cell>
          <cell r="AN84" t="e">
            <v>#REF!</v>
          </cell>
          <cell r="AP84">
            <v>341981.7199090909</v>
          </cell>
          <cell r="AQ84" t="e">
            <v>#REF!</v>
          </cell>
          <cell r="AR84" t="e">
            <v>#REF!</v>
          </cell>
          <cell r="AS84">
            <v>278125</v>
          </cell>
          <cell r="AT84">
            <v>-63856.719909090898</v>
          </cell>
          <cell r="AU84">
            <v>122842.09772292766</v>
          </cell>
          <cell r="AV84">
            <v>151884</v>
          </cell>
          <cell r="AW84">
            <v>9876.6389090909088</v>
          </cell>
          <cell r="AX84" t="e">
            <v>#REF!</v>
          </cell>
        </row>
        <row r="85">
          <cell r="C85">
            <v>0</v>
          </cell>
          <cell r="D85">
            <v>0</v>
          </cell>
          <cell r="E85">
            <v>0</v>
          </cell>
          <cell r="N85">
            <v>0</v>
          </cell>
          <cell r="P85">
            <v>0</v>
          </cell>
          <cell r="Q85">
            <v>0</v>
          </cell>
          <cell r="S85">
            <v>0</v>
          </cell>
          <cell r="T85">
            <v>0</v>
          </cell>
          <cell r="U85">
            <v>0</v>
          </cell>
          <cell r="V85">
            <v>0</v>
          </cell>
          <cell r="X85">
            <v>0</v>
          </cell>
          <cell r="Y85">
            <v>0</v>
          </cell>
          <cell r="AC85">
            <v>0</v>
          </cell>
          <cell r="AI85">
            <v>0</v>
          </cell>
          <cell r="AJ85">
            <v>0</v>
          </cell>
          <cell r="AP85">
            <v>-1</v>
          </cell>
          <cell r="AQ85">
            <v>0</v>
          </cell>
          <cell r="AR85">
            <v>-1</v>
          </cell>
          <cell r="AS85">
            <v>0</v>
          </cell>
          <cell r="AT85">
            <v>1</v>
          </cell>
          <cell r="AU85">
            <v>0</v>
          </cell>
          <cell r="AV85">
            <v>0</v>
          </cell>
          <cell r="AW85">
            <v>0</v>
          </cell>
          <cell r="AX85">
            <v>-1</v>
          </cell>
        </row>
        <row r="86">
          <cell r="C86">
            <v>1341</v>
          </cell>
          <cell r="D86">
            <v>1959</v>
          </cell>
          <cell r="E86">
            <v>-618</v>
          </cell>
          <cell r="N86">
            <v>0</v>
          </cell>
          <cell r="P86">
            <v>0</v>
          </cell>
          <cell r="Q86">
            <v>0</v>
          </cell>
          <cell r="S86">
            <v>0</v>
          </cell>
          <cell r="T86">
            <v>0</v>
          </cell>
          <cell r="U86">
            <v>0</v>
          </cell>
          <cell r="V86">
            <v>0</v>
          </cell>
          <cell r="X86">
            <v>0</v>
          </cell>
          <cell r="Y86">
            <v>0</v>
          </cell>
          <cell r="AC86">
            <v>0</v>
          </cell>
          <cell r="AI86">
            <v>0</v>
          </cell>
          <cell r="AJ86">
            <v>0</v>
          </cell>
          <cell r="AP86">
            <v>1341</v>
          </cell>
          <cell r="AQ86">
            <v>1959</v>
          </cell>
          <cell r="AR86">
            <v>-618</v>
          </cell>
          <cell r="AS86">
            <v>0</v>
          </cell>
          <cell r="AT86">
            <v>-1341</v>
          </cell>
          <cell r="AU86">
            <v>0</v>
          </cell>
          <cell r="AV86">
            <v>0</v>
          </cell>
          <cell r="AW86">
            <v>1959</v>
          </cell>
          <cell r="AX86">
            <v>-618</v>
          </cell>
        </row>
        <row r="87">
          <cell r="C87">
            <v>114</v>
          </cell>
          <cell r="D87">
            <v>481</v>
          </cell>
          <cell r="E87">
            <v>-367</v>
          </cell>
          <cell r="N87">
            <v>0</v>
          </cell>
          <cell r="P87">
            <v>0</v>
          </cell>
          <cell r="Q87">
            <v>0</v>
          </cell>
          <cell r="S87">
            <v>0</v>
          </cell>
          <cell r="T87">
            <v>0</v>
          </cell>
          <cell r="U87">
            <v>0</v>
          </cell>
          <cell r="V87">
            <v>0</v>
          </cell>
          <cell r="X87">
            <v>0</v>
          </cell>
          <cell r="Y87">
            <v>0</v>
          </cell>
          <cell r="Z87">
            <v>0</v>
          </cell>
          <cell r="AA87">
            <v>0</v>
          </cell>
          <cell r="AC87">
            <v>0</v>
          </cell>
          <cell r="AI87">
            <v>0</v>
          </cell>
          <cell r="AJ87">
            <v>0</v>
          </cell>
          <cell r="AP87">
            <v>113</v>
          </cell>
          <cell r="AQ87">
            <v>481</v>
          </cell>
          <cell r="AR87">
            <v>-368</v>
          </cell>
          <cell r="AS87">
            <v>-1</v>
          </cell>
          <cell r="AT87">
            <v>-114</v>
          </cell>
          <cell r="AU87">
            <v>0</v>
          </cell>
          <cell r="AV87">
            <v>0</v>
          </cell>
          <cell r="AW87">
            <v>481</v>
          </cell>
          <cell r="AX87">
            <v>-368</v>
          </cell>
        </row>
        <row r="88">
          <cell r="C88">
            <v>62</v>
          </cell>
          <cell r="D88">
            <v>12</v>
          </cell>
          <cell r="E88">
            <v>50</v>
          </cell>
          <cell r="N88">
            <v>49.800000000000004</v>
          </cell>
          <cell r="O88">
            <v>51</v>
          </cell>
          <cell r="P88">
            <v>1.1999999999999957</v>
          </cell>
          <cell r="Q88">
            <v>20.6</v>
          </cell>
          <cell r="S88">
            <v>-20.6</v>
          </cell>
          <cell r="T88">
            <v>199.6</v>
          </cell>
          <cell r="U88">
            <v>20</v>
          </cell>
          <cell r="V88">
            <v>179.6</v>
          </cell>
          <cell r="X88">
            <v>-199.6</v>
          </cell>
          <cell r="Y88">
            <v>74.599999999999994</v>
          </cell>
          <cell r="AB88">
            <v>0</v>
          </cell>
          <cell r="AC88">
            <v>-74.599999999999994</v>
          </cell>
          <cell r="AD88">
            <v>36.333333333333336</v>
          </cell>
          <cell r="AE88">
            <v>22</v>
          </cell>
          <cell r="AF88">
            <v>14.333333333333336</v>
          </cell>
          <cell r="AG88">
            <v>44</v>
          </cell>
          <cell r="AH88">
            <v>15</v>
          </cell>
          <cell r="AI88">
            <v>29</v>
          </cell>
          <cell r="AJ88">
            <v>7.6666666666666643</v>
          </cell>
          <cell r="AP88">
            <v>333.6</v>
          </cell>
          <cell r="AQ88">
            <v>12.800000000000011</v>
          </cell>
          <cell r="AR88">
            <v>320.8</v>
          </cell>
          <cell r="AS88">
            <v>65</v>
          </cell>
          <cell r="AT88">
            <v>-268.60000000000002</v>
          </cell>
          <cell r="AU88">
            <v>20</v>
          </cell>
          <cell r="AV88">
            <v>185</v>
          </cell>
          <cell r="AW88">
            <v>-7.1999999999999886</v>
          </cell>
          <cell r="AX88">
            <v>135.80000000000001</v>
          </cell>
        </row>
        <row r="89">
          <cell r="C89">
            <v>32876.396999999997</v>
          </cell>
          <cell r="D89">
            <v>15922</v>
          </cell>
          <cell r="E89">
            <v>11547.397000000001</v>
          </cell>
          <cell r="N89">
            <v>7086.0207272727284</v>
          </cell>
          <cell r="O89">
            <v>6622</v>
          </cell>
          <cell r="P89">
            <v>-464.02072727272844</v>
          </cell>
          <cell r="Q89">
            <v>77374.113454545455</v>
          </cell>
          <cell r="R89">
            <v>83057</v>
          </cell>
          <cell r="S89">
            <v>5682.8865454545448</v>
          </cell>
          <cell r="T89">
            <v>118051.87636363639</v>
          </cell>
          <cell r="U89">
            <v>69341.347560975613</v>
          </cell>
          <cell r="V89">
            <v>48710.528802660752</v>
          </cell>
          <cell r="W89">
            <v>101508</v>
          </cell>
          <cell r="X89">
            <v>-16543.876363636387</v>
          </cell>
          <cell r="Y89">
            <v>95884.907272727287</v>
          </cell>
          <cell r="Z89">
            <v>53742.750161952055</v>
          </cell>
          <cell r="AA89">
            <v>42067.557110775218</v>
          </cell>
          <cell r="AB89">
            <v>81399</v>
          </cell>
          <cell r="AC89">
            <v>-14485.907272727287</v>
          </cell>
          <cell r="AD89">
            <v>12154.898424242425</v>
          </cell>
          <cell r="AE89">
            <v>10102.754424242425</v>
          </cell>
          <cell r="AF89">
            <v>2052.1439999999998</v>
          </cell>
          <cell r="AG89">
            <v>9686</v>
          </cell>
          <cell r="AH89">
            <v>6496</v>
          </cell>
          <cell r="AI89">
            <v>2061</v>
          </cell>
          <cell r="AJ89">
            <v>-2468.8984242424249</v>
          </cell>
          <cell r="AK89">
            <v>0</v>
          </cell>
          <cell r="AN89" t="e">
            <v>#REF!</v>
          </cell>
          <cell r="AP89">
            <v>343770.31990909087</v>
          </cell>
          <cell r="AQ89" t="e">
            <v>#REF!</v>
          </cell>
          <cell r="AR89" t="e">
            <v>#REF!</v>
          </cell>
          <cell r="AS89">
            <v>278189</v>
          </cell>
          <cell r="AT89">
            <v>-65581.319909090875</v>
          </cell>
          <cell r="AU89">
            <v>122862.09772292766</v>
          </cell>
          <cell r="AV89">
            <v>152069</v>
          </cell>
          <cell r="AW89">
            <v>12309.438909090908</v>
          </cell>
          <cell r="AX89" t="e">
            <v>#REF!</v>
          </cell>
        </row>
        <row r="90">
          <cell r="C90">
            <v>16177.396999999997</v>
          </cell>
          <cell r="D90">
            <v>4630</v>
          </cell>
          <cell r="E90">
            <v>11547.397000000001</v>
          </cell>
          <cell r="N90">
            <v>7086.0207272727284</v>
          </cell>
          <cell r="O90">
            <v>6622</v>
          </cell>
          <cell r="P90">
            <v>-464.02072727272844</v>
          </cell>
          <cell r="Q90">
            <v>23294.113454545455</v>
          </cell>
          <cell r="R90">
            <v>21655</v>
          </cell>
          <cell r="S90">
            <v>-1639.1134545454552</v>
          </cell>
          <cell r="T90">
            <v>8491.8763636363874</v>
          </cell>
          <cell r="U90">
            <v>3233</v>
          </cell>
          <cell r="V90">
            <v>5258.8763636363656</v>
          </cell>
          <cell r="W90">
            <v>7876</v>
          </cell>
          <cell r="X90">
            <v>-615.8763636363874</v>
          </cell>
          <cell r="Y90">
            <v>5557.9072727272869</v>
          </cell>
          <cell r="Z90">
            <v>1998</v>
          </cell>
          <cell r="AA90">
            <v>3485.3072727272738</v>
          </cell>
          <cell r="AB90">
            <v>5098</v>
          </cell>
          <cell r="AC90">
            <v>-459.90727272728691</v>
          </cell>
          <cell r="AD90">
            <v>12154.898424242425</v>
          </cell>
          <cell r="AE90">
            <v>10102.754424242425</v>
          </cell>
          <cell r="AF90">
            <v>2052.1439999999998</v>
          </cell>
          <cell r="AG90">
            <v>9686</v>
          </cell>
          <cell r="AH90">
            <v>6496</v>
          </cell>
          <cell r="AI90">
            <v>2061</v>
          </cell>
          <cell r="AJ90">
            <v>-2468.8984242424249</v>
          </cell>
          <cell r="AN90" t="e">
            <v>#REF!</v>
          </cell>
          <cell r="AP90">
            <v>73103.319909090875</v>
          </cell>
          <cell r="AQ90" t="e">
            <v>#REF!</v>
          </cell>
          <cell r="AR90" t="e">
            <v>#REF!</v>
          </cell>
          <cell r="AS90">
            <v>46854</v>
          </cell>
          <cell r="AT90">
            <v>-26249.319909090875</v>
          </cell>
          <cell r="AU90">
            <v>5009</v>
          </cell>
          <cell r="AV90">
            <v>15955</v>
          </cell>
          <cell r="AW90">
            <v>12308.438909090908</v>
          </cell>
          <cell r="AX90" t="e">
            <v>#REF!</v>
          </cell>
        </row>
        <row r="91">
          <cell r="C91">
            <v>1201.8969999999999</v>
          </cell>
          <cell r="D91">
            <v>310</v>
          </cell>
          <cell r="E91">
            <v>891.89699999999993</v>
          </cell>
          <cell r="N91">
            <v>1724.2727272727273</v>
          </cell>
          <cell r="O91">
            <v>1501</v>
          </cell>
          <cell r="P91">
            <v>-223.27272727272725</v>
          </cell>
          <cell r="Q91">
            <v>3953.727272727273</v>
          </cell>
          <cell r="R91">
            <v>3466</v>
          </cell>
          <cell r="S91">
            <v>-487.72727272727298</v>
          </cell>
          <cell r="T91">
            <v>1558.7272727272727</v>
          </cell>
          <cell r="U91">
            <v>615</v>
          </cell>
          <cell r="V91">
            <v>943.72727272727275</v>
          </cell>
          <cell r="W91">
            <v>1353</v>
          </cell>
          <cell r="X91">
            <v>-205.72727272727275</v>
          </cell>
          <cell r="Y91">
            <v>1260.7272727272727</v>
          </cell>
          <cell r="Z91">
            <v>470</v>
          </cell>
          <cell r="AA91">
            <v>790.72727272727275</v>
          </cell>
          <cell r="AB91">
            <v>1097</v>
          </cell>
          <cell r="AC91">
            <v>-163.72727272727275</v>
          </cell>
          <cell r="AD91">
            <v>3528.6363636363635</v>
          </cell>
          <cell r="AE91">
            <v>3259.6363636363635</v>
          </cell>
          <cell r="AF91">
            <v>269</v>
          </cell>
          <cell r="AG91">
            <v>2881</v>
          </cell>
          <cell r="AH91">
            <v>1984</v>
          </cell>
          <cell r="AI91">
            <v>306</v>
          </cell>
          <cell r="AJ91">
            <v>-647.63636363636351</v>
          </cell>
          <cell r="AN91">
            <v>0</v>
          </cell>
          <cell r="AP91">
            <v>13729.987909090909</v>
          </cell>
          <cell r="AQ91">
            <v>343923.31990909093</v>
          </cell>
          <cell r="AR91">
            <v>147538.53663201857</v>
          </cell>
          <cell r="AS91">
            <v>9401</v>
          </cell>
        </row>
        <row r="92">
          <cell r="C92">
            <v>-1273</v>
          </cell>
          <cell r="N92">
            <v>1614.15</v>
          </cell>
          <cell r="P92">
            <v>-1614.15</v>
          </cell>
          <cell r="Q92">
            <v>3583.5499999999997</v>
          </cell>
          <cell r="S92">
            <v>-3583.5499999999997</v>
          </cell>
          <cell r="T92">
            <v>176.47000000000003</v>
          </cell>
          <cell r="X92">
            <v>-176.47000000000003</v>
          </cell>
          <cell r="Y92">
            <v>225.76000000000002</v>
          </cell>
          <cell r="AB92">
            <v>432</v>
          </cell>
          <cell r="AC92">
            <v>206.23999999999998</v>
          </cell>
          <cell r="AD92">
            <v>1009.45</v>
          </cell>
          <cell r="AE92">
            <v>932.45</v>
          </cell>
          <cell r="AF92">
            <v>77</v>
          </cell>
          <cell r="AI92">
            <v>0</v>
          </cell>
          <cell r="AJ92" t="e">
            <v>#REF!</v>
          </cell>
          <cell r="AN92" t="e">
            <v>#REF!</v>
          </cell>
          <cell r="AO92">
            <v>1616</v>
          </cell>
          <cell r="AP92" t="e">
            <v>#REF!</v>
          </cell>
          <cell r="AS92">
            <v>2048</v>
          </cell>
        </row>
        <row r="93">
          <cell r="C93">
            <v>35</v>
          </cell>
          <cell r="N93">
            <v>1614.15</v>
          </cell>
          <cell r="P93">
            <v>-1614.15</v>
          </cell>
          <cell r="Q93">
            <v>3583.5499999999997</v>
          </cell>
          <cell r="S93">
            <v>-3583.5499999999997</v>
          </cell>
          <cell r="T93">
            <v>176.47000000000003</v>
          </cell>
          <cell r="W93">
            <v>0</v>
          </cell>
          <cell r="X93">
            <v>-176.47000000000003</v>
          </cell>
          <cell r="Y93">
            <v>225.76000000000002</v>
          </cell>
          <cell r="AB93">
            <v>432</v>
          </cell>
          <cell r="AC93">
            <v>206.23999999999998</v>
          </cell>
          <cell r="AD93">
            <v>1009.45</v>
          </cell>
          <cell r="AE93">
            <v>932.45</v>
          </cell>
          <cell r="AF93">
            <v>77</v>
          </cell>
          <cell r="AI93">
            <v>0</v>
          </cell>
          <cell r="AJ93">
            <v>-1009.45</v>
          </cell>
          <cell r="AN93" t="e">
            <v>#REF!</v>
          </cell>
          <cell r="AP93" t="e">
            <v>#REF!</v>
          </cell>
          <cell r="AS93">
            <v>432</v>
          </cell>
        </row>
        <row r="95">
          <cell r="C95">
            <v>-1308</v>
          </cell>
          <cell r="N95">
            <v>0</v>
          </cell>
          <cell r="P95">
            <v>0</v>
          </cell>
          <cell r="Q95">
            <v>0</v>
          </cell>
          <cell r="R95">
            <v>0</v>
          </cell>
          <cell r="S95">
            <v>0</v>
          </cell>
          <cell r="X95">
            <v>0</v>
          </cell>
          <cell r="Y95">
            <v>0</v>
          </cell>
          <cell r="AC95">
            <v>0</v>
          </cell>
          <cell r="AD95">
            <v>0</v>
          </cell>
          <cell r="AE95">
            <v>0</v>
          </cell>
          <cell r="AF95">
            <v>0</v>
          </cell>
          <cell r="AI95">
            <v>0</v>
          </cell>
          <cell r="AJ95">
            <v>0</v>
          </cell>
          <cell r="AN95" t="e">
            <v>#REF!</v>
          </cell>
          <cell r="AP95" t="e">
            <v>#REF!</v>
          </cell>
          <cell r="AS95">
            <v>0</v>
          </cell>
        </row>
        <row r="96">
          <cell r="P96">
            <v>0</v>
          </cell>
          <cell r="S96">
            <v>0</v>
          </cell>
          <cell r="X96">
            <v>0</v>
          </cell>
          <cell r="AC96">
            <v>0</v>
          </cell>
          <cell r="AF96">
            <v>0</v>
          </cell>
          <cell r="AI96">
            <v>0</v>
          </cell>
          <cell r="AJ96">
            <v>0</v>
          </cell>
          <cell r="AN96" t="e">
            <v>#REF!</v>
          </cell>
          <cell r="AP96" t="e">
            <v>#REF!</v>
          </cell>
          <cell r="AS96">
            <v>0</v>
          </cell>
        </row>
        <row r="97">
          <cell r="P97">
            <v>0</v>
          </cell>
          <cell r="S97">
            <v>0</v>
          </cell>
          <cell r="X97">
            <v>0</v>
          </cell>
          <cell r="AC97">
            <v>0</v>
          </cell>
          <cell r="AF97">
            <v>0</v>
          </cell>
          <cell r="AI97">
            <v>0</v>
          </cell>
          <cell r="AJ97">
            <v>0</v>
          </cell>
          <cell r="AN97" t="e">
            <v>#REF!</v>
          </cell>
          <cell r="AP97" t="e">
            <v>#REF!</v>
          </cell>
          <cell r="AS97">
            <v>0</v>
          </cell>
        </row>
        <row r="98">
          <cell r="P98">
            <v>0</v>
          </cell>
          <cell r="S98">
            <v>0</v>
          </cell>
          <cell r="X98">
            <v>0</v>
          </cell>
          <cell r="AC98">
            <v>0</v>
          </cell>
          <cell r="AF98">
            <v>0</v>
          </cell>
          <cell r="AI98">
            <v>0</v>
          </cell>
          <cell r="AJ98">
            <v>0</v>
          </cell>
          <cell r="AN98" t="e">
            <v>#REF!</v>
          </cell>
          <cell r="AP98" t="e">
            <v>#REF!</v>
          </cell>
          <cell r="AS98">
            <v>0</v>
          </cell>
        </row>
        <row r="99">
          <cell r="P99">
            <v>0</v>
          </cell>
          <cell r="S99">
            <v>0</v>
          </cell>
          <cell r="X99">
            <v>0</v>
          </cell>
          <cell r="AC99">
            <v>0</v>
          </cell>
          <cell r="AI99">
            <v>0</v>
          </cell>
          <cell r="AJ99">
            <v>0</v>
          </cell>
          <cell r="AN99" t="e">
            <v>#REF!</v>
          </cell>
          <cell r="AP99" t="e">
            <v>#REF!</v>
          </cell>
          <cell r="AS99">
            <v>0</v>
          </cell>
        </row>
        <row r="100">
          <cell r="C100">
            <v>-1308</v>
          </cell>
          <cell r="N100">
            <v>0.19200000000000017</v>
          </cell>
          <cell r="P100">
            <v>-0.19200000000000017</v>
          </cell>
          <cell r="Q100">
            <v>-0.32000000000000028</v>
          </cell>
          <cell r="R100">
            <v>31</v>
          </cell>
          <cell r="S100">
            <v>31.32</v>
          </cell>
          <cell r="T100">
            <v>-0.3360000000000003</v>
          </cell>
          <cell r="W100">
            <v>2</v>
          </cell>
          <cell r="X100">
            <v>2.3360000000000003</v>
          </cell>
          <cell r="Y100">
            <v>0.28000000000000114</v>
          </cell>
          <cell r="AB100">
            <v>10</v>
          </cell>
          <cell r="AC100">
            <v>9.7199999999999989</v>
          </cell>
          <cell r="AD100">
            <v>0.35200000000000031</v>
          </cell>
          <cell r="AE100">
            <v>0.35200000000000031</v>
          </cell>
          <cell r="AF100">
            <v>0</v>
          </cell>
          <cell r="AG100">
            <v>128</v>
          </cell>
          <cell r="AH100">
            <v>128</v>
          </cell>
          <cell r="AI100">
            <v>0</v>
          </cell>
          <cell r="AJ100">
            <v>127.648</v>
          </cell>
          <cell r="AN100" t="e">
            <v>#REF!</v>
          </cell>
          <cell r="AP100" t="e">
            <v>#REF!</v>
          </cell>
          <cell r="AS100">
            <v>140</v>
          </cell>
        </row>
        <row r="101">
          <cell r="C101">
            <v>-1308</v>
          </cell>
          <cell r="N101">
            <v>0</v>
          </cell>
          <cell r="P101">
            <v>0</v>
          </cell>
          <cell r="Q101">
            <v>0</v>
          </cell>
          <cell r="R101">
            <v>0</v>
          </cell>
          <cell r="S101">
            <v>0</v>
          </cell>
          <cell r="T101">
            <v>0</v>
          </cell>
          <cell r="X101">
            <v>0</v>
          </cell>
          <cell r="Y101">
            <v>0</v>
          </cell>
          <cell r="AC101">
            <v>0</v>
          </cell>
          <cell r="AD101">
            <v>0</v>
          </cell>
          <cell r="AE101">
            <v>0</v>
          </cell>
          <cell r="AF101">
            <v>0</v>
          </cell>
          <cell r="AI101">
            <v>0</v>
          </cell>
          <cell r="AJ101">
            <v>0</v>
          </cell>
          <cell r="AN101" t="e">
            <v>#REF!</v>
          </cell>
          <cell r="AP101" t="e">
            <v>#REF!</v>
          </cell>
          <cell r="AS101">
            <v>0</v>
          </cell>
        </row>
        <row r="102">
          <cell r="C102">
            <v>0</v>
          </cell>
          <cell r="N102">
            <v>0</v>
          </cell>
          <cell r="P102">
            <v>0</v>
          </cell>
          <cell r="Q102">
            <v>0</v>
          </cell>
          <cell r="S102">
            <v>0</v>
          </cell>
          <cell r="T102">
            <v>0</v>
          </cell>
          <cell r="X102">
            <v>0</v>
          </cell>
          <cell r="Y102">
            <v>0</v>
          </cell>
          <cell r="AC102">
            <v>0</v>
          </cell>
          <cell r="AD102">
            <v>0</v>
          </cell>
          <cell r="AE102">
            <v>0</v>
          </cell>
          <cell r="AF102">
            <v>0</v>
          </cell>
          <cell r="AI102">
            <v>0</v>
          </cell>
          <cell r="AJ102">
            <v>0</v>
          </cell>
          <cell r="AN102" t="e">
            <v>#REF!</v>
          </cell>
          <cell r="AP102" t="e">
            <v>#REF!</v>
          </cell>
          <cell r="AS102">
            <v>0</v>
          </cell>
        </row>
        <row r="103">
          <cell r="C103">
            <v>0</v>
          </cell>
          <cell r="N103">
            <v>0.19200000000000017</v>
          </cell>
          <cell r="P103">
            <v>-0.19200000000000017</v>
          </cell>
          <cell r="Q103">
            <v>-0.32000000000000028</v>
          </cell>
          <cell r="R103">
            <v>31</v>
          </cell>
          <cell r="S103">
            <v>31.32</v>
          </cell>
          <cell r="T103">
            <v>-0.3360000000000003</v>
          </cell>
          <cell r="W103">
            <v>2</v>
          </cell>
          <cell r="X103">
            <v>2.3360000000000003</v>
          </cell>
          <cell r="Y103">
            <v>0.28000000000000114</v>
          </cell>
          <cell r="AB103">
            <v>10</v>
          </cell>
          <cell r="AC103">
            <v>9.7199999999999989</v>
          </cell>
          <cell r="AD103">
            <v>0.35200000000000031</v>
          </cell>
          <cell r="AE103">
            <v>0.35200000000000031</v>
          </cell>
          <cell r="AF103">
            <v>0</v>
          </cell>
          <cell r="AG103">
            <v>128</v>
          </cell>
          <cell r="AH103">
            <v>128</v>
          </cell>
          <cell r="AI103">
            <v>0</v>
          </cell>
          <cell r="AJ103">
            <v>127.648</v>
          </cell>
          <cell r="AN103">
            <v>3701.768</v>
          </cell>
          <cell r="AP103">
            <v>3702</v>
          </cell>
          <cell r="AS103">
            <v>140</v>
          </cell>
        </row>
        <row r="104">
          <cell r="C104">
            <v>0</v>
          </cell>
          <cell r="N104">
            <v>0.20800000000000018</v>
          </cell>
          <cell r="P104">
            <v>-0.20800000000000018</v>
          </cell>
          <cell r="Q104">
            <v>234.404</v>
          </cell>
          <cell r="R104">
            <v>154</v>
          </cell>
          <cell r="S104">
            <v>-80.403999999999996</v>
          </cell>
          <cell r="T104">
            <v>-0.42800000000000082</v>
          </cell>
          <cell r="W104">
            <v>79</v>
          </cell>
          <cell r="X104">
            <v>79.427999999999997</v>
          </cell>
          <cell r="Y104">
            <v>6.799999999999784E-2</v>
          </cell>
          <cell r="AB104">
            <v>86</v>
          </cell>
          <cell r="AC104">
            <v>85.932000000000002</v>
          </cell>
          <cell r="AD104">
            <v>0.28399999999999892</v>
          </cell>
          <cell r="AE104">
            <v>0.28399999999999892</v>
          </cell>
          <cell r="AF104">
            <v>0</v>
          </cell>
          <cell r="AG104">
            <v>30</v>
          </cell>
          <cell r="AH104">
            <v>30</v>
          </cell>
          <cell r="AI104">
            <v>0</v>
          </cell>
          <cell r="AJ104">
            <v>29.716000000000001</v>
          </cell>
          <cell r="AN104" t="e">
            <v>#REF!</v>
          </cell>
          <cell r="AP104" t="e">
            <v>#REF!</v>
          </cell>
          <cell r="AS104">
            <v>195</v>
          </cell>
        </row>
        <row r="105">
          <cell r="C105">
            <v>0</v>
          </cell>
          <cell r="N105">
            <v>0</v>
          </cell>
          <cell r="P105">
            <v>0</v>
          </cell>
          <cell r="Q105">
            <v>233.64000000000001</v>
          </cell>
          <cell r="R105">
            <v>0</v>
          </cell>
          <cell r="S105">
            <v>-233.64000000000001</v>
          </cell>
          <cell r="T105">
            <v>0</v>
          </cell>
          <cell r="W105">
            <v>0</v>
          </cell>
          <cell r="X105">
            <v>0</v>
          </cell>
          <cell r="Y105">
            <v>0</v>
          </cell>
          <cell r="AB105">
            <v>0</v>
          </cell>
          <cell r="AC105">
            <v>0</v>
          </cell>
          <cell r="AD105">
            <v>0</v>
          </cell>
          <cell r="AE105">
            <v>0</v>
          </cell>
          <cell r="AF105">
            <v>0</v>
          </cell>
          <cell r="AI105">
            <v>0</v>
          </cell>
          <cell r="AJ105">
            <v>0</v>
          </cell>
          <cell r="AN105" t="e">
            <v>#REF!</v>
          </cell>
          <cell r="AP105" t="e">
            <v>#REF!</v>
          </cell>
          <cell r="AS105">
            <v>0</v>
          </cell>
        </row>
        <row r="106">
          <cell r="C106">
            <v>0</v>
          </cell>
          <cell r="N106">
            <v>0.20800000000000018</v>
          </cell>
          <cell r="P106">
            <v>-0.20800000000000018</v>
          </cell>
          <cell r="Q106">
            <v>-0.23600000000000065</v>
          </cell>
          <cell r="R106">
            <v>154</v>
          </cell>
          <cell r="S106">
            <v>154.23599999999999</v>
          </cell>
          <cell r="T106">
            <v>-0.42800000000000082</v>
          </cell>
          <cell r="W106">
            <v>79</v>
          </cell>
          <cell r="X106">
            <v>79.427999999999997</v>
          </cell>
          <cell r="Y106">
            <v>6.799999999999784E-2</v>
          </cell>
          <cell r="AB106">
            <v>86</v>
          </cell>
          <cell r="AC106">
            <v>85.932000000000002</v>
          </cell>
          <cell r="AD106">
            <v>0.28399999999999892</v>
          </cell>
          <cell r="AE106">
            <v>0.28399999999999892</v>
          </cell>
          <cell r="AF106">
            <v>0</v>
          </cell>
          <cell r="AG106">
            <v>30</v>
          </cell>
          <cell r="AH106">
            <v>30</v>
          </cell>
          <cell r="AI106">
            <v>0</v>
          </cell>
          <cell r="AJ106">
            <v>29.716000000000001</v>
          </cell>
          <cell r="AN106" t="e">
            <v>#REF!</v>
          </cell>
          <cell r="AP106" t="e">
            <v>#REF!</v>
          </cell>
          <cell r="AS106">
            <v>195</v>
          </cell>
        </row>
        <row r="107">
          <cell r="C107" t="e">
            <v>#REF!</v>
          </cell>
          <cell r="N107">
            <v>0</v>
          </cell>
          <cell r="P107">
            <v>0</v>
          </cell>
          <cell r="Q107">
            <v>526.04999999999995</v>
          </cell>
          <cell r="R107">
            <v>800</v>
          </cell>
          <cell r="S107">
            <v>273.95000000000005</v>
          </cell>
          <cell r="T107">
            <v>0</v>
          </cell>
          <cell r="X107">
            <v>0</v>
          </cell>
          <cell r="Y107">
            <v>0</v>
          </cell>
          <cell r="AC107">
            <v>0</v>
          </cell>
          <cell r="AD107">
            <v>0</v>
          </cell>
          <cell r="AE107">
            <v>0</v>
          </cell>
          <cell r="AF107">
            <v>0</v>
          </cell>
          <cell r="AI107">
            <v>0</v>
          </cell>
          <cell r="AJ107">
            <v>0</v>
          </cell>
          <cell r="AN107" t="e">
            <v>#REF!</v>
          </cell>
          <cell r="AP107" t="e">
            <v>#REF!</v>
          </cell>
          <cell r="AQ107" t="e">
            <v>#REF!</v>
          </cell>
          <cell r="AR107" t="e">
            <v>#REF!</v>
          </cell>
          <cell r="AS107">
            <v>0</v>
          </cell>
        </row>
        <row r="108">
          <cell r="C108">
            <v>0</v>
          </cell>
          <cell r="N108">
            <v>0</v>
          </cell>
          <cell r="P108">
            <v>0</v>
          </cell>
          <cell r="Q108">
            <v>526.04999999999995</v>
          </cell>
          <cell r="R108">
            <v>800</v>
          </cell>
          <cell r="S108">
            <v>273.95000000000005</v>
          </cell>
          <cell r="T108">
            <v>0</v>
          </cell>
          <cell r="X108">
            <v>0</v>
          </cell>
          <cell r="Y108">
            <v>0</v>
          </cell>
          <cell r="AC108">
            <v>0</v>
          </cell>
          <cell r="AD108">
            <v>0</v>
          </cell>
          <cell r="AE108">
            <v>0</v>
          </cell>
          <cell r="AF108">
            <v>0</v>
          </cell>
          <cell r="AI108">
            <v>0</v>
          </cell>
          <cell r="AJ108">
            <v>0</v>
          </cell>
          <cell r="AN108" t="e">
            <v>#REF!</v>
          </cell>
          <cell r="AP108" t="e">
            <v>#REF!</v>
          </cell>
          <cell r="AS108">
            <v>0</v>
          </cell>
        </row>
        <row r="109">
          <cell r="C109">
            <v>0</v>
          </cell>
          <cell r="N109">
            <v>0</v>
          </cell>
          <cell r="P109">
            <v>0</v>
          </cell>
          <cell r="Q109">
            <v>0</v>
          </cell>
          <cell r="S109">
            <v>0</v>
          </cell>
          <cell r="T109">
            <v>0</v>
          </cell>
          <cell r="X109">
            <v>0</v>
          </cell>
          <cell r="Y109">
            <v>0</v>
          </cell>
          <cell r="AC109">
            <v>0</v>
          </cell>
          <cell r="AD109">
            <v>0</v>
          </cell>
          <cell r="AE109">
            <v>0</v>
          </cell>
          <cell r="AF109">
            <v>0</v>
          </cell>
          <cell r="AI109">
            <v>0</v>
          </cell>
          <cell r="AJ109">
            <v>0</v>
          </cell>
          <cell r="AN109" t="e">
            <v>#REF!</v>
          </cell>
          <cell r="AP109" t="e">
            <v>#REF!</v>
          </cell>
          <cell r="AQ109">
            <v>0</v>
          </cell>
          <cell r="AR109">
            <v>0</v>
          </cell>
          <cell r="AS109">
            <v>0</v>
          </cell>
        </row>
        <row r="110">
          <cell r="C110">
            <v>0</v>
          </cell>
          <cell r="N110">
            <v>0</v>
          </cell>
          <cell r="P110">
            <v>0</v>
          </cell>
          <cell r="Q110">
            <v>0</v>
          </cell>
          <cell r="S110">
            <v>0</v>
          </cell>
          <cell r="T110">
            <v>0</v>
          </cell>
          <cell r="X110">
            <v>0</v>
          </cell>
          <cell r="Y110">
            <v>0</v>
          </cell>
          <cell r="AC110">
            <v>0</v>
          </cell>
          <cell r="AD110">
            <v>0</v>
          </cell>
          <cell r="AE110">
            <v>0</v>
          </cell>
          <cell r="AF110">
            <v>0</v>
          </cell>
          <cell r="AI110">
            <v>0</v>
          </cell>
          <cell r="AJ110">
            <v>0</v>
          </cell>
          <cell r="AN110" t="e">
            <v>#REF!</v>
          </cell>
          <cell r="AP110" t="e">
            <v>#REF!</v>
          </cell>
          <cell r="AS110">
            <v>0</v>
          </cell>
        </row>
        <row r="111">
          <cell r="C111">
            <v>0</v>
          </cell>
          <cell r="N111">
            <v>0</v>
          </cell>
          <cell r="P111">
            <v>0</v>
          </cell>
          <cell r="Q111">
            <v>0</v>
          </cell>
          <cell r="R111">
            <v>928</v>
          </cell>
          <cell r="S111">
            <v>928</v>
          </cell>
          <cell r="T111">
            <v>0</v>
          </cell>
          <cell r="W111">
            <v>366</v>
          </cell>
          <cell r="X111">
            <v>366</v>
          </cell>
          <cell r="Y111">
            <v>0</v>
          </cell>
          <cell r="AB111">
            <v>251</v>
          </cell>
          <cell r="AC111">
            <v>251</v>
          </cell>
          <cell r="AD111">
            <v>0</v>
          </cell>
          <cell r="AE111">
            <v>0</v>
          </cell>
          <cell r="AF111">
            <v>0</v>
          </cell>
          <cell r="AG111">
            <v>535</v>
          </cell>
          <cell r="AH111">
            <v>535</v>
          </cell>
          <cell r="AI111">
            <v>0</v>
          </cell>
          <cell r="AJ111">
            <v>535</v>
          </cell>
          <cell r="AN111" t="e">
            <v>#REF!</v>
          </cell>
          <cell r="AP111" t="e">
            <v>#REF!</v>
          </cell>
          <cell r="AS111">
            <v>1152</v>
          </cell>
        </row>
        <row r="112">
          <cell r="C112">
            <v>0</v>
          </cell>
          <cell r="N112">
            <v>0</v>
          </cell>
          <cell r="P112">
            <v>0</v>
          </cell>
          <cell r="Q112">
            <v>0</v>
          </cell>
          <cell r="R112">
            <v>8</v>
          </cell>
          <cell r="S112">
            <v>8</v>
          </cell>
          <cell r="T112">
            <v>0</v>
          </cell>
          <cell r="W112">
            <v>57</v>
          </cell>
          <cell r="X112">
            <v>57</v>
          </cell>
          <cell r="Y112">
            <v>0</v>
          </cell>
          <cell r="AB112">
            <v>7</v>
          </cell>
          <cell r="AC112">
            <v>7</v>
          </cell>
          <cell r="AD112">
            <v>0</v>
          </cell>
          <cell r="AE112">
            <v>0</v>
          </cell>
          <cell r="AF112">
            <v>0</v>
          </cell>
          <cell r="AI112">
            <v>0</v>
          </cell>
          <cell r="AJ112">
            <v>0</v>
          </cell>
          <cell r="AN112">
            <v>19</v>
          </cell>
          <cell r="AP112">
            <v>19</v>
          </cell>
          <cell r="AS112">
            <v>64</v>
          </cell>
        </row>
        <row r="113">
          <cell r="C113">
            <v>1290</v>
          </cell>
          <cell r="N113">
            <v>0</v>
          </cell>
          <cell r="P113">
            <v>0</v>
          </cell>
          <cell r="Q113">
            <v>0</v>
          </cell>
          <cell r="S113">
            <v>0</v>
          </cell>
          <cell r="T113">
            <v>0</v>
          </cell>
          <cell r="X113">
            <v>0</v>
          </cell>
          <cell r="Y113">
            <v>0</v>
          </cell>
          <cell r="AC113">
            <v>0</v>
          </cell>
          <cell r="AD113">
            <v>0</v>
          </cell>
          <cell r="AE113">
            <v>0</v>
          </cell>
          <cell r="AF113">
            <v>0</v>
          </cell>
          <cell r="AI113">
            <v>0</v>
          </cell>
          <cell r="AJ113">
            <v>0</v>
          </cell>
          <cell r="AN113" t="e">
            <v>#REF!</v>
          </cell>
          <cell r="AP113" t="e">
            <v>#REF!</v>
          </cell>
          <cell r="AS113">
            <v>0</v>
          </cell>
        </row>
        <row r="114">
          <cell r="C114">
            <v>0</v>
          </cell>
          <cell r="P114">
            <v>0</v>
          </cell>
          <cell r="S114">
            <v>0</v>
          </cell>
          <cell r="X114">
            <v>0</v>
          </cell>
          <cell r="AC114">
            <v>0</v>
          </cell>
          <cell r="AF114">
            <v>0</v>
          </cell>
          <cell r="AI114">
            <v>0</v>
          </cell>
          <cell r="AJ114">
            <v>0</v>
          </cell>
          <cell r="AP114">
            <v>0</v>
          </cell>
          <cell r="AS114">
            <v>0</v>
          </cell>
        </row>
        <row r="115">
          <cell r="C115">
            <v>10509</v>
          </cell>
          <cell r="P115">
            <v>0</v>
          </cell>
          <cell r="S115">
            <v>0</v>
          </cell>
          <cell r="X115">
            <v>0</v>
          </cell>
          <cell r="AC115">
            <v>0</v>
          </cell>
          <cell r="AF115">
            <v>0</v>
          </cell>
          <cell r="AI115">
            <v>0</v>
          </cell>
          <cell r="AJ115">
            <v>0</v>
          </cell>
          <cell r="AP115">
            <v>10509</v>
          </cell>
          <cell r="AS115">
            <v>0</v>
          </cell>
        </row>
        <row r="116">
          <cell r="C116">
            <v>0</v>
          </cell>
        </row>
        <row r="119">
          <cell r="P119">
            <v>0</v>
          </cell>
          <cell r="S119">
            <v>0</v>
          </cell>
          <cell r="X119">
            <v>0</v>
          </cell>
          <cell r="AC119">
            <v>0</v>
          </cell>
          <cell r="AE119" t="e">
            <v>#REF!</v>
          </cell>
          <cell r="AF119" t="e">
            <v>#REF!</v>
          </cell>
          <cell r="AI119">
            <v>0</v>
          </cell>
          <cell r="AJ119">
            <v>0</v>
          </cell>
          <cell r="AN119" t="e">
            <v>#REF!</v>
          </cell>
          <cell r="AP119">
            <v>36465</v>
          </cell>
          <cell r="AQ119" t="e">
            <v>#REF!</v>
          </cell>
          <cell r="AS119">
            <v>0</v>
          </cell>
        </row>
        <row r="120">
          <cell r="C120">
            <v>0</v>
          </cell>
          <cell r="P120">
            <v>0</v>
          </cell>
          <cell r="S120">
            <v>0</v>
          </cell>
          <cell r="X120">
            <v>0</v>
          </cell>
          <cell r="AC120">
            <v>0</v>
          </cell>
          <cell r="AJ120">
            <v>0</v>
          </cell>
          <cell r="AN120" t="e">
            <v>#REF!</v>
          </cell>
          <cell r="AP120" t="e">
            <v>#REF!</v>
          </cell>
          <cell r="AS120">
            <v>0</v>
          </cell>
        </row>
        <row r="121">
          <cell r="C121">
            <v>11853</v>
          </cell>
          <cell r="D121">
            <v>0</v>
          </cell>
          <cell r="E121">
            <v>0</v>
          </cell>
          <cell r="N121">
            <v>0.40000000000000036</v>
          </cell>
          <cell r="O121">
            <v>0</v>
          </cell>
          <cell r="P121">
            <v>-0.40000000000000036</v>
          </cell>
          <cell r="Q121">
            <v>0</v>
          </cell>
          <cell r="R121">
            <v>1921</v>
          </cell>
          <cell r="S121">
            <v>1921</v>
          </cell>
          <cell r="T121">
            <v>-0.76400000000000112</v>
          </cell>
          <cell r="U121">
            <v>0</v>
          </cell>
          <cell r="V121">
            <v>0</v>
          </cell>
          <cell r="W121">
            <v>504</v>
          </cell>
          <cell r="X121">
            <v>504.76400000000001</v>
          </cell>
          <cell r="Y121">
            <v>0.34799999999999898</v>
          </cell>
          <cell r="Z121">
            <v>0</v>
          </cell>
          <cell r="AA121">
            <v>0</v>
          </cell>
          <cell r="AB121">
            <v>354</v>
          </cell>
          <cell r="AC121">
            <v>353.65199999999999</v>
          </cell>
          <cell r="AD121">
            <v>0.63599999999999923</v>
          </cell>
          <cell r="AE121">
            <v>0.63599999999999923</v>
          </cell>
          <cell r="AF121">
            <v>0</v>
          </cell>
          <cell r="AG121">
            <v>693</v>
          </cell>
          <cell r="AH121">
            <v>693</v>
          </cell>
          <cell r="AI121">
            <v>0</v>
          </cell>
          <cell r="AJ121">
            <v>692.36400000000003</v>
          </cell>
          <cell r="AN121" t="e">
            <v>#REF!</v>
          </cell>
          <cell r="AP121" t="e">
            <v>#REF!</v>
          </cell>
          <cell r="AU121">
            <v>0</v>
          </cell>
          <cell r="AV121">
            <v>0</v>
          </cell>
          <cell r="AW121">
            <v>0</v>
          </cell>
          <cell r="AX121">
            <v>0</v>
          </cell>
        </row>
        <row r="122">
          <cell r="C122" t="e">
            <v>#REF!</v>
          </cell>
          <cell r="D122">
            <v>0</v>
          </cell>
          <cell r="E122">
            <v>0</v>
          </cell>
          <cell r="N122">
            <v>0.40000000000000036</v>
          </cell>
          <cell r="P122">
            <v>-0.40000000000000036</v>
          </cell>
          <cell r="Q122">
            <v>0</v>
          </cell>
          <cell r="T122">
            <v>-0.76400000000000112</v>
          </cell>
          <cell r="U122">
            <v>0</v>
          </cell>
          <cell r="V122">
            <v>0</v>
          </cell>
          <cell r="X122">
            <v>0.76400000000000112</v>
          </cell>
          <cell r="Y122">
            <v>0.34799999999999898</v>
          </cell>
          <cell r="Z122">
            <v>0</v>
          </cell>
          <cell r="AA122">
            <v>0</v>
          </cell>
          <cell r="AC122">
            <v>-0.34799999999999898</v>
          </cell>
          <cell r="AJ122">
            <v>0</v>
          </cell>
          <cell r="AN122" t="e">
            <v>#REF!</v>
          </cell>
          <cell r="AP122" t="e">
            <v>#REF!</v>
          </cell>
        </row>
        <row r="123">
          <cell r="P123">
            <v>0</v>
          </cell>
          <cell r="X123">
            <v>0</v>
          </cell>
          <cell r="AC123">
            <v>0</v>
          </cell>
          <cell r="AJ123">
            <v>0</v>
          </cell>
          <cell r="AP123" t="e">
            <v>#REF!</v>
          </cell>
        </row>
        <row r="124">
          <cell r="P124">
            <v>0</v>
          </cell>
          <cell r="X124">
            <v>0</v>
          </cell>
          <cell r="AC124">
            <v>0</v>
          </cell>
          <cell r="AJ124">
            <v>0</v>
          </cell>
          <cell r="AP124" t="e">
            <v>#REF!</v>
          </cell>
        </row>
        <row r="125">
          <cell r="P125">
            <v>0</v>
          </cell>
          <cell r="X125">
            <v>0</v>
          </cell>
          <cell r="AC125">
            <v>0</v>
          </cell>
          <cell r="AJ125">
            <v>0</v>
          </cell>
          <cell r="AP125" t="e">
            <v>#REF!</v>
          </cell>
          <cell r="AQ125" t="e">
            <v>#REF!</v>
          </cell>
          <cell r="AR125" t="e">
            <v>#REF!</v>
          </cell>
        </row>
        <row r="126">
          <cell r="P126">
            <v>0</v>
          </cell>
          <cell r="X126">
            <v>0</v>
          </cell>
          <cell r="AC126">
            <v>0</v>
          </cell>
          <cell r="AJ126">
            <v>0</v>
          </cell>
        </row>
        <row r="127">
          <cell r="P127">
            <v>0</v>
          </cell>
          <cell r="X127">
            <v>0</v>
          </cell>
          <cell r="AC127">
            <v>0</v>
          </cell>
          <cell r="AJ127">
            <v>0</v>
          </cell>
          <cell r="AP127" t="e">
            <v>#REF!</v>
          </cell>
          <cell r="AU127">
            <v>0</v>
          </cell>
        </row>
        <row r="128">
          <cell r="P128">
            <v>0</v>
          </cell>
          <cell r="X128">
            <v>0</v>
          </cell>
          <cell r="AC128">
            <v>0</v>
          </cell>
          <cell r="AJ128">
            <v>0</v>
          </cell>
        </row>
        <row r="129">
          <cell r="P129">
            <v>0</v>
          </cell>
          <cell r="X129">
            <v>0</v>
          </cell>
          <cell r="AC129">
            <v>0</v>
          </cell>
          <cell r="AJ129">
            <v>0</v>
          </cell>
        </row>
        <row r="130">
          <cell r="P130">
            <v>0</v>
          </cell>
          <cell r="X130">
            <v>0</v>
          </cell>
          <cell r="AC130">
            <v>0</v>
          </cell>
          <cell r="AJ130">
            <v>0</v>
          </cell>
          <cell r="AP130" t="e">
            <v>#REF!</v>
          </cell>
          <cell r="AR130" t="e">
            <v>#REF!</v>
          </cell>
          <cell r="AU130">
            <v>0</v>
          </cell>
          <cell r="AW130">
            <v>0</v>
          </cell>
        </row>
        <row r="131">
          <cell r="P131">
            <v>0</v>
          </cell>
          <cell r="X131">
            <v>0</v>
          </cell>
          <cell r="AC131">
            <v>0</v>
          </cell>
          <cell r="AJ131">
            <v>0</v>
          </cell>
          <cell r="AP131" t="e">
            <v>#REF!</v>
          </cell>
          <cell r="AU131">
            <v>0</v>
          </cell>
        </row>
        <row r="132">
          <cell r="P132">
            <v>0</v>
          </cell>
          <cell r="X132">
            <v>0</v>
          </cell>
          <cell r="AC132">
            <v>0</v>
          </cell>
          <cell r="AJ132">
            <v>0</v>
          </cell>
          <cell r="AP132" t="e">
            <v>#REF!</v>
          </cell>
          <cell r="AU132" t="e">
            <v>#DIV/0!</v>
          </cell>
        </row>
        <row r="133">
          <cell r="P133">
            <v>0</v>
          </cell>
          <cell r="X133">
            <v>0</v>
          </cell>
          <cell r="AC133">
            <v>0</v>
          </cell>
          <cell r="AJ133">
            <v>0</v>
          </cell>
          <cell r="AP133" t="e">
            <v>#REF!</v>
          </cell>
          <cell r="AU133" t="e">
            <v>#DIV/0!</v>
          </cell>
        </row>
        <row r="134">
          <cell r="P134">
            <v>0</v>
          </cell>
          <cell r="X134">
            <v>0</v>
          </cell>
          <cell r="AC134">
            <v>0</v>
          </cell>
          <cell r="AJ134">
            <v>0</v>
          </cell>
          <cell r="AP134">
            <v>0</v>
          </cell>
          <cell r="AU134">
            <v>0</v>
          </cell>
        </row>
        <row r="135">
          <cell r="P135">
            <v>0</v>
          </cell>
          <cell r="X135">
            <v>0</v>
          </cell>
          <cell r="AC135">
            <v>0</v>
          </cell>
          <cell r="AJ135">
            <v>0</v>
          </cell>
        </row>
        <row r="136">
          <cell r="P136">
            <v>0</v>
          </cell>
          <cell r="X136">
            <v>0</v>
          </cell>
          <cell r="AC136">
            <v>0</v>
          </cell>
          <cell r="AJ136">
            <v>0</v>
          </cell>
          <cell r="AP136">
            <v>36.19</v>
          </cell>
          <cell r="AU136" t="e">
            <v>#DIV/0!</v>
          </cell>
        </row>
        <row r="137">
          <cell r="P137">
            <v>0</v>
          </cell>
          <cell r="X137">
            <v>0</v>
          </cell>
          <cell r="AC137">
            <v>0</v>
          </cell>
          <cell r="AJ137">
            <v>0</v>
          </cell>
        </row>
        <row r="138">
          <cell r="P138">
            <v>0</v>
          </cell>
          <cell r="X138">
            <v>0</v>
          </cell>
          <cell r="AC138">
            <v>0</v>
          </cell>
          <cell r="AJ138">
            <v>0</v>
          </cell>
          <cell r="AN138">
            <v>0</v>
          </cell>
          <cell r="AP138" t="e">
            <v>#REF!</v>
          </cell>
          <cell r="AU138" t="e">
            <v>#DIV/0!</v>
          </cell>
        </row>
        <row r="139">
          <cell r="P139">
            <v>0</v>
          </cell>
          <cell r="X139">
            <v>0</v>
          </cell>
          <cell r="AC139">
            <v>0</v>
          </cell>
          <cell r="AJ139">
            <v>0</v>
          </cell>
          <cell r="AP139">
            <v>180931</v>
          </cell>
          <cell r="AQ139">
            <v>180931</v>
          </cell>
        </row>
        <row r="140">
          <cell r="C140" t="str">
            <v>коп/кВтг</v>
          </cell>
          <cell r="P140">
            <v>0</v>
          </cell>
          <cell r="X140">
            <v>0</v>
          </cell>
          <cell r="AC140">
            <v>0</v>
          </cell>
          <cell r="AJ140">
            <v>0</v>
          </cell>
        </row>
        <row r="141">
          <cell r="P141">
            <v>0</v>
          </cell>
          <cell r="X141">
            <v>0</v>
          </cell>
          <cell r="AC141">
            <v>0</v>
          </cell>
          <cell r="AJ141">
            <v>0</v>
          </cell>
          <cell r="AN141">
            <v>0</v>
          </cell>
          <cell r="AP141">
            <v>0</v>
          </cell>
        </row>
        <row r="142">
          <cell r="P142">
            <v>0</v>
          </cell>
          <cell r="Q142">
            <v>0</v>
          </cell>
          <cell r="X142">
            <v>0</v>
          </cell>
          <cell r="AC142">
            <v>0</v>
          </cell>
          <cell r="AJ142">
            <v>0</v>
          </cell>
          <cell r="AP142">
            <v>2601</v>
          </cell>
        </row>
        <row r="143">
          <cell r="P143">
            <v>0</v>
          </cell>
          <cell r="X143">
            <v>0</v>
          </cell>
          <cell r="AC143">
            <v>0</v>
          </cell>
          <cell r="AJ143">
            <v>0</v>
          </cell>
          <cell r="AN143">
            <v>0</v>
          </cell>
          <cell r="AP143" t="e">
            <v>#REF!</v>
          </cell>
          <cell r="AQ143">
            <v>180931</v>
          </cell>
          <cell r="AR143" t="e">
            <v>#REF!</v>
          </cell>
          <cell r="AU143">
            <v>0</v>
          </cell>
        </row>
        <row r="144">
          <cell r="P144">
            <v>0</v>
          </cell>
          <cell r="X144">
            <v>0</v>
          </cell>
          <cell r="AC144">
            <v>0</v>
          </cell>
          <cell r="AJ144">
            <v>0</v>
          </cell>
          <cell r="AP144">
            <v>0</v>
          </cell>
        </row>
        <row r="145">
          <cell r="P145">
            <v>0</v>
          </cell>
          <cell r="X145">
            <v>0</v>
          </cell>
          <cell r="AC145">
            <v>0</v>
          </cell>
          <cell r="AJ145">
            <v>0</v>
          </cell>
          <cell r="AP145" t="e">
            <v>#REF!</v>
          </cell>
          <cell r="AQ145">
            <v>180931</v>
          </cell>
          <cell r="AR145" t="e">
            <v>#REF!</v>
          </cell>
        </row>
        <row r="146">
          <cell r="P146">
            <v>0</v>
          </cell>
          <cell r="X146">
            <v>0</v>
          </cell>
          <cell r="AC146">
            <v>0</v>
          </cell>
          <cell r="AJ146">
            <v>0</v>
          </cell>
          <cell r="AU146">
            <v>5009</v>
          </cell>
          <cell r="AV146">
            <v>15955</v>
          </cell>
          <cell r="AW146">
            <v>12308.438909090908</v>
          </cell>
          <cell r="AX146" t="e">
            <v>#REF!</v>
          </cell>
        </row>
        <row r="147">
          <cell r="P147">
            <v>0</v>
          </cell>
          <cell r="X147">
            <v>0</v>
          </cell>
          <cell r="AC147">
            <v>0</v>
          </cell>
          <cell r="AJ147">
            <v>0</v>
          </cell>
          <cell r="AP147" t="e">
            <v>#REF!</v>
          </cell>
          <cell r="AQ147" t="e">
            <v>#REF!</v>
          </cell>
          <cell r="AR147" t="e">
            <v>#REF!</v>
          </cell>
        </row>
        <row r="148">
          <cell r="P148">
            <v>0</v>
          </cell>
          <cell r="X148">
            <v>0</v>
          </cell>
          <cell r="AC148">
            <v>0</v>
          </cell>
          <cell r="AJ148">
            <v>0</v>
          </cell>
        </row>
        <row r="149">
          <cell r="C149">
            <v>0</v>
          </cell>
          <cell r="N149">
            <v>0</v>
          </cell>
          <cell r="P149">
            <v>0</v>
          </cell>
          <cell r="Q149">
            <v>0</v>
          </cell>
          <cell r="T149">
            <v>0</v>
          </cell>
          <cell r="X149">
            <v>0</v>
          </cell>
          <cell r="Y149">
            <v>0</v>
          </cell>
          <cell r="AC149">
            <v>0</v>
          </cell>
          <cell r="AJ149">
            <v>0</v>
          </cell>
          <cell r="AN149">
            <v>0</v>
          </cell>
        </row>
        <row r="151">
          <cell r="C151">
            <v>916.24199999999996</v>
          </cell>
          <cell r="N151">
            <v>1295.5</v>
          </cell>
          <cell r="P151">
            <v>-1295.5</v>
          </cell>
          <cell r="Q151">
            <v>2567.7454545454548</v>
          </cell>
          <cell r="S151">
            <v>-2567.7454545454548</v>
          </cell>
          <cell r="T151">
            <v>1558.3090909090909</v>
          </cell>
          <cell r="W151">
            <v>1510</v>
          </cell>
          <cell r="X151">
            <v>-48.309090909090855</v>
          </cell>
          <cell r="Y151">
            <v>1196.7</v>
          </cell>
          <cell r="AC151">
            <v>-1196.7</v>
          </cell>
          <cell r="AD151">
            <v>1791.7636363636364</v>
          </cell>
          <cell r="AE151">
            <v>1791.7636363636364</v>
          </cell>
          <cell r="AF151">
            <v>0</v>
          </cell>
          <cell r="AG151">
            <v>1946</v>
          </cell>
          <cell r="AH151">
            <v>938</v>
          </cell>
          <cell r="AI151">
            <v>0</v>
          </cell>
          <cell r="AJ151">
            <v>154.23636363636365</v>
          </cell>
          <cell r="AN151">
            <v>197</v>
          </cell>
          <cell r="AP151">
            <v>9542.2601818181811</v>
          </cell>
        </row>
        <row r="152">
          <cell r="C152">
            <v>916.24199999999996</v>
          </cell>
        </row>
        <row r="153">
          <cell r="N153">
            <v>215</v>
          </cell>
          <cell r="O153">
            <v>272</v>
          </cell>
          <cell r="P153">
            <v>57</v>
          </cell>
          <cell r="Q153">
            <v>1275.7272727272727</v>
          </cell>
          <cell r="R153">
            <v>1487</v>
          </cell>
          <cell r="S153">
            <v>211.27272727272725</v>
          </cell>
          <cell r="T153">
            <v>814</v>
          </cell>
          <cell r="U153">
            <v>317</v>
          </cell>
          <cell r="V153">
            <v>497</v>
          </cell>
          <cell r="W153">
            <v>831</v>
          </cell>
          <cell r="X153">
            <v>17</v>
          </cell>
          <cell r="Y153">
            <v>598</v>
          </cell>
          <cell r="Z153">
            <v>223</v>
          </cell>
          <cell r="AA153">
            <v>375</v>
          </cell>
          <cell r="AB153">
            <v>596</v>
          </cell>
          <cell r="AC153">
            <v>-2</v>
          </cell>
          <cell r="AD153">
            <v>359.09090909090912</v>
          </cell>
          <cell r="AE153">
            <v>359.09090909090912</v>
          </cell>
          <cell r="AF153">
            <v>0</v>
          </cell>
          <cell r="AG153">
            <v>437</v>
          </cell>
          <cell r="AH153">
            <v>265</v>
          </cell>
          <cell r="AI153">
            <v>0</v>
          </cell>
          <cell r="AJ153">
            <v>77.909090909090878</v>
          </cell>
          <cell r="AN153">
            <v>0</v>
          </cell>
        </row>
        <row r="154">
          <cell r="N154">
            <v>0</v>
          </cell>
          <cell r="P154">
            <v>0</v>
          </cell>
          <cell r="Q154">
            <v>0</v>
          </cell>
          <cell r="S154">
            <v>0</v>
          </cell>
          <cell r="T154">
            <v>70</v>
          </cell>
          <cell r="X154">
            <v>-70</v>
          </cell>
          <cell r="Y154">
            <v>24</v>
          </cell>
          <cell r="AC154">
            <v>-24</v>
          </cell>
          <cell r="AJ154">
            <v>0</v>
          </cell>
          <cell r="AP154" t="e">
            <v>#REF!</v>
          </cell>
        </row>
        <row r="155">
          <cell r="N155">
            <v>0</v>
          </cell>
          <cell r="P155">
            <v>0</v>
          </cell>
          <cell r="Q155">
            <v>0</v>
          </cell>
          <cell r="S155">
            <v>0</v>
          </cell>
          <cell r="T155">
            <v>0</v>
          </cell>
          <cell r="X155">
            <v>0</v>
          </cell>
          <cell r="Y155">
            <v>0</v>
          </cell>
          <cell r="AC155">
            <v>0</v>
          </cell>
          <cell r="AJ155">
            <v>0</v>
          </cell>
          <cell r="AP155" t="e">
            <v>#REF!</v>
          </cell>
        </row>
        <row r="156">
          <cell r="C156" t="e">
            <v>#REF!</v>
          </cell>
          <cell r="N156">
            <v>681</v>
          </cell>
          <cell r="P156">
            <v>-681</v>
          </cell>
          <cell r="Q156">
            <v>1041.8333333333333</v>
          </cell>
          <cell r="S156">
            <v>-1041.8333333333333</v>
          </cell>
          <cell r="T156">
            <v>213</v>
          </cell>
          <cell r="X156">
            <v>-213</v>
          </cell>
          <cell r="Y156">
            <v>1171.0035872727274</v>
          </cell>
          <cell r="AC156">
            <v>-1171.0035872727274</v>
          </cell>
          <cell r="AJ156">
            <v>0</v>
          </cell>
          <cell r="AP156" t="e">
            <v>#REF!</v>
          </cell>
        </row>
        <row r="157">
          <cell r="C157" t="e">
            <v>#REF!</v>
          </cell>
          <cell r="N157">
            <v>47</v>
          </cell>
          <cell r="P157">
            <v>-47</v>
          </cell>
          <cell r="Q157">
            <v>140</v>
          </cell>
          <cell r="S157">
            <v>-140</v>
          </cell>
          <cell r="T157">
            <v>105</v>
          </cell>
          <cell r="X157">
            <v>-105</v>
          </cell>
          <cell r="Y157">
            <v>190</v>
          </cell>
          <cell r="AC157">
            <v>-190</v>
          </cell>
          <cell r="AJ157">
            <v>0</v>
          </cell>
          <cell r="AP157" t="e">
            <v>#REF!</v>
          </cell>
        </row>
        <row r="158">
          <cell r="C158" t="e">
            <v>#REF!</v>
          </cell>
          <cell r="N158">
            <v>1248.5</v>
          </cell>
          <cell r="P158">
            <v>-1248.5</v>
          </cell>
          <cell r="Q158">
            <v>140</v>
          </cell>
          <cell r="S158">
            <v>-140</v>
          </cell>
          <cell r="T158" t="str">
            <v xml:space="preserve">                   КОРИГУВАННЯ   ПЛАНУ   НА   СЕРПЕНЬ  1998 р</v>
          </cell>
          <cell r="X158" t="e">
            <v>#VALUE!</v>
          </cell>
          <cell r="Y158">
            <v>1006.7</v>
          </cell>
          <cell r="AC158">
            <v>-1006.7</v>
          </cell>
          <cell r="AJ158">
            <v>0</v>
          </cell>
          <cell r="AP158" t="e">
            <v>#REF!</v>
          </cell>
        </row>
        <row r="159">
          <cell r="C159" t="e">
            <v>#REF!</v>
          </cell>
          <cell r="N159">
            <v>1295.5</v>
          </cell>
          <cell r="P159">
            <v>-1295.5</v>
          </cell>
          <cell r="Q159">
            <v>280</v>
          </cell>
          <cell r="S159">
            <v>-280</v>
          </cell>
          <cell r="X159">
            <v>0</v>
          </cell>
          <cell r="Y159">
            <v>1196.7</v>
          </cell>
          <cell r="AC159">
            <v>-1196.7</v>
          </cell>
          <cell r="AJ159">
            <v>0</v>
          </cell>
        </row>
        <row r="160">
          <cell r="N160">
            <v>0</v>
          </cell>
          <cell r="P160">
            <v>0</v>
          </cell>
          <cell r="Q160">
            <v>2287.7454545454548</v>
          </cell>
          <cell r="S160">
            <v>-2287.7454545454548</v>
          </cell>
          <cell r="X160">
            <v>0</v>
          </cell>
          <cell r="Y160">
            <v>0</v>
          </cell>
          <cell r="AC160">
            <v>0</v>
          </cell>
          <cell r="AJ160">
            <v>0</v>
          </cell>
          <cell r="AP160" t="e">
            <v>#REF!</v>
          </cell>
        </row>
        <row r="161">
          <cell r="C161" t="e">
            <v>#REF!</v>
          </cell>
          <cell r="N161" t="e">
            <v>#REF!</v>
          </cell>
          <cell r="P161" t="e">
            <v>#REF!</v>
          </cell>
          <cell r="Q161">
            <v>776</v>
          </cell>
          <cell r="S161">
            <v>-776</v>
          </cell>
          <cell r="X161">
            <v>0</v>
          </cell>
          <cell r="Y161" t="e">
            <v>#REF!</v>
          </cell>
          <cell r="AC161" t="e">
            <v>#REF!</v>
          </cell>
          <cell r="AJ161">
            <v>0</v>
          </cell>
          <cell r="AP161" t="e">
            <v>#REF!</v>
          </cell>
        </row>
        <row r="162">
          <cell r="C162">
            <v>-1273</v>
          </cell>
          <cell r="N162">
            <v>1614.15</v>
          </cell>
          <cell r="O162">
            <v>0</v>
          </cell>
          <cell r="P162">
            <v>-1614.15</v>
          </cell>
          <cell r="Q162">
            <v>1739.5839999999998</v>
          </cell>
          <cell r="R162">
            <v>800</v>
          </cell>
          <cell r="S162">
            <v>-939.58399999999983</v>
          </cell>
          <cell r="T162">
            <v>176.47000000000003</v>
          </cell>
          <cell r="U162">
            <v>0</v>
          </cell>
          <cell r="V162">
            <v>0</v>
          </cell>
          <cell r="W162">
            <v>0</v>
          </cell>
          <cell r="X162">
            <v>-176.47000000000003</v>
          </cell>
          <cell r="Y162">
            <v>225.76000000000002</v>
          </cell>
          <cell r="Z162">
            <v>0</v>
          </cell>
          <cell r="AA162">
            <v>0</v>
          </cell>
          <cell r="AB162">
            <v>432</v>
          </cell>
          <cell r="AC162">
            <v>206.23999999999998</v>
          </cell>
          <cell r="AD162" t="e">
            <v>#REF!</v>
          </cell>
          <cell r="AE162">
            <v>1009.45</v>
          </cell>
          <cell r="AF162">
            <v>77</v>
          </cell>
          <cell r="AG162">
            <v>0</v>
          </cell>
          <cell r="AH162">
            <v>0</v>
          </cell>
          <cell r="AI162">
            <v>0</v>
          </cell>
          <cell r="AJ162" t="e">
            <v>#REF!</v>
          </cell>
          <cell r="AK162">
            <v>0</v>
          </cell>
          <cell r="AL162">
            <v>0</v>
          </cell>
          <cell r="AM162">
            <v>0</v>
          </cell>
          <cell r="AN162" t="e">
            <v>#REF!</v>
          </cell>
          <cell r="AO162">
            <v>1616</v>
          </cell>
          <cell r="AP162" t="e">
            <v>#REF!</v>
          </cell>
          <cell r="AS162">
            <v>2048</v>
          </cell>
        </row>
        <row r="163">
          <cell r="C163">
            <v>0</v>
          </cell>
          <cell r="N163">
            <v>0.20800000000000018</v>
          </cell>
          <cell r="O163">
            <v>0</v>
          </cell>
          <cell r="P163">
            <v>-0.20800000000000018</v>
          </cell>
          <cell r="Q163">
            <v>-0.23600000000000065</v>
          </cell>
          <cell r="R163">
            <v>154</v>
          </cell>
          <cell r="S163">
            <v>154.23599999999999</v>
          </cell>
          <cell r="T163">
            <v>-0.42800000000000082</v>
          </cell>
          <cell r="U163">
            <v>0</v>
          </cell>
          <cell r="V163">
            <v>0</v>
          </cell>
          <cell r="W163">
            <v>79</v>
          </cell>
          <cell r="X163">
            <v>79.427999999999997</v>
          </cell>
          <cell r="Y163">
            <v>6.799999999999784E-2</v>
          </cell>
          <cell r="Z163">
            <v>0</v>
          </cell>
          <cell r="AA163">
            <v>0</v>
          </cell>
          <cell r="AB163">
            <v>86</v>
          </cell>
          <cell r="AC163">
            <v>85.932000000000002</v>
          </cell>
          <cell r="AD163">
            <v>0.28399999999999892</v>
          </cell>
          <cell r="AE163">
            <v>0.28399999999999892</v>
          </cell>
          <cell r="AF163">
            <v>0</v>
          </cell>
          <cell r="AG163">
            <v>30</v>
          </cell>
          <cell r="AH163">
            <v>30</v>
          </cell>
          <cell r="AI163">
            <v>0</v>
          </cell>
          <cell r="AJ163">
            <v>29.716000000000001</v>
          </cell>
          <cell r="AK163">
            <v>0</v>
          </cell>
          <cell r="AL163">
            <v>0</v>
          </cell>
          <cell r="AM163">
            <v>0</v>
          </cell>
          <cell r="AN163" t="e">
            <v>#REF!</v>
          </cell>
          <cell r="AO163">
            <v>0</v>
          </cell>
          <cell r="AP163" t="e">
            <v>#REF!</v>
          </cell>
          <cell r="AS163">
            <v>195</v>
          </cell>
        </row>
        <row r="164">
          <cell r="C164">
            <v>1651.8969999999999</v>
          </cell>
          <cell r="N164">
            <v>2372.272727272727</v>
          </cell>
          <cell r="O164">
            <v>2062</v>
          </cell>
          <cell r="P164">
            <v>-310.27272727272702</v>
          </cell>
          <cell r="Q164">
            <v>5435.727272727273</v>
          </cell>
          <cell r="R164">
            <v>5523</v>
          </cell>
          <cell r="S164">
            <v>87.272727272727025</v>
          </cell>
          <cell r="T164">
            <v>2142.727272727273</v>
          </cell>
          <cell r="U164">
            <v>846</v>
          </cell>
          <cell r="V164">
            <v>1296.7272727272727</v>
          </cell>
          <cell r="W164">
            <v>2210</v>
          </cell>
          <cell r="X164">
            <v>67.272727272727025</v>
          </cell>
          <cell r="Y164">
            <v>1732.7272727272727</v>
          </cell>
          <cell r="Z164">
            <v>647</v>
          </cell>
          <cell r="AA164">
            <v>1085.7272727272727</v>
          </cell>
          <cell r="AB164">
            <v>1749</v>
          </cell>
          <cell r="AC164">
            <v>16.272727272727252</v>
          </cell>
          <cell r="AD164">
            <v>4852.6363636363631</v>
          </cell>
          <cell r="AE164">
            <v>4482.6363636363631</v>
          </cell>
          <cell r="AF164">
            <v>370</v>
          </cell>
          <cell r="AG164">
            <v>4464</v>
          </cell>
          <cell r="AH164">
            <v>3202</v>
          </cell>
          <cell r="AI164">
            <v>427</v>
          </cell>
          <cell r="AJ164">
            <v>-388.63636363636306</v>
          </cell>
          <cell r="AK164">
            <v>0</v>
          </cell>
          <cell r="AL164">
            <v>0</v>
          </cell>
          <cell r="AM164">
            <v>0</v>
          </cell>
          <cell r="AN164" t="e">
            <v>#REF!</v>
          </cell>
          <cell r="AO164">
            <v>0</v>
          </cell>
          <cell r="AP164" t="e">
            <v>#REF!</v>
          </cell>
          <cell r="AS164">
            <v>13703</v>
          </cell>
        </row>
        <row r="165">
          <cell r="C165">
            <v>62</v>
          </cell>
          <cell r="N165">
            <v>49.800000000000004</v>
          </cell>
          <cell r="O165">
            <v>51</v>
          </cell>
          <cell r="P165">
            <v>1.1999999999999957</v>
          </cell>
          <cell r="Q165">
            <v>81.400000000000006</v>
          </cell>
          <cell r="R165">
            <v>62</v>
          </cell>
          <cell r="S165">
            <v>-19.400000000000006</v>
          </cell>
          <cell r="T165">
            <v>2606.1999999999998</v>
          </cell>
          <cell r="U165">
            <v>963</v>
          </cell>
          <cell r="V165">
            <v>1643.1999999999998</v>
          </cell>
          <cell r="W165">
            <v>2464</v>
          </cell>
          <cell r="X165">
            <v>-142.19999999999982</v>
          </cell>
          <cell r="Y165">
            <v>112.8</v>
          </cell>
          <cell r="Z165">
            <v>15</v>
          </cell>
          <cell r="AA165">
            <v>23.200000000000003</v>
          </cell>
          <cell r="AB165">
            <v>27</v>
          </cell>
          <cell r="AC165">
            <v>-85.8</v>
          </cell>
          <cell r="AD165">
            <v>36.333333333333336</v>
          </cell>
          <cell r="AE165">
            <v>22</v>
          </cell>
          <cell r="AF165">
            <v>14.333333333333336</v>
          </cell>
          <cell r="AG165">
            <v>44</v>
          </cell>
          <cell r="AH165">
            <v>15</v>
          </cell>
          <cell r="AI165">
            <v>29</v>
          </cell>
          <cell r="AJ165">
            <v>7.6666666666666643</v>
          </cell>
          <cell r="AK165">
            <v>0</v>
          </cell>
          <cell r="AL165">
            <v>0</v>
          </cell>
          <cell r="AM165">
            <v>0</v>
          </cell>
          <cell r="AN165">
            <v>19</v>
          </cell>
          <cell r="AO165">
            <v>0</v>
          </cell>
          <cell r="AP165">
            <v>2858.2</v>
          </cell>
          <cell r="AS165">
            <v>2610</v>
          </cell>
        </row>
        <row r="166">
          <cell r="C166">
            <v>11069.257999999996</v>
          </cell>
          <cell r="N166">
            <v>1801.6400000000015</v>
          </cell>
          <cell r="Q166">
            <v>13559.514000000001</v>
          </cell>
          <cell r="T166">
            <v>876.30400000002464</v>
          </cell>
          <cell r="Y166">
            <v>912.96000000001436</v>
          </cell>
          <cell r="AE166">
            <v>-6947.0430909090901</v>
          </cell>
          <cell r="AG166">
            <v>2466</v>
          </cell>
          <cell r="AH166">
            <v>2561</v>
          </cell>
          <cell r="AN166" t="e">
            <v>#REF!</v>
          </cell>
          <cell r="AP166" t="e">
            <v>#REF!</v>
          </cell>
        </row>
        <row r="167">
          <cell r="C167" t="e">
            <v>#REF!</v>
          </cell>
          <cell r="N167">
            <v>1614.15</v>
          </cell>
        </row>
        <row r="168">
          <cell r="C168" t="e">
            <v>#REF!</v>
          </cell>
        </row>
        <row r="169">
          <cell r="C169" t="e">
            <v>#REF!</v>
          </cell>
        </row>
        <row r="170">
          <cell r="AV170">
            <v>1507.2</v>
          </cell>
        </row>
        <row r="173">
          <cell r="C173" t="str">
            <v>АПАРАТ ВСЬОГО</v>
          </cell>
          <cell r="D173" t="str">
            <v>АПАРАТ ЕЛЕКТРО</v>
          </cell>
          <cell r="E173" t="str">
            <v>АПАРАТ ТЕПЛО</v>
          </cell>
          <cell r="N173" t="str">
            <v>ККМ</v>
          </cell>
          <cell r="Q173" t="str">
            <v>КТМ</v>
          </cell>
          <cell r="U173">
            <v>250</v>
          </cell>
          <cell r="Y173" t="str">
            <v>ТЕЦ-6 ВСЬОГО</v>
          </cell>
          <cell r="Z173" t="str">
            <v>Е/Е</v>
          </cell>
          <cell r="AA173" t="str">
            <v xml:space="preserve"> Т/Е</v>
          </cell>
          <cell r="AN173" t="str">
            <v>ДОП.ВИР. СТ.ОРГ.</v>
          </cell>
          <cell r="AP173" t="str">
            <v>АК КЕ ВСЬОГО</v>
          </cell>
          <cell r="AQ173" t="str">
            <v>Е/Е</v>
          </cell>
          <cell r="AR173" t="str">
            <v xml:space="preserve"> Т/Е</v>
          </cell>
          <cell r="AU173" t="str">
            <v>очикуваемАК КЕ ВСЬОГО</v>
          </cell>
          <cell r="AV173" t="str">
            <v>Е/Е</v>
          </cell>
          <cell r="AW173" t="str">
            <v xml:space="preserve"> Т/Е</v>
          </cell>
        </row>
        <row r="174">
          <cell r="C174">
            <v>1.895</v>
          </cell>
          <cell r="N174">
            <v>1.847</v>
          </cell>
          <cell r="Q174">
            <v>1.895</v>
          </cell>
          <cell r="U174">
            <v>1.895</v>
          </cell>
          <cell r="V174">
            <v>1.895</v>
          </cell>
          <cell r="Y174">
            <v>1.895</v>
          </cell>
          <cell r="Z174">
            <v>1.895</v>
          </cell>
          <cell r="AA174">
            <v>1.895</v>
          </cell>
          <cell r="AN174">
            <v>1.895</v>
          </cell>
          <cell r="AP174">
            <v>1.895</v>
          </cell>
          <cell r="AQ174">
            <v>1.895</v>
          </cell>
          <cell r="AU174">
            <v>1.905</v>
          </cell>
          <cell r="AV174">
            <v>1.895</v>
          </cell>
        </row>
        <row r="176">
          <cell r="Q176">
            <v>132.19999999999999</v>
          </cell>
          <cell r="Y176">
            <v>68.7</v>
          </cell>
          <cell r="AP176">
            <v>200.89999999999998</v>
          </cell>
          <cell r="AU176">
            <v>251.12700000000001</v>
          </cell>
        </row>
        <row r="177">
          <cell r="Q177">
            <v>150.5</v>
          </cell>
          <cell r="U177">
            <v>150.5</v>
          </cell>
          <cell r="Y177">
            <v>78.3</v>
          </cell>
          <cell r="AP177">
            <v>228.8</v>
          </cell>
          <cell r="AU177">
            <v>288.28500000000003</v>
          </cell>
        </row>
        <row r="178">
          <cell r="N178">
            <v>0</v>
          </cell>
          <cell r="Q178">
            <v>82.5</v>
          </cell>
          <cell r="U178">
            <v>82.5</v>
          </cell>
          <cell r="Y178">
            <v>82.5</v>
          </cell>
          <cell r="AP178">
            <v>82.5</v>
          </cell>
          <cell r="AU178">
            <v>66</v>
          </cell>
        </row>
        <row r="179">
          <cell r="N179">
            <v>0</v>
          </cell>
          <cell r="Q179">
            <v>156.34</v>
          </cell>
          <cell r="U179">
            <v>156.34</v>
          </cell>
          <cell r="Y179">
            <v>156.34</v>
          </cell>
          <cell r="AP179">
            <v>156.34</v>
          </cell>
          <cell r="AU179">
            <v>125.73</v>
          </cell>
        </row>
        <row r="180">
          <cell r="Q180">
            <v>20668</v>
          </cell>
          <cell r="U180">
            <v>0</v>
          </cell>
          <cell r="Y180">
            <v>10741</v>
          </cell>
          <cell r="AP180">
            <v>31409</v>
          </cell>
          <cell r="AU180">
            <v>31574</v>
          </cell>
        </row>
        <row r="181">
          <cell r="AP181">
            <v>31409</v>
          </cell>
          <cell r="AU181" t="e">
            <v>#REF!</v>
          </cell>
        </row>
        <row r="182">
          <cell r="Q182">
            <v>0</v>
          </cell>
          <cell r="U182">
            <v>0</v>
          </cell>
          <cell r="Y182">
            <v>52.1</v>
          </cell>
          <cell r="AP182">
            <v>52.1</v>
          </cell>
          <cell r="AU182">
            <v>67.933000000000007</v>
          </cell>
        </row>
        <row r="183">
          <cell r="Q183">
            <v>0</v>
          </cell>
          <cell r="U183">
            <v>0</v>
          </cell>
          <cell r="Y183">
            <v>71.3</v>
          </cell>
          <cell r="AP183">
            <v>71.3</v>
          </cell>
          <cell r="AU183">
            <v>91.201999999999998</v>
          </cell>
        </row>
        <row r="184">
          <cell r="C184">
            <v>75</v>
          </cell>
          <cell r="N184">
            <v>75</v>
          </cell>
          <cell r="AN184">
            <v>0</v>
          </cell>
          <cell r="AP184">
            <v>98.96042216358839</v>
          </cell>
          <cell r="AU184">
            <v>98.96042216358839</v>
          </cell>
        </row>
        <row r="185">
          <cell r="Q185">
            <v>187.53</v>
          </cell>
          <cell r="U185">
            <v>0</v>
          </cell>
          <cell r="Y185">
            <v>187.53</v>
          </cell>
          <cell r="AP185">
            <v>187.53</v>
          </cell>
          <cell r="AU185">
            <v>187.53</v>
          </cell>
        </row>
        <row r="186">
          <cell r="Q186">
            <v>0</v>
          </cell>
          <cell r="T186">
            <v>0</v>
          </cell>
          <cell r="Y186">
            <v>9770</v>
          </cell>
          <cell r="AP186">
            <v>9770</v>
          </cell>
          <cell r="AU186">
            <v>12739</v>
          </cell>
        </row>
        <row r="187">
          <cell r="AP187">
            <v>9770</v>
          </cell>
          <cell r="AU187" t="e">
            <v>#REF!</v>
          </cell>
        </row>
        <row r="188">
          <cell r="Q188">
            <v>150.5</v>
          </cell>
          <cell r="T188">
            <v>0</v>
          </cell>
          <cell r="U188">
            <v>51.4</v>
          </cell>
          <cell r="V188">
            <v>-51.4</v>
          </cell>
          <cell r="Y188">
            <v>149.6</v>
          </cell>
          <cell r="Z188">
            <v>52.7</v>
          </cell>
          <cell r="AA188">
            <v>96.899999999999991</v>
          </cell>
          <cell r="AP188">
            <v>300.10000000000002</v>
          </cell>
          <cell r="AQ188">
            <v>104.1</v>
          </cell>
          <cell r="AR188">
            <v>196</v>
          </cell>
          <cell r="AU188">
            <v>379.48700000000002</v>
          </cell>
          <cell r="AV188">
            <v>83.676000000000002</v>
          </cell>
          <cell r="AW188">
            <v>295.81100000000004</v>
          </cell>
        </row>
        <row r="189">
          <cell r="Q189">
            <v>20668</v>
          </cell>
          <cell r="T189">
            <v>0</v>
          </cell>
          <cell r="U189" t="e">
            <v>#DIV/0!</v>
          </cell>
          <cell r="V189" t="e">
            <v>#DIV/0!</v>
          </cell>
          <cell r="Y189">
            <v>20511</v>
          </cell>
          <cell r="Z189">
            <v>7225</v>
          </cell>
          <cell r="AA189">
            <v>13286</v>
          </cell>
          <cell r="AP189" t="e">
            <v>#DIV/0!</v>
          </cell>
          <cell r="AQ189" t="e">
            <v>#DIV/0!</v>
          </cell>
          <cell r="AR189" t="e">
            <v>#DIV/0!</v>
          </cell>
          <cell r="AU189">
            <v>44313</v>
          </cell>
          <cell r="AV189">
            <v>9770.9133329995493</v>
          </cell>
          <cell r="AW189">
            <v>34542.086667000447</v>
          </cell>
        </row>
        <row r="190">
          <cell r="Q190">
            <v>137.33000000000001</v>
          </cell>
          <cell r="T190" t="e">
            <v>#DIV/0!</v>
          </cell>
          <cell r="U190" t="e">
            <v>#DIV/0!</v>
          </cell>
          <cell r="V190" t="e">
            <v>#DIV/0!</v>
          </cell>
          <cell r="Y190">
            <v>137.11000000000001</v>
          </cell>
          <cell r="Z190">
            <v>137.1</v>
          </cell>
          <cell r="AA190">
            <v>137.11000000000001</v>
          </cell>
          <cell r="AN190">
            <v>0</v>
          </cell>
          <cell r="AP190" t="e">
            <v>#DIV/0!</v>
          </cell>
          <cell r="AQ190" t="e">
            <v>#DIV/0!</v>
          </cell>
          <cell r="AR190" t="e">
            <v>#DIV/0!</v>
          </cell>
          <cell r="AU190">
            <v>116.77</v>
          </cell>
          <cell r="AV190">
            <v>116.77</v>
          </cell>
          <cell r="AW190">
            <v>116.77</v>
          </cell>
        </row>
        <row r="191">
          <cell r="AP191">
            <v>0</v>
          </cell>
          <cell r="AQ191">
            <v>0</v>
          </cell>
          <cell r="AR191">
            <v>0</v>
          </cell>
          <cell r="AU191">
            <v>0</v>
          </cell>
          <cell r="AV191">
            <v>0</v>
          </cell>
          <cell r="AW191">
            <v>0</v>
          </cell>
        </row>
        <row r="192">
          <cell r="T192" t="e">
            <v>#DIV/0!</v>
          </cell>
          <cell r="Y192">
            <v>20511</v>
          </cell>
          <cell r="AP192" t="e">
            <v>#DIV/0!</v>
          </cell>
          <cell r="AQ192" t="e">
            <v>#DIV/0!</v>
          </cell>
          <cell r="AR192" t="e">
            <v>#DIV/0!</v>
          </cell>
          <cell r="AU192">
            <v>44313</v>
          </cell>
          <cell r="AV192">
            <v>9770.9133329995493</v>
          </cell>
          <cell r="AW192">
            <v>34542.086667000447</v>
          </cell>
        </row>
        <row r="195">
          <cell r="T195" t="str">
            <v>ТЕЦ-5 ВСЬОГО</v>
          </cell>
          <cell r="U195" t="str">
            <v>Е/Е</v>
          </cell>
          <cell r="V195" t="str">
            <v xml:space="preserve"> Т/Е</v>
          </cell>
          <cell r="Y195" t="str">
            <v>ТЕЦ-6 ВСЬОГО</v>
          </cell>
          <cell r="Z195" t="str">
            <v>Е/Е</v>
          </cell>
          <cell r="AA195" t="str">
            <v xml:space="preserve"> Т/Е</v>
          </cell>
          <cell r="AP195" t="str">
            <v>АК КЕ ВСЬОГО</v>
          </cell>
          <cell r="AQ195" t="str">
            <v>Е/Е</v>
          </cell>
          <cell r="AR195" t="str">
            <v xml:space="preserve"> Т/Е</v>
          </cell>
        </row>
        <row r="196">
          <cell r="U196">
            <v>291.85000000000002</v>
          </cell>
          <cell r="V196">
            <v>750</v>
          </cell>
          <cell r="Z196">
            <v>268.14999999999998</v>
          </cell>
          <cell r="AA196">
            <v>590</v>
          </cell>
        </row>
        <row r="197">
          <cell r="U197">
            <v>176.1</v>
          </cell>
          <cell r="V197">
            <v>163.6</v>
          </cell>
          <cell r="Z197">
            <v>196.5</v>
          </cell>
          <cell r="AA197">
            <v>164.2</v>
          </cell>
        </row>
        <row r="198">
          <cell r="U198">
            <v>306.60000000000002</v>
          </cell>
          <cell r="V198">
            <v>112.8</v>
          </cell>
          <cell r="Z198">
            <v>301.89999999999998</v>
          </cell>
          <cell r="AA198">
            <v>116.3</v>
          </cell>
        </row>
        <row r="199">
          <cell r="U199">
            <v>130.50000000000003</v>
          </cell>
          <cell r="V199">
            <v>-50.8</v>
          </cell>
          <cell r="Z199">
            <v>105.39999999999998</v>
          </cell>
          <cell r="AA199">
            <v>-47.899999999999991</v>
          </cell>
        </row>
        <row r="200">
          <cell r="U200" t="e">
            <v>#DIV/0!</v>
          </cell>
          <cell r="V200" t="e">
            <v>#DIV/0!</v>
          </cell>
          <cell r="Z200">
            <v>137.1</v>
          </cell>
          <cell r="AA200">
            <v>137.11000000000001</v>
          </cell>
        </row>
        <row r="201">
          <cell r="U201" t="e">
            <v>#DIV/0!</v>
          </cell>
          <cell r="V201" t="e">
            <v>#DIV/0!</v>
          </cell>
          <cell r="Z201">
            <v>14.450339999999997</v>
          </cell>
          <cell r="AA201">
            <v>-6.5675689999999998</v>
          </cell>
        </row>
        <row r="202">
          <cell r="U202" t="e">
            <v>#DIV/0!</v>
          </cell>
          <cell r="V202" t="e">
            <v>#DIV/0!</v>
          </cell>
          <cell r="Z202">
            <v>3874.858670999999</v>
          </cell>
          <cell r="AA202">
            <v>-3874.86571</v>
          </cell>
          <cell r="AQ202" t="e">
            <v>#DIV/0!</v>
          </cell>
          <cell r="AR202" t="e">
            <v>#DIV/0!</v>
          </cell>
        </row>
        <row r="204">
          <cell r="AV204">
            <v>1507.2</v>
          </cell>
        </row>
        <row r="218">
          <cell r="Y218" t="str">
            <v>ЗАТВЕРДЖУЮ</v>
          </cell>
        </row>
        <row r="219">
          <cell r="Y219" t="str">
            <v>ГОЛОВА ПРАЛІННЯ АК КЕ</v>
          </cell>
        </row>
        <row r="220">
          <cell r="Z220" t="str">
            <v>І.В.ПЛАЧКОВ</v>
          </cell>
        </row>
        <row r="221">
          <cell r="C221" t="str">
            <v>ПОТРЕБА   В КОШТАХ НА  1 КВАРТАЛ 1998 року</v>
          </cell>
        </row>
        <row r="222">
          <cell r="C222" t="str">
            <v>ПО ФІЛІАЛАХ АК КИЇВЕНЕРГО</v>
          </cell>
        </row>
        <row r="224">
          <cell r="C224" t="str">
            <v>ВИКОН.ДИР.</v>
          </cell>
          <cell r="D224" t="str">
            <v>АПАРАТ ЕЛЕКТРО</v>
          </cell>
          <cell r="E224" t="str">
            <v>АПАРАТ ТЕПЛО</v>
          </cell>
          <cell r="N224" t="str">
            <v>ККМ</v>
          </cell>
          <cell r="Q224" t="str">
            <v>КТМ</v>
          </cell>
          <cell r="T224" t="str">
            <v>ТЕЦ-5 ВСЬОГО</v>
          </cell>
          <cell r="U224" t="str">
            <v>Е/Е</v>
          </cell>
          <cell r="V224" t="str">
            <v xml:space="preserve"> Т/Е</v>
          </cell>
          <cell r="Y224" t="str">
            <v>ТЕЦ-6 ВСЬОГО</v>
          </cell>
          <cell r="Z224" t="str">
            <v>Е/Е</v>
          </cell>
          <cell r="AA224" t="str">
            <v xml:space="preserve"> Т/Е</v>
          </cell>
          <cell r="AN224" t="str">
            <v>ДОП.ВИР. СТ.ОРГ.</v>
          </cell>
          <cell r="AP224" t="str">
            <v>АК КЕ ВСЬОГО</v>
          </cell>
          <cell r="AQ224" t="str">
            <v>Е/Е</v>
          </cell>
          <cell r="AR224" t="str">
            <v xml:space="preserve"> Т/Е</v>
          </cell>
          <cell r="AU224" t="str">
            <v>СТАНЦІї ЕЛЕКТРО</v>
          </cell>
          <cell r="AV224" t="str">
            <v>СТАНЦІІ ТЕПЛОВІ</v>
          </cell>
          <cell r="AW224" t="str">
            <v>МЕРЕЖІ ЕЛЕКТРО</v>
          </cell>
          <cell r="AX224" t="str">
            <v>МЕРЕЖІ ТЕПЛОВІ</v>
          </cell>
        </row>
        <row r="227">
          <cell r="C227" t="e">
            <v>#REF!</v>
          </cell>
          <cell r="N227" t="e">
            <v>#REF!</v>
          </cell>
          <cell r="Q227">
            <v>24070.113454545455</v>
          </cell>
          <cell r="T227">
            <v>8491.1123636363882</v>
          </cell>
          <cell r="Y227" t="e">
            <v>#REF!</v>
          </cell>
          <cell r="AN227" t="e">
            <v>#REF!</v>
          </cell>
          <cell r="AP227" t="e">
            <v>#REF!</v>
          </cell>
          <cell r="AQ227" t="e">
            <v>#REF!</v>
          </cell>
        </row>
        <row r="228">
          <cell r="C228" t="e">
            <v>#REF!</v>
          </cell>
          <cell r="N228" t="e">
            <v>#REF!</v>
          </cell>
          <cell r="Q228">
            <v>7411.0435151515139</v>
          </cell>
          <cell r="T228">
            <v>3172.257090909115</v>
          </cell>
          <cell r="Y228" t="e">
            <v>#REF!</v>
          </cell>
          <cell r="AP228" t="e">
            <v>#REF!</v>
          </cell>
          <cell r="AQ228" t="e">
            <v>#REF!</v>
          </cell>
        </row>
        <row r="230">
          <cell r="C230">
            <v>1651.8969999999999</v>
          </cell>
          <cell r="N230">
            <v>2372.272727272727</v>
          </cell>
          <cell r="Q230">
            <v>5435.727272727273</v>
          </cell>
          <cell r="T230">
            <v>2142.727272727273</v>
          </cell>
          <cell r="Y230">
            <v>1732.7272727272727</v>
          </cell>
          <cell r="AN230" t="e">
            <v>#REF!</v>
          </cell>
          <cell r="AP230" t="e">
            <v>#REF!</v>
          </cell>
          <cell r="AQ230" t="e">
            <v>#REF!</v>
          </cell>
        </row>
        <row r="231">
          <cell r="C231">
            <v>450</v>
          </cell>
          <cell r="N231">
            <v>648</v>
          </cell>
          <cell r="Q231">
            <v>1482</v>
          </cell>
          <cell r="T231">
            <v>584</v>
          </cell>
          <cell r="Y231">
            <v>472</v>
          </cell>
          <cell r="AP231" t="e">
            <v>#REF!</v>
          </cell>
          <cell r="AQ231" t="e">
            <v>#REF!</v>
          </cell>
        </row>
        <row r="232">
          <cell r="AQ232" t="e">
            <v>#REF!</v>
          </cell>
        </row>
        <row r="233">
          <cell r="C233">
            <v>0</v>
          </cell>
          <cell r="N233">
            <v>0</v>
          </cell>
          <cell r="Q233">
            <v>60.8</v>
          </cell>
          <cell r="T233">
            <v>2406.6</v>
          </cell>
          <cell r="Y233">
            <v>38.200000000000003</v>
          </cell>
          <cell r="AP233">
            <v>2505.6</v>
          </cell>
          <cell r="AQ233" t="e">
            <v>#REF!</v>
          </cell>
        </row>
        <row r="234">
          <cell r="C234">
            <v>0</v>
          </cell>
          <cell r="N234">
            <v>0</v>
          </cell>
          <cell r="Q234">
            <v>0</v>
          </cell>
          <cell r="T234">
            <v>0</v>
          </cell>
          <cell r="Y234">
            <v>0</v>
          </cell>
          <cell r="AP234">
            <v>19</v>
          </cell>
          <cell r="AQ234" t="e">
            <v>#REF!</v>
          </cell>
        </row>
        <row r="235">
          <cell r="C235" t="e">
            <v>#REF!</v>
          </cell>
          <cell r="N235">
            <v>0</v>
          </cell>
          <cell r="Q235">
            <v>526.04999999999995</v>
          </cell>
          <cell r="T235">
            <v>0</v>
          </cell>
          <cell r="Y235">
            <v>0</v>
          </cell>
          <cell r="AP235" t="e">
            <v>#REF!</v>
          </cell>
          <cell r="AQ235" t="e">
            <v>#REF!</v>
          </cell>
        </row>
        <row r="236">
          <cell r="AQ236" t="e">
            <v>#REF!</v>
          </cell>
        </row>
        <row r="237">
          <cell r="C237">
            <v>-1273</v>
          </cell>
          <cell r="N237">
            <v>1614.15</v>
          </cell>
          <cell r="Q237">
            <v>1739.5839999999998</v>
          </cell>
          <cell r="T237">
            <v>176.47000000000003</v>
          </cell>
          <cell r="Y237">
            <v>225.76000000000002</v>
          </cell>
          <cell r="AP237" t="e">
            <v>#REF!</v>
          </cell>
          <cell r="AQ237" t="e">
            <v>#REF!</v>
          </cell>
        </row>
        <row r="238">
          <cell r="C238">
            <v>916.24199999999996</v>
          </cell>
          <cell r="N238">
            <v>0</v>
          </cell>
          <cell r="Q238">
            <v>0</v>
          </cell>
          <cell r="T238">
            <v>0</v>
          </cell>
          <cell r="Y238">
            <v>0</v>
          </cell>
          <cell r="AP238">
            <v>0</v>
          </cell>
          <cell r="AQ238" t="e">
            <v>#REF!</v>
          </cell>
        </row>
        <row r="239">
          <cell r="AQ239" t="e">
            <v>#REF!</v>
          </cell>
        </row>
        <row r="240">
          <cell r="C240" t="e">
            <v>#REF!</v>
          </cell>
          <cell r="N240" t="e">
            <v>#REF!</v>
          </cell>
          <cell r="Q240">
            <v>776</v>
          </cell>
          <cell r="T240">
            <v>0</v>
          </cell>
          <cell r="Y240" t="e">
            <v>#REF!</v>
          </cell>
          <cell r="AP240" t="e">
            <v>#REF!</v>
          </cell>
          <cell r="AQ240" t="e">
            <v>#REF!</v>
          </cell>
        </row>
        <row r="241">
          <cell r="AQ241" t="e">
            <v>#REF!</v>
          </cell>
        </row>
        <row r="242">
          <cell r="AQ242" t="e">
            <v>#REF!</v>
          </cell>
        </row>
        <row r="243">
          <cell r="C243">
            <v>393</v>
          </cell>
          <cell r="N243">
            <v>0</v>
          </cell>
          <cell r="Q243">
            <v>1473.1853333333333</v>
          </cell>
          <cell r="T243">
            <v>145.25866666666667</v>
          </cell>
          <cell r="Y243">
            <v>100.22533333333334</v>
          </cell>
          <cell r="AP243">
            <v>2737.551833476</v>
          </cell>
          <cell r="AQ243" t="e">
            <v>#REF!</v>
          </cell>
        </row>
        <row r="244">
          <cell r="C244">
            <v>1653</v>
          </cell>
          <cell r="N244">
            <v>0</v>
          </cell>
          <cell r="Q244">
            <v>113.33333333333334</v>
          </cell>
          <cell r="T244">
            <v>48.626666666666665</v>
          </cell>
          <cell r="Y244">
            <v>65.784000000000006</v>
          </cell>
          <cell r="AP244">
            <v>1929.3412082354907</v>
          </cell>
          <cell r="AQ244" t="e">
            <v>#REF!</v>
          </cell>
        </row>
        <row r="245">
          <cell r="AQ245" t="e">
            <v>#REF!</v>
          </cell>
        </row>
        <row r="246">
          <cell r="C246">
            <v>0</v>
          </cell>
          <cell r="N246">
            <v>0</v>
          </cell>
          <cell r="Q246">
            <v>0</v>
          </cell>
          <cell r="T246">
            <v>95.642666666666656</v>
          </cell>
          <cell r="Y246">
            <v>206.52799999999999</v>
          </cell>
          <cell r="AP246">
            <v>302.17066666666665</v>
          </cell>
          <cell r="AQ246" t="e">
            <v>#REF!</v>
          </cell>
        </row>
        <row r="247">
          <cell r="C247">
            <v>13</v>
          </cell>
          <cell r="N247">
            <v>157.33600000000001</v>
          </cell>
          <cell r="Q247">
            <v>9035.0240000000013</v>
          </cell>
          <cell r="T247">
            <v>0</v>
          </cell>
          <cell r="Y247">
            <v>0</v>
          </cell>
          <cell r="AP247">
            <v>10202.032000000001</v>
          </cell>
          <cell r="AQ247" t="e">
            <v>#REF!</v>
          </cell>
        </row>
        <row r="248">
          <cell r="C248">
            <v>0</v>
          </cell>
          <cell r="N248">
            <v>0</v>
          </cell>
          <cell r="Q248">
            <v>0</v>
          </cell>
          <cell r="T248">
            <v>0</v>
          </cell>
          <cell r="Y248">
            <v>0</v>
          </cell>
          <cell r="AP248">
            <v>658.33066666666662</v>
          </cell>
          <cell r="AQ248" t="e">
            <v>#REF!</v>
          </cell>
        </row>
        <row r="249">
          <cell r="C249">
            <v>988</v>
          </cell>
          <cell r="N249">
            <v>0</v>
          </cell>
          <cell r="Q249">
            <v>0</v>
          </cell>
          <cell r="T249">
            <v>0</v>
          </cell>
          <cell r="Y249">
            <v>0</v>
          </cell>
          <cell r="AP249">
            <v>988</v>
          </cell>
          <cell r="AQ249" t="e">
            <v>#REF!</v>
          </cell>
        </row>
        <row r="250">
          <cell r="C250">
            <v>0</v>
          </cell>
          <cell r="N250">
            <v>0.20800000000000018</v>
          </cell>
          <cell r="Q250">
            <v>0.76399999999998158</v>
          </cell>
          <cell r="T250">
            <v>-0.42800000000000082</v>
          </cell>
          <cell r="Y250">
            <v>6.799999999999784E-2</v>
          </cell>
          <cell r="AP250" t="e">
            <v>#REF!</v>
          </cell>
          <cell r="AQ250" t="e">
            <v>#REF!</v>
          </cell>
        </row>
        <row r="251">
          <cell r="C251">
            <v>0</v>
          </cell>
          <cell r="N251">
            <v>0.19200000000000017</v>
          </cell>
          <cell r="Q251">
            <v>-0.32000000000000028</v>
          </cell>
          <cell r="T251">
            <v>-0.3360000000000003</v>
          </cell>
          <cell r="Y251">
            <v>0.28000000000000114</v>
          </cell>
          <cell r="AP251" t="e">
            <v>#REF!</v>
          </cell>
          <cell r="AQ251" t="e">
            <v>#REF!</v>
          </cell>
        </row>
        <row r="252">
          <cell r="C252" t="e">
            <v>#REF!</v>
          </cell>
          <cell r="N252" t="e">
            <v>#REF!</v>
          </cell>
          <cell r="Q252">
            <v>4368.9655151515171</v>
          </cell>
          <cell r="T252">
            <v>2996.5510909091154</v>
          </cell>
          <cell r="Y252" t="e">
            <v>#REF!</v>
          </cell>
          <cell r="AP252" t="e">
            <v>#REF!</v>
          </cell>
          <cell r="AQ252" t="e">
            <v>#REF!</v>
          </cell>
        </row>
        <row r="253">
          <cell r="Q253">
            <v>541</v>
          </cell>
          <cell r="T253">
            <v>480</v>
          </cell>
          <cell r="Y253">
            <v>44</v>
          </cell>
          <cell r="AP253">
            <v>524</v>
          </cell>
          <cell r="AQ253" t="e">
            <v>#REF!</v>
          </cell>
        </row>
        <row r="293">
          <cell r="T293" t="str">
            <v>Собівартість</v>
          </cell>
        </row>
        <row r="294">
          <cell r="V294">
            <v>-25</v>
          </cell>
        </row>
        <row r="295">
          <cell r="V295">
            <v>-1.375</v>
          </cell>
        </row>
        <row r="296">
          <cell r="V296">
            <v>-8</v>
          </cell>
        </row>
        <row r="297">
          <cell r="V297">
            <v>-2.1590909090909096</v>
          </cell>
        </row>
        <row r="303">
          <cell r="T303" t="str">
            <v>ФМЗ ( з відрахуван)</v>
          </cell>
          <cell r="V303">
            <v>25</v>
          </cell>
        </row>
      </sheetData>
      <sheetData sheetId="39" refreshError="1">
        <row r="16">
          <cell r="AP16" t="str">
            <v>ЗАТВЕРДЖУЮ</v>
          </cell>
        </row>
        <row r="17">
          <cell r="C17" t="str">
            <v>І.В.ПЛАЧКОВ</v>
          </cell>
          <cell r="AP17" t="str">
            <v>ГОЛОВА ПРАЛІННЯ АК КЕ</v>
          </cell>
        </row>
        <row r="22">
          <cell r="AV22" t="str">
            <v>І.В.ПЛАЧКОВ</v>
          </cell>
        </row>
        <row r="29">
          <cell r="N29" t="str">
            <v>+</v>
          </cell>
          <cell r="O29" t="str">
            <v>+</v>
          </cell>
          <cell r="Q29" t="str">
            <v>+</v>
          </cell>
          <cell r="T29" t="str">
            <v>+</v>
          </cell>
          <cell r="Y29" t="str">
            <v>+</v>
          </cell>
          <cell r="AD29" t="str">
            <v>+</v>
          </cell>
          <cell r="AE29" t="str">
            <v>+</v>
          </cell>
          <cell r="AF29" t="str">
            <v>+</v>
          </cell>
        </row>
        <row r="30">
          <cell r="C30" t="str">
            <v>ВИКОН.ДИР.ПЛАН</v>
          </cell>
          <cell r="D30" t="str">
            <v>Е/Е</v>
          </cell>
          <cell r="E30" t="str">
            <v xml:space="preserve"> Т/Е</v>
          </cell>
          <cell r="N30" t="str">
            <v xml:space="preserve">ККМ ПЛАН </v>
          </cell>
          <cell r="O30" t="str">
            <v>ЗВІТ</v>
          </cell>
          <cell r="P30" t="str">
            <v>ВІДХ.</v>
          </cell>
          <cell r="Q30" t="str">
            <v>КТМ ПЛАН</v>
          </cell>
          <cell r="R30" t="str">
            <v>ЗВІТ</v>
          </cell>
          <cell r="S30" t="str">
            <v>ВІДХ.</v>
          </cell>
          <cell r="T30" t="str">
            <v>ТЕЦ-5   ПЛАН</v>
          </cell>
          <cell r="U30" t="str">
            <v>Е/Е</v>
          </cell>
          <cell r="V30" t="str">
            <v xml:space="preserve"> Т/Е</v>
          </cell>
          <cell r="W30" t="str">
            <v>ЗВІТ</v>
          </cell>
          <cell r="X30" t="str">
            <v>ВІДХ.</v>
          </cell>
          <cell r="Y30" t="str">
            <v>ТЕЦ-6  ПЛАН</v>
          </cell>
          <cell r="Z30" t="str">
            <v>Е/Е</v>
          </cell>
          <cell r="AA30" t="str">
            <v xml:space="preserve"> Т/Е</v>
          </cell>
          <cell r="AB30" t="str">
            <v>ЗВІТ</v>
          </cell>
          <cell r="AC30" t="str">
            <v>ВІДХ.</v>
          </cell>
          <cell r="AD30" t="str">
            <v>ТРМ ВСЬОГО ПЛАН</v>
          </cell>
          <cell r="AE30" t="str">
            <v>ТРМ АК ПЛАН</v>
          </cell>
          <cell r="AF30" t="str">
            <v>ТРМ СТОР  ПЛАН</v>
          </cell>
          <cell r="AG30" t="str">
            <v>ТРМ ВСЬОГО ЗВІТ</v>
          </cell>
          <cell r="AH30" t="str">
            <v>ТРМ АК ЗВІТ</v>
          </cell>
          <cell r="AI30" t="str">
            <v>ТРМ СТОР  ЗВІТ</v>
          </cell>
          <cell r="AJ30" t="str">
            <v>відх всього</v>
          </cell>
          <cell r="AK30" t="str">
            <v>Е/Е</v>
          </cell>
          <cell r="AL30" t="str">
            <v xml:space="preserve"> Т/Е</v>
          </cell>
          <cell r="AN30" t="str">
            <v>ДОП.ВИР. ПЛАН</v>
          </cell>
          <cell r="AO30" t="str">
            <v>ЗВІТ</v>
          </cell>
          <cell r="AP30" t="str">
            <v>АК КЕ  ПЛАН</v>
          </cell>
          <cell r="AQ30" t="str">
            <v xml:space="preserve"> Е/Е</v>
          </cell>
          <cell r="AR30" t="str">
            <v xml:space="preserve"> Т/Е</v>
          </cell>
          <cell r="AS30" t="str">
            <v>ЗВІТ</v>
          </cell>
          <cell r="AT30" t="str">
            <v>відх</v>
          </cell>
          <cell r="AU30" t="str">
            <v>СТАНЦІї ЕЛЕКТРО</v>
          </cell>
          <cell r="AV30" t="str">
            <v>СТАНЦІІ ТЕПЛОВІ</v>
          </cell>
          <cell r="AW30" t="str">
            <v>МЕРЕЖІ ЕЛЕКТРО</v>
          </cell>
          <cell r="AX30" t="str">
            <v>МЕРЕЖІ ТЕПЛОВІ</v>
          </cell>
        </row>
        <row r="31">
          <cell r="U31">
            <v>330</v>
          </cell>
          <cell r="Z31">
            <v>298</v>
          </cell>
          <cell r="AQ31">
            <v>628</v>
          </cell>
        </row>
        <row r="32">
          <cell r="U32">
            <v>291.85000000000002</v>
          </cell>
          <cell r="Z32">
            <v>268.14999999999998</v>
          </cell>
          <cell r="AQ32">
            <v>560</v>
          </cell>
        </row>
        <row r="33">
          <cell r="AQ33">
            <v>0</v>
          </cell>
        </row>
        <row r="34">
          <cell r="AQ34">
            <v>0</v>
          </cell>
        </row>
        <row r="35">
          <cell r="AQ35">
            <v>32</v>
          </cell>
        </row>
        <row r="36">
          <cell r="AQ36">
            <v>0</v>
          </cell>
        </row>
        <row r="37">
          <cell r="AQ37">
            <v>500</v>
          </cell>
        </row>
        <row r="38">
          <cell r="N38">
            <v>0</v>
          </cell>
          <cell r="AQ38">
            <v>468</v>
          </cell>
        </row>
        <row r="39">
          <cell r="C39" t="e">
            <v>#REF!</v>
          </cell>
          <cell r="N39">
            <v>25153.006727272728</v>
          </cell>
          <cell r="O39">
            <v>23770</v>
          </cell>
          <cell r="P39">
            <v>-1383.0067272727283</v>
          </cell>
          <cell r="Q39">
            <v>70908</v>
          </cell>
          <cell r="R39">
            <v>68863</v>
          </cell>
          <cell r="S39">
            <v>-2045</v>
          </cell>
          <cell r="T39">
            <v>24169.194848484854</v>
          </cell>
          <cell r="W39">
            <v>23055</v>
          </cell>
          <cell r="X39">
            <v>-1114.1948484848544</v>
          </cell>
          <cell r="Y39">
            <v>15818.40496969693</v>
          </cell>
          <cell r="Z39">
            <v>7534</v>
          </cell>
          <cell r="AA39">
            <v>7894.1236363636372</v>
          </cell>
          <cell r="AB39">
            <v>5452</v>
          </cell>
          <cell r="AC39">
            <v>-10366.40496969693</v>
          </cell>
          <cell r="AD39">
            <v>35536.355939393943</v>
          </cell>
          <cell r="AE39">
            <v>29017.047090909095</v>
          </cell>
          <cell r="AF39">
            <v>6518.3088484848477</v>
          </cell>
          <cell r="AG39">
            <v>8513</v>
          </cell>
          <cell r="AH39">
            <v>6481</v>
          </cell>
          <cell r="AI39">
            <v>2032</v>
          </cell>
          <cell r="AJ39">
            <v>-27023.355939393943</v>
          </cell>
          <cell r="AN39" t="e">
            <v>#REF!</v>
          </cell>
        </row>
        <row r="40">
          <cell r="C40">
            <v>14127.593999999997</v>
          </cell>
        </row>
        <row r="41">
          <cell r="C41">
            <v>1767.5940000000001</v>
          </cell>
          <cell r="D41">
            <v>443</v>
          </cell>
          <cell r="E41">
            <v>1324.5940000000001</v>
          </cell>
          <cell r="N41">
            <v>7954.272727272727</v>
          </cell>
          <cell r="Q41">
            <v>16866.860909090909</v>
          </cell>
          <cell r="T41">
            <v>6313.227272727273</v>
          </cell>
          <cell r="U41">
            <v>3221</v>
          </cell>
          <cell r="V41">
            <v>3092.227272727273</v>
          </cell>
          <cell r="Y41">
            <v>5089.647272727273</v>
          </cell>
          <cell r="Z41">
            <v>2495</v>
          </cell>
          <cell r="AA41">
            <v>2594.647272727273</v>
          </cell>
          <cell r="AE41">
            <v>13500.136363636364</v>
          </cell>
          <cell r="AG41">
            <v>4464</v>
          </cell>
          <cell r="AH41">
            <v>3202</v>
          </cell>
          <cell r="AN41" t="e">
            <v>#REF!</v>
          </cell>
          <cell r="AR41">
            <v>5686.874545454546</v>
          </cell>
        </row>
        <row r="42">
          <cell r="Q42">
            <v>970</v>
          </cell>
          <cell r="V42">
            <v>750</v>
          </cell>
          <cell r="AA42">
            <v>590</v>
          </cell>
          <cell r="AR42">
            <v>2095</v>
          </cell>
        </row>
        <row r="46">
          <cell r="C46">
            <v>2167</v>
          </cell>
          <cell r="D46">
            <v>327</v>
          </cell>
          <cell r="E46">
            <v>1840</v>
          </cell>
          <cell r="N46">
            <v>3382.404</v>
          </cell>
          <cell r="O46">
            <v>3054</v>
          </cell>
          <cell r="P46">
            <v>-328.404</v>
          </cell>
          <cell r="Q46">
            <v>7025.9493333333339</v>
          </cell>
          <cell r="R46">
            <v>6922</v>
          </cell>
          <cell r="S46">
            <v>-103.94933333333393</v>
          </cell>
          <cell r="T46">
            <v>1618.6879999999999</v>
          </cell>
          <cell r="U46">
            <v>834</v>
          </cell>
          <cell r="V46">
            <v>784.68799999999987</v>
          </cell>
          <cell r="W46">
            <v>1577</v>
          </cell>
          <cell r="X46">
            <v>-41.687999999999874</v>
          </cell>
          <cell r="Y46">
            <v>1529.3940000000002</v>
          </cell>
          <cell r="Z46">
            <v>784</v>
          </cell>
          <cell r="AA46">
            <v>745.39400000000023</v>
          </cell>
          <cell r="AB46">
            <v>400</v>
          </cell>
          <cell r="AC46">
            <v>-1129.3940000000002</v>
          </cell>
          <cell r="AD46">
            <v>3811.058</v>
          </cell>
          <cell r="AE46">
            <v>3232.9300000000003</v>
          </cell>
          <cell r="AF46">
            <v>578.1279999999997</v>
          </cell>
          <cell r="AG46">
            <v>1087</v>
          </cell>
          <cell r="AH46">
            <v>292</v>
          </cell>
          <cell r="AI46">
            <v>134</v>
          </cell>
          <cell r="AJ46">
            <v>-2724.058</v>
          </cell>
          <cell r="AN46">
            <v>0</v>
          </cell>
          <cell r="AP46">
            <v>19210.085333333336</v>
          </cell>
          <cell r="AQ46">
            <v>5506.0039999999999</v>
          </cell>
          <cell r="AR46">
            <v>13704.081333333335</v>
          </cell>
          <cell r="AS46">
            <v>12245</v>
          </cell>
          <cell r="AT46">
            <v>-6965.0853333333362</v>
          </cell>
          <cell r="AU46">
            <v>1618</v>
          </cell>
          <cell r="AV46">
            <v>3919</v>
          </cell>
          <cell r="AW46">
            <v>3888.0039999999999</v>
          </cell>
          <cell r="AX46">
            <v>9785.0813333333354</v>
          </cell>
        </row>
        <row r="47">
          <cell r="C47">
            <v>388</v>
          </cell>
          <cell r="E47">
            <v>388</v>
          </cell>
          <cell r="N47">
            <v>3127</v>
          </cell>
          <cell r="O47">
            <v>2823</v>
          </cell>
          <cell r="Q47">
            <v>5703</v>
          </cell>
          <cell r="R47">
            <v>5677</v>
          </cell>
          <cell r="T47">
            <v>797.25866666666661</v>
          </cell>
          <cell r="U47">
            <v>428</v>
          </cell>
          <cell r="V47">
            <v>369.25866666666661</v>
          </cell>
          <cell r="W47">
            <v>885</v>
          </cell>
          <cell r="Y47">
            <v>632.22533333333331</v>
          </cell>
          <cell r="Z47">
            <v>325</v>
          </cell>
          <cell r="AA47">
            <v>307.22533333333331</v>
          </cell>
          <cell r="AC47">
            <v>-632.22533333333331</v>
          </cell>
          <cell r="AD47">
            <v>3156.1707200000001</v>
          </cell>
          <cell r="AE47">
            <v>2874.8825001426667</v>
          </cell>
          <cell r="AP47">
            <v>13522.366500142667</v>
          </cell>
        </row>
        <row r="48">
          <cell r="C48">
            <v>0</v>
          </cell>
          <cell r="E48">
            <v>0</v>
          </cell>
          <cell r="N48">
            <v>1</v>
          </cell>
          <cell r="O48">
            <v>0.2</v>
          </cell>
          <cell r="Q48">
            <v>0</v>
          </cell>
          <cell r="T48">
            <v>118.19266666666665</v>
          </cell>
          <cell r="U48">
            <v>51</v>
          </cell>
          <cell r="V48">
            <v>67.192666666666653</v>
          </cell>
          <cell r="W48">
            <v>27</v>
          </cell>
          <cell r="Y48">
            <v>-46.472000000000008</v>
          </cell>
          <cell r="Z48">
            <v>-136</v>
          </cell>
          <cell r="AA48">
            <v>89.527999999999992</v>
          </cell>
          <cell r="AC48">
            <v>46.472000000000008</v>
          </cell>
          <cell r="AD48">
            <v>0</v>
          </cell>
          <cell r="AE48">
            <v>0</v>
          </cell>
          <cell r="AP48">
            <v>72.720666666666645</v>
          </cell>
        </row>
        <row r="49">
          <cell r="C49">
            <v>1661</v>
          </cell>
          <cell r="E49">
            <v>1661</v>
          </cell>
          <cell r="N49">
            <v>46</v>
          </cell>
          <cell r="O49">
            <v>25.7</v>
          </cell>
          <cell r="Q49">
            <v>900</v>
          </cell>
          <cell r="R49">
            <v>619</v>
          </cell>
          <cell r="T49">
            <v>343.62666666666667</v>
          </cell>
          <cell r="U49">
            <v>186</v>
          </cell>
          <cell r="V49">
            <v>157.62666666666667</v>
          </cell>
          <cell r="W49">
            <v>84</v>
          </cell>
          <cell r="Y49">
            <v>323.78399999999999</v>
          </cell>
          <cell r="Z49">
            <v>187</v>
          </cell>
          <cell r="AA49">
            <v>136.78399999999999</v>
          </cell>
          <cell r="AC49">
            <v>-323.78399999999999</v>
          </cell>
          <cell r="AD49">
            <v>178.34026666666668</v>
          </cell>
          <cell r="AE49">
            <v>152.19720823549071</v>
          </cell>
          <cell r="AP49">
            <v>3426.6078749021572</v>
          </cell>
        </row>
        <row r="50">
          <cell r="C50">
            <v>6</v>
          </cell>
          <cell r="D50">
            <v>2</v>
          </cell>
          <cell r="E50">
            <v>4</v>
          </cell>
          <cell r="N50">
            <v>353.92400000000004</v>
          </cell>
          <cell r="O50">
            <v>251</v>
          </cell>
          <cell r="P50">
            <v>-102.92400000000004</v>
          </cell>
          <cell r="Q50">
            <v>3466.5013333333336</v>
          </cell>
          <cell r="R50">
            <v>3246</v>
          </cell>
          <cell r="S50">
            <v>-220.5013333333336</v>
          </cell>
          <cell r="T50">
            <v>7231.4773333333324</v>
          </cell>
          <cell r="U50">
            <v>3806</v>
          </cell>
          <cell r="V50">
            <v>3425.4773333333324</v>
          </cell>
          <cell r="W50">
            <v>6765</v>
          </cell>
          <cell r="X50">
            <v>-466.47733333333235</v>
          </cell>
          <cell r="Y50">
            <v>707.97400000000005</v>
          </cell>
          <cell r="Z50">
            <v>347</v>
          </cell>
          <cell r="AA50">
            <v>360.97400000000005</v>
          </cell>
          <cell r="AB50">
            <v>292</v>
          </cell>
          <cell r="AC50">
            <v>-415.97400000000005</v>
          </cell>
          <cell r="AD50">
            <v>1535.6239999999998</v>
          </cell>
          <cell r="AE50">
            <v>1117.72</v>
          </cell>
          <cell r="AF50">
            <v>417.90399999999977</v>
          </cell>
          <cell r="AG50">
            <v>288</v>
          </cell>
          <cell r="AH50">
            <v>601</v>
          </cell>
          <cell r="AI50">
            <v>56</v>
          </cell>
          <cell r="AJ50">
            <v>-1247.6239999999998</v>
          </cell>
          <cell r="AN50">
            <v>0</v>
          </cell>
          <cell r="AP50">
            <v>12844.996666666666</v>
          </cell>
          <cell r="AQ50">
            <v>4514.3239999999996</v>
          </cell>
          <cell r="AR50">
            <v>8330.6726666666655</v>
          </cell>
          <cell r="AS50">
            <v>11155</v>
          </cell>
          <cell r="AT50">
            <v>-1689.996666666666</v>
          </cell>
          <cell r="AU50">
            <v>4153</v>
          </cell>
          <cell r="AV50">
            <v>4965</v>
          </cell>
          <cell r="AW50">
            <v>361.32399999999961</v>
          </cell>
          <cell r="AX50">
            <v>3365.6726666666655</v>
          </cell>
        </row>
        <row r="51">
          <cell r="C51">
            <v>0</v>
          </cell>
          <cell r="D51">
            <v>0</v>
          </cell>
          <cell r="E51">
            <v>0</v>
          </cell>
          <cell r="N51">
            <v>0</v>
          </cell>
          <cell r="P51">
            <v>0</v>
          </cell>
          <cell r="Q51">
            <v>135.46666666666667</v>
          </cell>
          <cell r="R51">
            <v>92</v>
          </cell>
          <cell r="S51">
            <v>-43.466666666666669</v>
          </cell>
          <cell r="T51">
            <v>6152.4000000000005</v>
          </cell>
          <cell r="U51">
            <v>3230</v>
          </cell>
          <cell r="V51">
            <v>2922.4000000000005</v>
          </cell>
          <cell r="W51">
            <v>5900</v>
          </cell>
          <cell r="X51">
            <v>-252.40000000000055</v>
          </cell>
          <cell r="Y51">
            <v>118.19999999999999</v>
          </cell>
          <cell r="Z51">
            <v>57</v>
          </cell>
          <cell r="AA51">
            <v>61.199999999999989</v>
          </cell>
          <cell r="AB51">
            <v>20</v>
          </cell>
          <cell r="AC51">
            <v>-98.199999999999989</v>
          </cell>
          <cell r="AD51">
            <v>5</v>
          </cell>
          <cell r="AE51">
            <v>4</v>
          </cell>
          <cell r="AF51">
            <v>1</v>
          </cell>
          <cell r="AI51">
            <v>0</v>
          </cell>
          <cell r="AJ51">
            <v>-5</v>
          </cell>
          <cell r="AP51">
            <v>6410.0666666666666</v>
          </cell>
          <cell r="AQ51">
            <v>3287</v>
          </cell>
          <cell r="AR51">
            <v>3123.0666666666666</v>
          </cell>
          <cell r="AS51">
            <v>6012</v>
          </cell>
          <cell r="AT51">
            <v>-398.06666666666661</v>
          </cell>
          <cell r="AU51">
            <v>3287</v>
          </cell>
          <cell r="AV51">
            <v>3030</v>
          </cell>
          <cell r="AW51">
            <v>0</v>
          </cell>
          <cell r="AX51">
            <v>93.066666666666606</v>
          </cell>
        </row>
        <row r="52">
          <cell r="C52">
            <v>0</v>
          </cell>
          <cell r="D52">
            <v>0</v>
          </cell>
          <cell r="E52">
            <v>0</v>
          </cell>
          <cell r="N52">
            <v>0</v>
          </cell>
          <cell r="P52">
            <v>0</v>
          </cell>
          <cell r="Q52">
            <v>74138</v>
          </cell>
          <cell r="R52">
            <v>81135</v>
          </cell>
          <cell r="S52">
            <v>6997</v>
          </cell>
          <cell r="T52">
            <v>186578</v>
          </cell>
          <cell r="U52">
            <v>108806.34756097561</v>
          </cell>
          <cell r="V52">
            <v>77771.652439024387</v>
          </cell>
          <cell r="W52">
            <v>154257</v>
          </cell>
          <cell r="X52">
            <v>-32321</v>
          </cell>
          <cell r="Y52">
            <v>157568</v>
          </cell>
          <cell r="Z52">
            <v>86757.750161952048</v>
          </cell>
          <cell r="AA52">
            <v>70810.249838047952</v>
          </cell>
          <cell r="AB52">
            <v>76301</v>
          </cell>
          <cell r="AC52">
            <v>-81267</v>
          </cell>
          <cell r="AD52">
            <v>0</v>
          </cell>
          <cell r="AE52">
            <v>0</v>
          </cell>
          <cell r="AF52">
            <v>0</v>
          </cell>
          <cell r="AI52">
            <v>0</v>
          </cell>
          <cell r="AJ52">
            <v>0</v>
          </cell>
          <cell r="AN52">
            <v>0</v>
          </cell>
          <cell r="AP52">
            <v>418285</v>
          </cell>
          <cell r="AQ52">
            <v>195565.09772292766</v>
          </cell>
          <cell r="AR52">
            <v>222719.90227707234</v>
          </cell>
          <cell r="AS52">
            <v>311693</v>
          </cell>
          <cell r="AT52">
            <v>-106592</v>
          </cell>
          <cell r="AU52">
            <v>195564.09772292766</v>
          </cell>
          <cell r="AV52">
            <v>222720</v>
          </cell>
          <cell r="AW52">
            <v>1</v>
          </cell>
          <cell r="AX52">
            <v>-9.7722927661379799E-2</v>
          </cell>
        </row>
        <row r="53">
          <cell r="C53">
            <v>0</v>
          </cell>
          <cell r="D53">
            <v>0</v>
          </cell>
          <cell r="E53">
            <v>0</v>
          </cell>
          <cell r="N53">
            <v>0</v>
          </cell>
          <cell r="P53">
            <v>0</v>
          </cell>
          <cell r="Q53">
            <v>74138</v>
          </cell>
          <cell r="R53">
            <v>81135</v>
          </cell>
          <cell r="S53">
            <v>6997</v>
          </cell>
          <cell r="T53">
            <v>186578</v>
          </cell>
          <cell r="U53">
            <v>108806.34756097561</v>
          </cell>
          <cell r="V53">
            <v>77771.652439024387</v>
          </cell>
          <cell r="W53">
            <v>157257</v>
          </cell>
          <cell r="X53">
            <v>-29321</v>
          </cell>
          <cell r="Y53">
            <v>157568</v>
          </cell>
          <cell r="Z53">
            <v>86757.750161952048</v>
          </cell>
          <cell r="AA53">
            <v>70810.249838047952</v>
          </cell>
          <cell r="AB53">
            <v>46301</v>
          </cell>
          <cell r="AC53">
            <v>-111267</v>
          </cell>
          <cell r="AD53">
            <v>0</v>
          </cell>
          <cell r="AE53">
            <v>0</v>
          </cell>
          <cell r="AF53">
            <v>0</v>
          </cell>
          <cell r="AI53">
            <v>0</v>
          </cell>
          <cell r="AJ53">
            <v>0</v>
          </cell>
          <cell r="AP53">
            <v>418284</v>
          </cell>
          <cell r="AQ53">
            <v>195564.09772292766</v>
          </cell>
          <cell r="AR53">
            <v>222719.90227707234</v>
          </cell>
          <cell r="AS53">
            <v>284693</v>
          </cell>
          <cell r="AT53">
            <v>-133591</v>
          </cell>
          <cell r="AU53">
            <v>195564.09772292766</v>
          </cell>
          <cell r="AV53">
            <v>222720</v>
          </cell>
          <cell r="AW53">
            <v>0</v>
          </cell>
          <cell r="AX53">
            <v>-9.7722927661379799E-2</v>
          </cell>
        </row>
        <row r="54">
          <cell r="C54">
            <v>0</v>
          </cell>
          <cell r="D54">
            <v>0</v>
          </cell>
          <cell r="E54">
            <v>0</v>
          </cell>
          <cell r="N54">
            <v>0</v>
          </cell>
          <cell r="P54">
            <v>0</v>
          </cell>
          <cell r="Q54">
            <v>0</v>
          </cell>
          <cell r="S54">
            <v>0</v>
          </cell>
          <cell r="T54">
            <v>0</v>
          </cell>
          <cell r="U54">
            <v>0</v>
          </cell>
          <cell r="Y54">
            <v>0</v>
          </cell>
          <cell r="Z54">
            <v>0</v>
          </cell>
          <cell r="AA54">
            <v>0</v>
          </cell>
          <cell r="AD54">
            <v>0</v>
          </cell>
          <cell r="AE54">
            <v>0</v>
          </cell>
          <cell r="AS54">
            <v>0</v>
          </cell>
          <cell r="AT54">
            <v>0</v>
          </cell>
          <cell r="AV54">
            <v>0</v>
          </cell>
        </row>
        <row r="55">
          <cell r="C55">
            <v>7</v>
          </cell>
          <cell r="D55">
            <v>6</v>
          </cell>
          <cell r="E55">
            <v>1</v>
          </cell>
          <cell r="N55">
            <v>259.286</v>
          </cell>
          <cell r="O55">
            <v>252</v>
          </cell>
          <cell r="P55">
            <v>-7.2860000000000014</v>
          </cell>
          <cell r="Q55">
            <v>12306.890666666668</v>
          </cell>
          <cell r="R55">
            <v>12691</v>
          </cell>
          <cell r="S55">
            <v>384.10933333333196</v>
          </cell>
          <cell r="T55">
            <v>0</v>
          </cell>
          <cell r="U55">
            <v>0</v>
          </cell>
          <cell r="V55">
            <v>0</v>
          </cell>
          <cell r="X55">
            <v>0</v>
          </cell>
          <cell r="Y55">
            <v>0</v>
          </cell>
          <cell r="Z55">
            <v>0</v>
          </cell>
          <cell r="AA55">
            <v>0</v>
          </cell>
          <cell r="AB55">
            <v>0</v>
          </cell>
          <cell r="AC55">
            <v>0</v>
          </cell>
          <cell r="AD55">
            <v>6167.1900000000005</v>
          </cell>
          <cell r="AE55">
            <v>2542.672</v>
          </cell>
          <cell r="AF55">
            <v>3624.5180000000005</v>
          </cell>
          <cell r="AG55">
            <v>809</v>
          </cell>
          <cell r="AH55">
            <v>810</v>
          </cell>
          <cell r="AI55">
            <v>1225</v>
          </cell>
          <cell r="AJ55">
            <v>-5358.1900000000005</v>
          </cell>
          <cell r="AN55">
            <v>0</v>
          </cell>
          <cell r="AP55">
            <v>15115.848666666669</v>
          </cell>
          <cell r="AQ55">
            <v>265.286</v>
          </cell>
          <cell r="AR55">
            <v>14850.562666666669</v>
          </cell>
          <cell r="AS55">
            <v>13752</v>
          </cell>
          <cell r="AT55">
            <v>-1363.8486666666686</v>
          </cell>
          <cell r="AU55">
            <v>0</v>
          </cell>
          <cell r="AV55">
            <v>4184</v>
          </cell>
          <cell r="AW55">
            <v>265.286</v>
          </cell>
          <cell r="AX55">
            <v>10666.562666666669</v>
          </cell>
        </row>
        <row r="56">
          <cell r="C56">
            <v>1285.5940000000001</v>
          </cell>
          <cell r="D56">
            <v>310</v>
          </cell>
          <cell r="E56">
            <v>975.59400000000005</v>
          </cell>
          <cell r="N56">
            <v>4867.939393939394</v>
          </cell>
          <cell r="O56">
            <v>4618</v>
          </cell>
          <cell r="P56">
            <v>-249.93939393939399</v>
          </cell>
          <cell r="Q56">
            <v>8678.2245454545464</v>
          </cell>
          <cell r="R56">
            <v>8264</v>
          </cell>
          <cell r="S56">
            <v>-414.22454545454639</v>
          </cell>
          <cell r="T56">
            <v>2616.409090909091</v>
          </cell>
          <cell r="U56">
            <v>1300</v>
          </cell>
          <cell r="V56">
            <v>1316.409090909091</v>
          </cell>
          <cell r="W56">
            <v>2473</v>
          </cell>
          <cell r="X56">
            <v>-143.40909090909099</v>
          </cell>
          <cell r="Y56">
            <v>2415.2836363636366</v>
          </cell>
          <cell r="Z56">
            <v>1178</v>
          </cell>
          <cell r="AA56">
            <v>1237.2836363636366</v>
          </cell>
          <cell r="AB56">
            <v>662</v>
          </cell>
          <cell r="AC56">
            <v>-1753.2836363636366</v>
          </cell>
          <cell r="AD56">
            <v>9455.8336363636354</v>
          </cell>
          <cell r="AE56">
            <v>8350.045454545454</v>
          </cell>
          <cell r="AF56">
            <v>1105.7881818181813</v>
          </cell>
          <cell r="AG56">
            <v>2563</v>
          </cell>
          <cell r="AH56">
            <v>1747</v>
          </cell>
          <cell r="AI56">
            <v>306</v>
          </cell>
          <cell r="AJ56">
            <v>-6892.8336363636354</v>
          </cell>
          <cell r="AN56">
            <v>0</v>
          </cell>
          <cell r="AP56">
            <v>28984.496121212127</v>
          </cell>
          <cell r="AQ56">
            <v>8164.757575757576</v>
          </cell>
          <cell r="AR56">
            <v>20819.738545454551</v>
          </cell>
          <cell r="AS56">
            <v>17764</v>
          </cell>
          <cell r="AT56">
            <v>-11220.496121212127</v>
          </cell>
          <cell r="AU56">
            <v>2478</v>
          </cell>
          <cell r="AV56">
            <v>5504</v>
          </cell>
          <cell r="AW56">
            <v>5686.757575757576</v>
          </cell>
          <cell r="AX56">
            <v>15315.738545454551</v>
          </cell>
        </row>
        <row r="57">
          <cell r="C57">
            <v>71</v>
          </cell>
          <cell r="D57">
            <v>16</v>
          </cell>
          <cell r="E57">
            <v>55</v>
          </cell>
          <cell r="N57">
            <v>269</v>
          </cell>
          <cell r="O57">
            <v>237</v>
          </cell>
          <cell r="P57">
            <v>-32</v>
          </cell>
          <cell r="Q57">
            <v>480</v>
          </cell>
          <cell r="R57">
            <v>444</v>
          </cell>
          <cell r="S57">
            <v>-36</v>
          </cell>
          <cell r="T57">
            <v>143</v>
          </cell>
          <cell r="U57">
            <v>71</v>
          </cell>
          <cell r="V57">
            <v>72</v>
          </cell>
          <cell r="W57">
            <v>123</v>
          </cell>
          <cell r="X57">
            <v>-20</v>
          </cell>
          <cell r="Y57">
            <v>132</v>
          </cell>
          <cell r="Z57">
            <v>65</v>
          </cell>
          <cell r="AA57">
            <v>67</v>
          </cell>
          <cell r="AB57">
            <v>35</v>
          </cell>
          <cell r="AC57">
            <v>-97</v>
          </cell>
          <cell r="AD57">
            <v>520</v>
          </cell>
          <cell r="AE57">
            <v>458</v>
          </cell>
          <cell r="AF57">
            <v>62</v>
          </cell>
          <cell r="AG57">
            <v>136</v>
          </cell>
          <cell r="AH57">
            <v>96</v>
          </cell>
          <cell r="AI57">
            <v>18</v>
          </cell>
          <cell r="AJ57">
            <v>-384</v>
          </cell>
          <cell r="AN57">
            <v>0</v>
          </cell>
          <cell r="AP57">
            <v>1596</v>
          </cell>
          <cell r="AQ57">
            <v>449</v>
          </cell>
          <cell r="AR57">
            <v>1147</v>
          </cell>
          <cell r="AS57">
            <v>935</v>
          </cell>
          <cell r="AT57">
            <v>-661</v>
          </cell>
          <cell r="AU57">
            <v>136</v>
          </cell>
          <cell r="AV57">
            <v>230</v>
          </cell>
          <cell r="AW57">
            <v>313</v>
          </cell>
          <cell r="AX57">
            <v>917</v>
          </cell>
        </row>
        <row r="58">
          <cell r="C58">
            <v>411</v>
          </cell>
          <cell r="D58">
            <v>117</v>
          </cell>
          <cell r="E58">
            <v>294</v>
          </cell>
          <cell r="N58">
            <v>1560</v>
          </cell>
          <cell r="O58">
            <v>1363</v>
          </cell>
          <cell r="P58">
            <v>-197</v>
          </cell>
          <cell r="Q58">
            <v>2778</v>
          </cell>
          <cell r="R58">
            <v>2397</v>
          </cell>
          <cell r="S58">
            <v>-381</v>
          </cell>
          <cell r="T58">
            <v>837</v>
          </cell>
          <cell r="U58">
            <v>415</v>
          </cell>
          <cell r="V58">
            <v>422</v>
          </cell>
          <cell r="W58">
            <v>718</v>
          </cell>
          <cell r="X58">
            <v>-119</v>
          </cell>
          <cell r="Y58">
            <v>771</v>
          </cell>
          <cell r="Z58">
            <v>378</v>
          </cell>
          <cell r="AA58">
            <v>393</v>
          </cell>
          <cell r="AB58">
            <v>205</v>
          </cell>
          <cell r="AC58">
            <v>-566</v>
          </cell>
          <cell r="AD58">
            <v>3026</v>
          </cell>
          <cell r="AE58">
            <v>2669</v>
          </cell>
          <cell r="AF58">
            <v>357</v>
          </cell>
          <cell r="AG58">
            <v>793</v>
          </cell>
          <cell r="AH58">
            <v>559</v>
          </cell>
          <cell r="AI58">
            <v>103</v>
          </cell>
          <cell r="AJ58">
            <v>-2233</v>
          </cell>
          <cell r="AN58">
            <v>0</v>
          </cell>
          <cell r="AP58">
            <v>9273</v>
          </cell>
          <cell r="AQ58">
            <v>2631</v>
          </cell>
          <cell r="AR58">
            <v>6642</v>
          </cell>
          <cell r="AS58">
            <v>5243</v>
          </cell>
          <cell r="AT58">
            <v>-4030</v>
          </cell>
          <cell r="AU58">
            <v>0</v>
          </cell>
          <cell r="AV58">
            <v>0</v>
          </cell>
          <cell r="AW58">
            <v>0</v>
          </cell>
          <cell r="AX58">
            <v>0</v>
          </cell>
        </row>
        <row r="59">
          <cell r="C59">
            <v>0</v>
          </cell>
          <cell r="D59">
            <v>0</v>
          </cell>
          <cell r="E59">
            <v>0</v>
          </cell>
          <cell r="N59">
            <v>0</v>
          </cell>
          <cell r="P59">
            <v>0</v>
          </cell>
          <cell r="Q59">
            <v>0</v>
          </cell>
          <cell r="S59">
            <v>0</v>
          </cell>
          <cell r="T59">
            <v>0</v>
          </cell>
          <cell r="U59">
            <v>0</v>
          </cell>
          <cell r="V59">
            <v>0</v>
          </cell>
          <cell r="X59">
            <v>0</v>
          </cell>
          <cell r="Y59">
            <v>0</v>
          </cell>
          <cell r="Z59">
            <v>0</v>
          </cell>
          <cell r="AA59">
            <v>0</v>
          </cell>
          <cell r="AC59">
            <v>0</v>
          </cell>
          <cell r="AD59">
            <v>0</v>
          </cell>
          <cell r="AE59">
            <v>0</v>
          </cell>
          <cell r="AF59">
            <v>0</v>
          </cell>
          <cell r="AI59">
            <v>0</v>
          </cell>
          <cell r="AJ59">
            <v>0</v>
          </cell>
          <cell r="AP59">
            <v>0</v>
          </cell>
          <cell r="AQ59">
            <v>0</v>
          </cell>
          <cell r="AR59">
            <v>0</v>
          </cell>
          <cell r="AS59">
            <v>0</v>
          </cell>
          <cell r="AT59">
            <v>0</v>
          </cell>
          <cell r="AU59">
            <v>0</v>
          </cell>
          <cell r="AV59">
            <v>0</v>
          </cell>
          <cell r="AW59">
            <v>0</v>
          </cell>
          <cell r="AX59">
            <v>0</v>
          </cell>
        </row>
        <row r="60">
          <cell r="C60">
            <v>237</v>
          </cell>
          <cell r="D60">
            <v>85</v>
          </cell>
          <cell r="E60">
            <v>152</v>
          </cell>
          <cell r="N60">
            <v>4622</v>
          </cell>
          <cell r="O60">
            <v>4632</v>
          </cell>
          <cell r="P60">
            <v>10</v>
          </cell>
          <cell r="Q60">
            <v>10004</v>
          </cell>
          <cell r="R60">
            <v>9952</v>
          </cell>
          <cell r="S60">
            <v>-52</v>
          </cell>
          <cell r="T60">
            <v>5387</v>
          </cell>
          <cell r="U60">
            <v>2648</v>
          </cell>
          <cell r="V60">
            <v>2739</v>
          </cell>
          <cell r="W60">
            <v>5386</v>
          </cell>
          <cell r="X60">
            <v>-1</v>
          </cell>
          <cell r="Y60">
            <v>5687.666666666667</v>
          </cell>
          <cell r="Z60">
            <v>2612</v>
          </cell>
          <cell r="AA60">
            <v>3075.666666666667</v>
          </cell>
          <cell r="AB60">
            <v>2209</v>
          </cell>
          <cell r="AC60">
            <v>-3478.666666666667</v>
          </cell>
          <cell r="AD60">
            <v>4881.666666666667</v>
          </cell>
          <cell r="AE60">
            <v>4679.3333333333339</v>
          </cell>
          <cell r="AF60">
            <v>202.33333333333303</v>
          </cell>
          <cell r="AG60">
            <v>1641</v>
          </cell>
          <cell r="AH60">
            <v>1265</v>
          </cell>
          <cell r="AI60">
            <v>155</v>
          </cell>
          <cell r="AJ60">
            <v>-3240.666666666667</v>
          </cell>
          <cell r="AN60">
            <v>0</v>
          </cell>
          <cell r="AP60">
            <v>30593</v>
          </cell>
          <cell r="AQ60">
            <v>9995</v>
          </cell>
          <cell r="AR60">
            <v>20598</v>
          </cell>
          <cell r="AS60">
            <v>23444</v>
          </cell>
          <cell r="AT60">
            <v>-7149</v>
          </cell>
          <cell r="AU60">
            <v>5260</v>
          </cell>
          <cell r="AV60">
            <v>9216</v>
          </cell>
          <cell r="AW60">
            <v>4735</v>
          </cell>
          <cell r="AX60">
            <v>11382</v>
          </cell>
        </row>
        <row r="61">
          <cell r="C61">
            <v>0</v>
          </cell>
          <cell r="D61">
            <v>0</v>
          </cell>
          <cell r="E61">
            <v>0</v>
          </cell>
          <cell r="N61">
            <v>0</v>
          </cell>
          <cell r="P61">
            <v>0</v>
          </cell>
          <cell r="Q61">
            <v>0</v>
          </cell>
          <cell r="S61">
            <v>0</v>
          </cell>
          <cell r="T61">
            <v>0</v>
          </cell>
          <cell r="U61">
            <v>0</v>
          </cell>
          <cell r="X61">
            <v>0</v>
          </cell>
          <cell r="Y61">
            <v>0</v>
          </cell>
          <cell r="Z61">
            <v>0</v>
          </cell>
          <cell r="AA61">
            <v>0</v>
          </cell>
          <cell r="AC61">
            <v>0</v>
          </cell>
          <cell r="AD61">
            <v>0</v>
          </cell>
          <cell r="AE61">
            <v>0</v>
          </cell>
          <cell r="AF61">
            <v>0</v>
          </cell>
          <cell r="AG61">
            <v>0</v>
          </cell>
          <cell r="AH61">
            <v>126</v>
          </cell>
          <cell r="AI61">
            <v>0</v>
          </cell>
          <cell r="AJ61">
            <v>0</v>
          </cell>
          <cell r="AP61">
            <v>0</v>
          </cell>
          <cell r="AS61">
            <v>126</v>
          </cell>
          <cell r="AT61">
            <v>126</v>
          </cell>
        </row>
        <row r="62">
          <cell r="C62">
            <v>252</v>
          </cell>
          <cell r="D62">
            <v>76</v>
          </cell>
          <cell r="E62">
            <v>176</v>
          </cell>
          <cell r="N62">
            <v>4169</v>
          </cell>
          <cell r="O62">
            <v>4632</v>
          </cell>
          <cell r="P62">
            <v>463</v>
          </cell>
          <cell r="Q62">
            <v>13130.894</v>
          </cell>
          <cell r="R62">
            <v>9952</v>
          </cell>
          <cell r="S62">
            <v>-3178.8940000000002</v>
          </cell>
          <cell r="T62">
            <v>957.97</v>
          </cell>
          <cell r="U62">
            <v>53</v>
          </cell>
          <cell r="W62">
            <v>700</v>
          </cell>
          <cell r="X62">
            <v>-257.97000000000003</v>
          </cell>
          <cell r="Y62">
            <v>1225.26</v>
          </cell>
          <cell r="Z62">
            <v>65</v>
          </cell>
          <cell r="AA62">
            <v>1160.26</v>
          </cell>
          <cell r="AC62">
            <v>-1225.26</v>
          </cell>
          <cell r="AD62">
            <v>1774</v>
          </cell>
          <cell r="AE62">
            <v>1774</v>
          </cell>
          <cell r="AF62">
            <v>0</v>
          </cell>
          <cell r="AI62">
            <v>0</v>
          </cell>
          <cell r="AJ62">
            <v>-1774</v>
          </cell>
          <cell r="AP62">
            <v>21522.124</v>
          </cell>
          <cell r="AQ62">
            <v>4376</v>
          </cell>
          <cell r="AR62">
            <v>17146.124</v>
          </cell>
          <cell r="AS62">
            <v>15284</v>
          </cell>
          <cell r="AT62">
            <v>-6238.1239999999998</v>
          </cell>
          <cell r="AV62">
            <v>4771</v>
          </cell>
        </row>
        <row r="63">
          <cell r="C63">
            <v>0</v>
          </cell>
          <cell r="D63">
            <v>0</v>
          </cell>
          <cell r="E63">
            <v>0</v>
          </cell>
          <cell r="N63">
            <v>0</v>
          </cell>
          <cell r="P63">
            <v>0</v>
          </cell>
          <cell r="Q63">
            <v>0</v>
          </cell>
          <cell r="S63">
            <v>0</v>
          </cell>
          <cell r="T63">
            <v>0</v>
          </cell>
          <cell r="U63">
            <v>0</v>
          </cell>
          <cell r="X63">
            <v>0</v>
          </cell>
          <cell r="Y63">
            <v>0</v>
          </cell>
          <cell r="Z63">
            <v>0</v>
          </cell>
          <cell r="AA63">
            <v>0</v>
          </cell>
          <cell r="AC63">
            <v>0</v>
          </cell>
          <cell r="AD63">
            <v>0</v>
          </cell>
          <cell r="AE63">
            <v>0</v>
          </cell>
          <cell r="AF63">
            <v>0</v>
          </cell>
          <cell r="AI63">
            <v>0</v>
          </cell>
          <cell r="AJ63">
            <v>0</v>
          </cell>
          <cell r="AP63">
            <v>0</v>
          </cell>
          <cell r="AQ63">
            <v>0</v>
          </cell>
          <cell r="AR63">
            <v>0</v>
          </cell>
          <cell r="AS63">
            <v>0</v>
          </cell>
          <cell r="AT63">
            <v>0</v>
          </cell>
          <cell r="AV63">
            <v>0</v>
          </cell>
        </row>
        <row r="64">
          <cell r="C64">
            <v>0</v>
          </cell>
          <cell r="D64">
            <v>9</v>
          </cell>
          <cell r="E64">
            <v>-9</v>
          </cell>
          <cell r="N64">
            <v>453</v>
          </cell>
          <cell r="O64">
            <v>0</v>
          </cell>
          <cell r="P64">
            <v>-453</v>
          </cell>
          <cell r="Q64">
            <v>-3126.8939999999998</v>
          </cell>
          <cell r="S64">
            <v>3126.8939999999998</v>
          </cell>
          <cell r="T64">
            <v>4429.03</v>
          </cell>
          <cell r="U64">
            <v>2595</v>
          </cell>
          <cell r="W64">
            <v>4686</v>
          </cell>
          <cell r="X64">
            <v>256.97000000000025</v>
          </cell>
          <cell r="Y64">
            <v>4462.4066666666668</v>
          </cell>
          <cell r="Z64">
            <v>2547</v>
          </cell>
          <cell r="AA64">
            <v>1915.4066666666668</v>
          </cell>
          <cell r="AC64">
            <v>-4462.4066666666668</v>
          </cell>
          <cell r="AD64">
            <v>3107.666666666667</v>
          </cell>
          <cell r="AE64">
            <v>2905.3333333333339</v>
          </cell>
          <cell r="AF64">
            <v>202.33333333333303</v>
          </cell>
          <cell r="AG64">
            <v>1641</v>
          </cell>
          <cell r="AH64">
            <v>1139</v>
          </cell>
          <cell r="AI64">
            <v>155</v>
          </cell>
          <cell r="AJ64">
            <v>-1466.666666666667</v>
          </cell>
          <cell r="AP64">
            <v>9129.8760000000002</v>
          </cell>
          <cell r="AS64">
            <v>5825</v>
          </cell>
          <cell r="AT64">
            <v>-3304.8760000000002</v>
          </cell>
        </row>
        <row r="65">
          <cell r="C65">
            <v>897</v>
          </cell>
          <cell r="D65">
            <v>63</v>
          </cell>
          <cell r="E65">
            <v>834</v>
          </cell>
          <cell r="N65">
            <v>5759</v>
          </cell>
          <cell r="O65">
            <v>5424</v>
          </cell>
          <cell r="P65">
            <v>-335</v>
          </cell>
          <cell r="Q65">
            <v>12472.295454545454</v>
          </cell>
          <cell r="R65">
            <v>12295</v>
          </cell>
          <cell r="S65">
            <v>-177.29545454545405</v>
          </cell>
          <cell r="T65">
            <v>9781.4590909090912</v>
          </cell>
          <cell r="U65">
            <v>5559</v>
          </cell>
          <cell r="V65">
            <v>4222.4590909090912</v>
          </cell>
          <cell r="W65">
            <v>9596</v>
          </cell>
          <cell r="X65">
            <v>-185.45909090909117</v>
          </cell>
          <cell r="Y65">
            <v>7866.4999999999991</v>
          </cell>
          <cell r="Z65">
            <v>4367</v>
          </cell>
          <cell r="AA65">
            <v>3499.4999999999991</v>
          </cell>
          <cell r="AB65">
            <v>1201</v>
          </cell>
          <cell r="AC65">
            <v>-6665.4999999999991</v>
          </cell>
          <cell r="AD65">
            <v>7436.1136363636369</v>
          </cell>
          <cell r="AE65">
            <v>7363.1136363636369</v>
          </cell>
          <cell r="AF65">
            <v>73</v>
          </cell>
          <cell r="AG65">
            <v>1946</v>
          </cell>
          <cell r="AH65">
            <v>938</v>
          </cell>
          <cell r="AI65">
            <v>0</v>
          </cell>
          <cell r="AJ65">
            <v>-5490.1136363636369</v>
          </cell>
          <cell r="AP65">
            <v>44145.368181818187</v>
          </cell>
          <cell r="AQ65">
            <v>15718</v>
          </cell>
          <cell r="AR65">
            <v>28427.368181818187</v>
          </cell>
          <cell r="AS65">
            <v>29454</v>
          </cell>
          <cell r="AT65">
            <v>-14691.368181818187</v>
          </cell>
          <cell r="AU65">
            <v>9926</v>
          </cell>
          <cell r="AV65">
            <v>11963</v>
          </cell>
          <cell r="AW65">
            <v>5792</v>
          </cell>
          <cell r="AX65">
            <v>16464.368181818187</v>
          </cell>
        </row>
        <row r="66">
          <cell r="C66">
            <v>0</v>
          </cell>
          <cell r="D66">
            <v>0</v>
          </cell>
          <cell r="E66">
            <v>0</v>
          </cell>
          <cell r="N66">
            <v>585.33333333333326</v>
          </cell>
          <cell r="O66">
            <v>610</v>
          </cell>
          <cell r="P66">
            <v>24.666666666666742</v>
          </cell>
          <cell r="Q66">
            <v>3587.636363636364</v>
          </cell>
          <cell r="R66">
            <v>3503</v>
          </cell>
          <cell r="S66">
            <v>-84.636363636363967</v>
          </cell>
          <cell r="T66">
            <v>1975.818181818182</v>
          </cell>
          <cell r="U66">
            <v>1044</v>
          </cell>
          <cell r="V66">
            <v>931.81818181818198</v>
          </cell>
          <cell r="W66">
            <v>1870</v>
          </cell>
          <cell r="X66">
            <v>-105.81818181818198</v>
          </cell>
          <cell r="Y66">
            <v>1287.3636363636363</v>
          </cell>
          <cell r="Z66">
            <v>634</v>
          </cell>
          <cell r="AA66">
            <v>653.36363636363626</v>
          </cell>
          <cell r="AB66">
            <v>435</v>
          </cell>
          <cell r="AC66">
            <v>-852.36363636363626</v>
          </cell>
          <cell r="AD66">
            <v>1471.2727272727273</v>
          </cell>
          <cell r="AE66">
            <v>1471.090909090909</v>
          </cell>
          <cell r="AF66">
            <v>0.18181818181824383</v>
          </cell>
          <cell r="AG66">
            <v>318</v>
          </cell>
          <cell r="AH66">
            <v>237</v>
          </cell>
          <cell r="AI66">
            <v>0</v>
          </cell>
          <cell r="AJ66">
            <v>-1153.2727272727273</v>
          </cell>
          <cell r="AP66">
            <v>8907.242424242424</v>
          </cell>
          <cell r="AQ66">
            <v>2263.333333333333</v>
          </cell>
          <cell r="AR66">
            <v>6643.909090909091</v>
          </cell>
          <cell r="AS66">
            <v>6655</v>
          </cell>
          <cell r="AT66">
            <v>-2252.242424242424</v>
          </cell>
        </row>
        <row r="67">
          <cell r="C67">
            <v>0</v>
          </cell>
          <cell r="D67">
            <v>0</v>
          </cell>
          <cell r="E67">
            <v>0</v>
          </cell>
          <cell r="N67">
            <v>34</v>
          </cell>
          <cell r="O67">
            <v>33</v>
          </cell>
          <cell r="P67">
            <v>-1</v>
          </cell>
          <cell r="Q67">
            <v>197</v>
          </cell>
          <cell r="R67">
            <v>192</v>
          </cell>
          <cell r="S67">
            <v>-5</v>
          </cell>
          <cell r="T67">
            <v>108</v>
          </cell>
          <cell r="U67">
            <v>57</v>
          </cell>
          <cell r="V67">
            <v>51</v>
          </cell>
          <cell r="W67">
            <v>99</v>
          </cell>
          <cell r="X67">
            <v>-9</v>
          </cell>
          <cell r="Y67">
            <v>70</v>
          </cell>
          <cell r="Z67">
            <v>35</v>
          </cell>
          <cell r="AA67">
            <v>35</v>
          </cell>
          <cell r="AB67">
            <v>24</v>
          </cell>
          <cell r="AC67">
            <v>-46</v>
          </cell>
          <cell r="AD67">
            <v>81</v>
          </cell>
          <cell r="AE67">
            <v>81</v>
          </cell>
          <cell r="AF67">
            <v>0</v>
          </cell>
          <cell r="AG67">
            <v>17</v>
          </cell>
          <cell r="AH67">
            <v>12</v>
          </cell>
          <cell r="AI67">
            <v>0</v>
          </cell>
          <cell r="AJ67">
            <v>-64</v>
          </cell>
          <cell r="AP67">
            <v>490</v>
          </cell>
          <cell r="AQ67">
            <v>126</v>
          </cell>
          <cell r="AR67">
            <v>364</v>
          </cell>
          <cell r="AS67">
            <v>360</v>
          </cell>
          <cell r="AT67">
            <v>-130</v>
          </cell>
        </row>
        <row r="68">
          <cell r="C68">
            <v>0</v>
          </cell>
          <cell r="D68">
            <v>0</v>
          </cell>
          <cell r="E68">
            <v>0</v>
          </cell>
          <cell r="N68">
            <v>189</v>
          </cell>
          <cell r="O68">
            <v>195</v>
          </cell>
          <cell r="P68">
            <v>6</v>
          </cell>
          <cell r="Q68">
            <v>1146</v>
          </cell>
          <cell r="R68">
            <v>1104</v>
          </cell>
          <cell r="S68">
            <v>-42</v>
          </cell>
          <cell r="T68">
            <v>633</v>
          </cell>
          <cell r="U68">
            <v>334</v>
          </cell>
          <cell r="V68">
            <v>299</v>
          </cell>
          <cell r="W68">
            <v>565</v>
          </cell>
          <cell r="X68">
            <v>-68</v>
          </cell>
          <cell r="Y68">
            <v>414</v>
          </cell>
          <cell r="Z68">
            <v>205</v>
          </cell>
          <cell r="AA68">
            <v>209</v>
          </cell>
          <cell r="AB68">
            <v>137</v>
          </cell>
          <cell r="AC68">
            <v>-277</v>
          </cell>
          <cell r="AD68">
            <v>471</v>
          </cell>
          <cell r="AE68">
            <v>471</v>
          </cell>
          <cell r="AF68">
            <v>0</v>
          </cell>
          <cell r="AG68">
            <v>102</v>
          </cell>
          <cell r="AH68">
            <v>16</v>
          </cell>
          <cell r="AI68">
            <v>0</v>
          </cell>
          <cell r="AJ68">
            <v>-369</v>
          </cell>
          <cell r="AP68">
            <v>2853</v>
          </cell>
          <cell r="AQ68">
            <v>728</v>
          </cell>
          <cell r="AR68">
            <v>2125</v>
          </cell>
          <cell r="AS68">
            <v>620</v>
          </cell>
          <cell r="AT68">
            <v>-2233</v>
          </cell>
        </row>
        <row r="69">
          <cell r="C69">
            <v>0</v>
          </cell>
          <cell r="D69">
            <v>0</v>
          </cell>
          <cell r="E69">
            <v>0</v>
          </cell>
          <cell r="N69">
            <v>449</v>
          </cell>
          <cell r="O69">
            <v>779</v>
          </cell>
          <cell r="P69">
            <v>330</v>
          </cell>
          <cell r="Q69">
            <v>0</v>
          </cell>
          <cell r="S69">
            <v>0</v>
          </cell>
          <cell r="T69">
            <v>0</v>
          </cell>
          <cell r="U69">
            <v>0</v>
          </cell>
          <cell r="V69">
            <v>0</v>
          </cell>
          <cell r="X69">
            <v>0</v>
          </cell>
          <cell r="Y69">
            <v>0</v>
          </cell>
          <cell r="Z69">
            <v>0</v>
          </cell>
          <cell r="AA69">
            <v>0</v>
          </cell>
          <cell r="AC69">
            <v>0</v>
          </cell>
          <cell r="AD69">
            <v>0</v>
          </cell>
          <cell r="AE69">
            <v>0</v>
          </cell>
          <cell r="AF69">
            <v>0</v>
          </cell>
          <cell r="AI69">
            <v>0</v>
          </cell>
          <cell r="AJ69">
            <v>0</v>
          </cell>
          <cell r="AP69">
            <v>449</v>
          </cell>
          <cell r="AQ69">
            <v>449</v>
          </cell>
          <cell r="AR69">
            <v>0</v>
          </cell>
          <cell r="AS69">
            <v>779</v>
          </cell>
          <cell r="AT69">
            <v>330</v>
          </cell>
        </row>
        <row r="70">
          <cell r="C70" t="e">
            <v>#REF!</v>
          </cell>
          <cell r="D70" t="e">
            <v>#REF!</v>
          </cell>
          <cell r="E70" t="e">
            <v>#REF!</v>
          </cell>
          <cell r="N70">
            <v>1182.5</v>
          </cell>
          <cell r="P70">
            <v>-1182.5</v>
          </cell>
          <cell r="Q70">
            <v>500.6</v>
          </cell>
          <cell r="S70">
            <v>-500.6</v>
          </cell>
          <cell r="T70">
            <v>527</v>
          </cell>
          <cell r="U70">
            <v>0</v>
          </cell>
          <cell r="V70">
            <v>527</v>
          </cell>
          <cell r="X70">
            <v>-527</v>
          </cell>
          <cell r="Y70">
            <v>0</v>
          </cell>
          <cell r="Z70">
            <v>170</v>
          </cell>
          <cell r="AA70">
            <v>-170</v>
          </cell>
          <cell r="AC70">
            <v>0</v>
          </cell>
          <cell r="AD70">
            <v>1020.7636363636364</v>
          </cell>
          <cell r="AE70">
            <v>1020.7636363636364</v>
          </cell>
          <cell r="AF70">
            <v>0</v>
          </cell>
          <cell r="AI70">
            <v>0</v>
          </cell>
          <cell r="AJ70">
            <v>-1020.7636363636364</v>
          </cell>
          <cell r="AP70" t="e">
            <v>#REF!</v>
          </cell>
          <cell r="AQ70" t="e">
            <v>#REF!</v>
          </cell>
          <cell r="AS70">
            <v>0</v>
          </cell>
          <cell r="AT70" t="e">
            <v>#REF!</v>
          </cell>
        </row>
        <row r="71">
          <cell r="C71" t="e">
            <v>#REF!</v>
          </cell>
          <cell r="D71" t="e">
            <v>#REF!</v>
          </cell>
          <cell r="E71" t="e">
            <v>#REF!</v>
          </cell>
          <cell r="N71">
            <v>0</v>
          </cell>
          <cell r="P71">
            <v>0</v>
          </cell>
          <cell r="Q71">
            <v>0</v>
          </cell>
          <cell r="S71">
            <v>0</v>
          </cell>
          <cell r="T71">
            <v>0</v>
          </cell>
          <cell r="U71">
            <v>0</v>
          </cell>
          <cell r="V71">
            <v>0</v>
          </cell>
          <cell r="X71">
            <v>0</v>
          </cell>
          <cell r="Y71">
            <v>0</v>
          </cell>
          <cell r="Z71">
            <v>0</v>
          </cell>
          <cell r="AA71">
            <v>0</v>
          </cell>
          <cell r="AC71">
            <v>0</v>
          </cell>
          <cell r="AD71">
            <v>0</v>
          </cell>
          <cell r="AE71">
            <v>0</v>
          </cell>
          <cell r="AF71">
            <v>0</v>
          </cell>
          <cell r="AI71">
            <v>0</v>
          </cell>
          <cell r="AJ71">
            <v>0</v>
          </cell>
          <cell r="AP71" t="e">
            <v>#REF!</v>
          </cell>
          <cell r="AQ71" t="e">
            <v>#REF!</v>
          </cell>
          <cell r="AS71">
            <v>0</v>
          </cell>
          <cell r="AT71" t="e">
            <v>#REF!</v>
          </cell>
        </row>
        <row r="72">
          <cell r="C72">
            <v>11223</v>
          </cell>
          <cell r="D72">
            <v>1252</v>
          </cell>
          <cell r="E72">
            <v>9971</v>
          </cell>
          <cell r="N72">
            <v>798.2700000000001</v>
          </cell>
          <cell r="O72">
            <v>784</v>
          </cell>
          <cell r="P72">
            <v>-14.270000000000095</v>
          </cell>
          <cell r="Q72">
            <v>2316.2183333333332</v>
          </cell>
          <cell r="R72">
            <v>2083</v>
          </cell>
          <cell r="S72">
            <v>-233.21833333333325</v>
          </cell>
          <cell r="T72">
            <v>813.25800000000004</v>
          </cell>
          <cell r="U72">
            <v>404</v>
          </cell>
          <cell r="V72">
            <v>409.25800000000004</v>
          </cell>
          <cell r="W72">
            <v>11920</v>
          </cell>
          <cell r="X72">
            <v>11106.742</v>
          </cell>
          <cell r="Y72">
            <v>780.71199999999999</v>
          </cell>
          <cell r="Z72">
            <v>350</v>
          </cell>
          <cell r="AA72">
            <v>430.71199999999999</v>
          </cell>
          <cell r="AB72">
            <v>94</v>
          </cell>
          <cell r="AC72">
            <v>-686.71199999999999</v>
          </cell>
          <cell r="AD72">
            <v>1657.9006666666667</v>
          </cell>
          <cell r="AE72">
            <v>1373.93</v>
          </cell>
          <cell r="AF72">
            <v>283.9706666666666</v>
          </cell>
          <cell r="AG72">
            <v>379</v>
          </cell>
          <cell r="AH72">
            <v>173</v>
          </cell>
          <cell r="AI72">
            <v>35</v>
          </cell>
          <cell r="AJ72">
            <v>-1278.9006666666667</v>
          </cell>
          <cell r="AN72">
            <v>0</v>
          </cell>
          <cell r="AP72">
            <v>18535.519</v>
          </cell>
          <cell r="AQ72" t="e">
            <v>#REF!</v>
          </cell>
          <cell r="AR72" t="e">
            <v>#REF!</v>
          </cell>
          <cell r="AS72">
            <v>2959</v>
          </cell>
          <cell r="AT72">
            <v>-15576.519</v>
          </cell>
          <cell r="AU72">
            <v>754</v>
          </cell>
          <cell r="AV72">
            <v>1593</v>
          </cell>
          <cell r="AW72">
            <v>2612.87</v>
          </cell>
          <cell r="AX72" t="e">
            <v>#REF!</v>
          </cell>
        </row>
        <row r="73">
          <cell r="C73">
            <v>906</v>
          </cell>
          <cell r="D73">
            <v>70</v>
          </cell>
          <cell r="E73">
            <v>836</v>
          </cell>
          <cell r="N73">
            <v>0</v>
          </cell>
          <cell r="P73">
            <v>0</v>
          </cell>
          <cell r="Q73">
            <v>0</v>
          </cell>
          <cell r="S73">
            <v>0</v>
          </cell>
          <cell r="T73">
            <v>0</v>
          </cell>
          <cell r="U73">
            <v>0</v>
          </cell>
          <cell r="V73">
            <v>0</v>
          </cell>
          <cell r="X73">
            <v>0</v>
          </cell>
          <cell r="Y73">
            <v>18</v>
          </cell>
          <cell r="Z73">
            <v>0</v>
          </cell>
          <cell r="AA73">
            <v>18</v>
          </cell>
          <cell r="AC73">
            <v>-18</v>
          </cell>
          <cell r="AD73">
            <v>0</v>
          </cell>
          <cell r="AE73">
            <v>0</v>
          </cell>
          <cell r="AF73">
            <v>0</v>
          </cell>
          <cell r="AI73">
            <v>0</v>
          </cell>
          <cell r="AJ73">
            <v>0</v>
          </cell>
          <cell r="AP73">
            <v>924</v>
          </cell>
          <cell r="AQ73">
            <v>70</v>
          </cell>
          <cell r="AR73">
            <v>854</v>
          </cell>
          <cell r="AS73">
            <v>0</v>
          </cell>
          <cell r="AT73">
            <v>-924</v>
          </cell>
          <cell r="AU73">
            <v>0</v>
          </cell>
          <cell r="AV73">
            <v>18</v>
          </cell>
          <cell r="AW73">
            <v>70</v>
          </cell>
          <cell r="AX73">
            <v>836</v>
          </cell>
        </row>
        <row r="74">
          <cell r="C74">
            <v>10317</v>
          </cell>
          <cell r="D74">
            <v>1182</v>
          </cell>
          <cell r="E74">
            <v>9135</v>
          </cell>
          <cell r="N74">
            <v>798.2700000000001</v>
          </cell>
          <cell r="O74">
            <v>695</v>
          </cell>
          <cell r="P74">
            <v>-103.2700000000001</v>
          </cell>
          <cell r="Q74">
            <v>2215.2183333333332</v>
          </cell>
          <cell r="R74">
            <v>2083</v>
          </cell>
          <cell r="S74">
            <v>-132.21833333333325</v>
          </cell>
          <cell r="T74">
            <v>813.25800000000004</v>
          </cell>
          <cell r="U74">
            <v>404</v>
          </cell>
          <cell r="V74">
            <v>409.25800000000004</v>
          </cell>
          <cell r="X74">
            <v>-813.25800000000004</v>
          </cell>
          <cell r="Y74">
            <v>762.71199999999999</v>
          </cell>
          <cell r="Z74">
            <v>350</v>
          </cell>
          <cell r="AA74">
            <v>412.71199999999999</v>
          </cell>
          <cell r="AC74">
            <v>-762.71199999999999</v>
          </cell>
          <cell r="AD74">
            <v>1657.9006666666667</v>
          </cell>
          <cell r="AE74">
            <v>1373.33</v>
          </cell>
          <cell r="AF74">
            <v>284.57066666666674</v>
          </cell>
          <cell r="AG74">
            <v>379</v>
          </cell>
          <cell r="AH74">
            <v>173</v>
          </cell>
          <cell r="AI74">
            <v>35</v>
          </cell>
          <cell r="AJ74">
            <v>-1278.9006666666667</v>
          </cell>
          <cell r="AN74">
            <v>0</v>
          </cell>
          <cell r="AP74">
            <v>17509.918999999998</v>
          </cell>
          <cell r="AQ74">
            <v>3296.87</v>
          </cell>
          <cell r="AR74">
            <v>14213.048999999999</v>
          </cell>
          <cell r="AS74">
            <v>2959</v>
          </cell>
          <cell r="AT74">
            <v>-14550.918999999998</v>
          </cell>
          <cell r="AU74">
            <v>754</v>
          </cell>
          <cell r="AV74">
            <v>1575</v>
          </cell>
          <cell r="AW74">
            <v>2542.87</v>
          </cell>
          <cell r="AX74">
            <v>12638.048999999999</v>
          </cell>
        </row>
        <row r="75">
          <cell r="C75">
            <v>1559</v>
          </cell>
          <cell r="D75">
            <v>299</v>
          </cell>
          <cell r="E75">
            <v>1260</v>
          </cell>
          <cell r="N75">
            <v>542.27</v>
          </cell>
          <cell r="P75">
            <v>-542.27</v>
          </cell>
          <cell r="Q75">
            <v>1366.7766666666664</v>
          </cell>
          <cell r="R75">
            <v>1384</v>
          </cell>
          <cell r="S75">
            <v>17.223333333333585</v>
          </cell>
          <cell r="T75">
            <v>486.40800000000002</v>
          </cell>
          <cell r="U75">
            <v>248</v>
          </cell>
          <cell r="V75">
            <v>238.40800000000002</v>
          </cell>
          <cell r="X75">
            <v>-486.40800000000002</v>
          </cell>
          <cell r="Y75">
            <v>277.56200000000001</v>
          </cell>
          <cell r="Z75">
            <v>204</v>
          </cell>
          <cell r="AA75">
            <v>73.562000000000012</v>
          </cell>
          <cell r="AC75">
            <v>-277.56200000000001</v>
          </cell>
          <cell r="AD75">
            <v>1071.5006666666668</v>
          </cell>
          <cell r="AE75">
            <v>912.48</v>
          </cell>
          <cell r="AF75">
            <v>159.02066666666678</v>
          </cell>
          <cell r="AJ75">
            <v>-1071.5006666666668</v>
          </cell>
          <cell r="AP75">
            <v>5544.496666666666</v>
          </cell>
          <cell r="AQ75">
            <v>1517.87</v>
          </cell>
          <cell r="AR75">
            <v>4026.6266666666661</v>
          </cell>
          <cell r="AS75">
            <v>1384</v>
          </cell>
          <cell r="AT75">
            <v>-4160.496666666666</v>
          </cell>
          <cell r="AX75">
            <v>4026.6266666666661</v>
          </cell>
        </row>
        <row r="76">
          <cell r="C76">
            <v>0</v>
          </cell>
          <cell r="D76">
            <v>0</v>
          </cell>
          <cell r="E76">
            <v>0</v>
          </cell>
          <cell r="N76">
            <v>0</v>
          </cell>
          <cell r="P76">
            <v>0</v>
          </cell>
          <cell r="Q76">
            <v>0</v>
          </cell>
          <cell r="S76">
            <v>0</v>
          </cell>
          <cell r="T76">
            <v>0</v>
          </cell>
          <cell r="U76">
            <v>0</v>
          </cell>
          <cell r="V76">
            <v>0</v>
          </cell>
          <cell r="X76">
            <v>0</v>
          </cell>
          <cell r="Y76">
            <v>0</v>
          </cell>
          <cell r="Z76">
            <v>0</v>
          </cell>
          <cell r="AA76">
            <v>0</v>
          </cell>
          <cell r="AC76">
            <v>0</v>
          </cell>
          <cell r="AD76">
            <v>0</v>
          </cell>
          <cell r="AE76">
            <v>0</v>
          </cell>
          <cell r="AF76">
            <v>0</v>
          </cell>
          <cell r="AJ76">
            <v>0</v>
          </cell>
          <cell r="AP76">
            <v>658.33066666666662</v>
          </cell>
          <cell r="AQ76">
            <v>324</v>
          </cell>
          <cell r="AR76">
            <v>334.33066666666662</v>
          </cell>
          <cell r="AS76">
            <v>0</v>
          </cell>
          <cell r="AT76">
            <v>-658.33066666666662</v>
          </cell>
          <cell r="AX76">
            <v>334.33066666666662</v>
          </cell>
        </row>
        <row r="77">
          <cell r="C77">
            <v>816</v>
          </cell>
          <cell r="D77">
            <v>323</v>
          </cell>
          <cell r="E77">
            <v>493</v>
          </cell>
          <cell r="N77">
            <v>92.75</v>
          </cell>
          <cell r="O77">
            <v>2</v>
          </cell>
          <cell r="Q77">
            <v>555.4666666666667</v>
          </cell>
          <cell r="R77">
            <v>168</v>
          </cell>
          <cell r="T77">
            <v>133.6</v>
          </cell>
          <cell r="U77">
            <v>17</v>
          </cell>
          <cell r="V77">
            <v>116.6</v>
          </cell>
          <cell r="W77">
            <v>76</v>
          </cell>
          <cell r="Y77">
            <v>153.35000000000002</v>
          </cell>
          <cell r="Z77">
            <v>46</v>
          </cell>
          <cell r="AA77">
            <v>107.35000000000002</v>
          </cell>
          <cell r="AD77">
            <v>280.35000000000002</v>
          </cell>
          <cell r="AE77">
            <v>232.85</v>
          </cell>
          <cell r="AF77">
            <v>47.500000000000028</v>
          </cell>
        </row>
        <row r="78">
          <cell r="C78">
            <v>4799</v>
          </cell>
          <cell r="D78">
            <v>363</v>
          </cell>
          <cell r="E78">
            <v>4436</v>
          </cell>
          <cell r="N78">
            <v>162.25</v>
          </cell>
          <cell r="O78">
            <v>87</v>
          </cell>
          <cell r="Q78">
            <v>393.97500000000002</v>
          </cell>
          <cell r="R78">
            <v>516</v>
          </cell>
          <cell r="T78">
            <v>192.25</v>
          </cell>
          <cell r="U78">
            <v>48</v>
          </cell>
          <cell r="V78">
            <v>144.25</v>
          </cell>
          <cell r="W78">
            <v>192</v>
          </cell>
          <cell r="Y78">
            <v>331.8</v>
          </cell>
          <cell r="Z78">
            <v>69</v>
          </cell>
          <cell r="AA78">
            <v>262.8</v>
          </cell>
          <cell r="AD78">
            <v>306.05</v>
          </cell>
          <cell r="AE78">
            <v>228</v>
          </cell>
          <cell r="AF78">
            <v>78.050000000000011</v>
          </cell>
        </row>
        <row r="79">
          <cell r="C79">
            <v>0</v>
          </cell>
          <cell r="D79">
            <v>85</v>
          </cell>
          <cell r="E79">
            <v>-85</v>
          </cell>
          <cell r="N79">
            <v>15.1</v>
          </cell>
          <cell r="P79">
            <v>-15.1</v>
          </cell>
          <cell r="Q79">
            <v>7.5</v>
          </cell>
          <cell r="S79">
            <v>-7.5</v>
          </cell>
          <cell r="T79">
            <v>0</v>
          </cell>
          <cell r="U79">
            <v>0</v>
          </cell>
          <cell r="V79">
            <v>0</v>
          </cell>
          <cell r="X79">
            <v>0</v>
          </cell>
          <cell r="Y79">
            <v>6.7</v>
          </cell>
          <cell r="Z79">
            <v>0</v>
          </cell>
          <cell r="AA79">
            <v>6.7</v>
          </cell>
          <cell r="AC79">
            <v>-6.7</v>
          </cell>
          <cell r="AD79">
            <v>38.799999999999997</v>
          </cell>
          <cell r="AE79">
            <v>34</v>
          </cell>
          <cell r="AF79">
            <v>4.7999999999999972</v>
          </cell>
          <cell r="AJ79">
            <v>-38.799999999999997</v>
          </cell>
          <cell r="AP79">
            <v>66.300000000000011</v>
          </cell>
          <cell r="AQ79">
            <v>103.1</v>
          </cell>
          <cell r="AS79">
            <v>0</v>
          </cell>
          <cell r="AT79">
            <v>-66.300000000000011</v>
          </cell>
        </row>
        <row r="80">
          <cell r="C80">
            <v>16304.594000000001</v>
          </cell>
          <cell r="D80">
            <v>2178</v>
          </cell>
          <cell r="E80">
            <v>14126.594000000001</v>
          </cell>
          <cell r="N80">
            <v>21871.823393939394</v>
          </cell>
          <cell r="O80">
            <v>20615</v>
          </cell>
          <cell r="P80">
            <v>-1256.823393939394</v>
          </cell>
          <cell r="Q80">
            <v>133666.07966666666</v>
          </cell>
          <cell r="R80">
            <v>139429</v>
          </cell>
          <cell r="S80">
            <v>5762.9203333333426</v>
          </cell>
          <cell r="T80">
            <v>215006.29151515153</v>
          </cell>
          <cell r="U80">
            <v>123843.34756097561</v>
          </cell>
          <cell r="V80">
            <v>91162.943954175906</v>
          </cell>
          <cell r="W80">
            <v>192815</v>
          </cell>
          <cell r="X80">
            <v>-22191.291515151534</v>
          </cell>
          <cell r="Y80">
            <v>177458.53030303027</v>
          </cell>
          <cell r="Z80">
            <v>96838.750161952048</v>
          </cell>
          <cell r="AA80">
            <v>80619.780141078256</v>
          </cell>
          <cell r="AB80">
            <v>81399</v>
          </cell>
          <cell r="AC80">
            <v>-96059.530303030275</v>
          </cell>
          <cell r="AD80">
            <v>38491.386606060609</v>
          </cell>
          <cell r="AE80">
            <v>31786.744424242428</v>
          </cell>
          <cell r="AF80">
            <v>6704.6421818181807</v>
          </cell>
          <cell r="AG80">
            <v>9642</v>
          </cell>
          <cell r="AH80">
            <v>6481</v>
          </cell>
          <cell r="AI80">
            <v>2032</v>
          </cell>
          <cell r="AJ80">
            <v>-28849.386606060609</v>
          </cell>
          <cell r="AL80">
            <v>0</v>
          </cell>
          <cell r="AN80">
            <v>0</v>
          </cell>
          <cell r="AP80">
            <v>598583.31396969699</v>
          </cell>
          <cell r="AQ80" t="e">
            <v>#REF!</v>
          </cell>
          <cell r="AR80" t="e">
            <v>#REF!</v>
          </cell>
          <cell r="AS80">
            <v>428644</v>
          </cell>
          <cell r="AT80">
            <v>-169939.31396969699</v>
          </cell>
          <cell r="AU80">
            <v>219889.09772292766</v>
          </cell>
          <cell r="AV80">
            <v>264294</v>
          </cell>
          <cell r="AW80">
            <v>23655.241575757576</v>
          </cell>
          <cell r="AX80" t="e">
            <v>#REF!</v>
          </cell>
        </row>
        <row r="81">
          <cell r="C81">
            <v>15398.594000000001</v>
          </cell>
          <cell r="D81">
            <v>2108</v>
          </cell>
          <cell r="E81">
            <v>13290.594000000001</v>
          </cell>
          <cell r="P81">
            <v>0</v>
          </cell>
          <cell r="S81">
            <v>0</v>
          </cell>
          <cell r="X81">
            <v>0</v>
          </cell>
          <cell r="AC81">
            <v>0</v>
          </cell>
          <cell r="AJ81">
            <v>0</v>
          </cell>
          <cell r="AP81">
            <v>180298.31396969699</v>
          </cell>
          <cell r="AQ81" t="e">
            <v>#REF!</v>
          </cell>
          <cell r="AR81" t="e">
            <v>#REF!</v>
          </cell>
          <cell r="AS81">
            <v>0</v>
          </cell>
          <cell r="AT81">
            <v>-180298.31396969699</v>
          </cell>
          <cell r="AU81">
            <v>24325</v>
          </cell>
          <cell r="AV81">
            <v>41574</v>
          </cell>
          <cell r="AW81">
            <v>23654.241575757576</v>
          </cell>
          <cell r="AX81" t="e">
            <v>#REF!</v>
          </cell>
        </row>
        <row r="82">
          <cell r="N82">
            <v>5453.272727272727</v>
          </cell>
          <cell r="O82">
            <v>5228</v>
          </cell>
          <cell r="P82">
            <v>-225.27272727272702</v>
          </cell>
          <cell r="Q82">
            <v>12265.86090909091</v>
          </cell>
          <cell r="R82">
            <v>11767</v>
          </cell>
          <cell r="S82">
            <v>-498.86090909091035</v>
          </cell>
          <cell r="T82">
            <v>4592.227272727273</v>
          </cell>
          <cell r="U82">
            <v>2344</v>
          </cell>
          <cell r="V82">
            <v>2248.227272727273</v>
          </cell>
          <cell r="W82">
            <v>4343</v>
          </cell>
          <cell r="X82">
            <v>-249.22727272727298</v>
          </cell>
          <cell r="Y82">
            <v>3702.647272727273</v>
          </cell>
          <cell r="Z82">
            <v>1812</v>
          </cell>
          <cell r="AA82">
            <v>1890.6472727272728</v>
          </cell>
          <cell r="AB82">
            <v>1097</v>
          </cell>
          <cell r="AC82">
            <v>-2605.647272727273</v>
          </cell>
          <cell r="AD82">
            <v>10927.106363636363</v>
          </cell>
          <cell r="AE82">
            <v>9821.136363636364</v>
          </cell>
          <cell r="AF82">
            <v>1105.9699999999996</v>
          </cell>
          <cell r="AG82">
            <v>2881</v>
          </cell>
          <cell r="AH82">
            <v>1984</v>
          </cell>
          <cell r="AI82">
            <v>306</v>
          </cell>
          <cell r="AJ82">
            <v>-8046.1063636363633</v>
          </cell>
          <cell r="AN82">
            <v>0</v>
          </cell>
          <cell r="AP82">
            <v>37891.738545454551</v>
          </cell>
          <cell r="AS82">
            <v>24419</v>
          </cell>
          <cell r="AT82">
            <v>-13472.738545454551</v>
          </cell>
        </row>
        <row r="83">
          <cell r="C83">
            <v>15794</v>
          </cell>
          <cell r="D83">
            <v>11292</v>
          </cell>
          <cell r="E83">
            <v>0</v>
          </cell>
          <cell r="P83">
            <v>0</v>
          </cell>
          <cell r="S83">
            <v>0</v>
          </cell>
          <cell r="X83">
            <v>0</v>
          </cell>
          <cell r="AC83">
            <v>0</v>
          </cell>
          <cell r="AJ83">
            <v>0</v>
          </cell>
          <cell r="AP83">
            <v>15794</v>
          </cell>
          <cell r="AQ83">
            <v>11292</v>
          </cell>
          <cell r="AR83">
            <v>0</v>
          </cell>
          <cell r="AS83">
            <v>0</v>
          </cell>
          <cell r="AT83">
            <v>-15794</v>
          </cell>
          <cell r="AU83">
            <v>0</v>
          </cell>
          <cell r="AV83">
            <v>0</v>
          </cell>
          <cell r="AW83">
            <v>0</v>
          </cell>
          <cell r="AX83">
            <v>0</v>
          </cell>
        </row>
        <row r="84">
          <cell r="C84">
            <v>32098.594000000001</v>
          </cell>
          <cell r="D84">
            <v>13470</v>
          </cell>
          <cell r="E84">
            <v>14126.594000000001</v>
          </cell>
          <cell r="N84">
            <v>21871.823393939394</v>
          </cell>
          <cell r="O84">
            <v>20615</v>
          </cell>
          <cell r="P84">
            <v>-1256.823393939394</v>
          </cell>
          <cell r="Q84">
            <v>133666.07966666666</v>
          </cell>
          <cell r="R84">
            <v>139429</v>
          </cell>
          <cell r="S84">
            <v>5762.9203333333426</v>
          </cell>
          <cell r="T84">
            <v>215006.29151515153</v>
          </cell>
          <cell r="U84">
            <v>123843.34756097561</v>
          </cell>
          <cell r="V84">
            <v>91162.943954175906</v>
          </cell>
          <cell r="W84">
            <v>192815</v>
          </cell>
          <cell r="X84">
            <v>-22191.291515151534</v>
          </cell>
          <cell r="Y84">
            <v>177458.53030303027</v>
          </cell>
          <cell r="Z84">
            <v>96838.750161952048</v>
          </cell>
          <cell r="AA84">
            <v>80619.780141078256</v>
          </cell>
          <cell r="AB84">
            <v>81399</v>
          </cell>
          <cell r="AC84">
            <v>-96059.530303030275</v>
          </cell>
          <cell r="AD84">
            <v>38491.386606060609</v>
          </cell>
          <cell r="AE84">
            <v>31786.744424242428</v>
          </cell>
          <cell r="AF84">
            <v>6704.6421818181807</v>
          </cell>
          <cell r="AG84">
            <v>9642</v>
          </cell>
          <cell r="AH84">
            <v>6481</v>
          </cell>
          <cell r="AI84">
            <v>2032</v>
          </cell>
          <cell r="AJ84">
            <v>-28849.386606060609</v>
          </cell>
          <cell r="AL84">
            <v>0</v>
          </cell>
          <cell r="AN84">
            <v>0</v>
          </cell>
          <cell r="AP84">
            <v>614377.31396969699</v>
          </cell>
          <cell r="AQ84" t="e">
            <v>#REF!</v>
          </cell>
          <cell r="AR84" t="e">
            <v>#REF!</v>
          </cell>
          <cell r="AS84">
            <v>428644</v>
          </cell>
          <cell r="AT84">
            <v>-185733.31396969699</v>
          </cell>
          <cell r="AU84">
            <v>219889.09772292766</v>
          </cell>
          <cell r="AV84">
            <v>264294</v>
          </cell>
          <cell r="AW84">
            <v>23655.241575757576</v>
          </cell>
          <cell r="AX84" t="e">
            <v>#REF!</v>
          </cell>
        </row>
        <row r="85">
          <cell r="C85">
            <v>0</v>
          </cell>
          <cell r="D85">
            <v>0</v>
          </cell>
          <cell r="E85">
            <v>0</v>
          </cell>
          <cell r="N85">
            <v>0</v>
          </cell>
          <cell r="P85">
            <v>0</v>
          </cell>
          <cell r="Q85">
            <v>0</v>
          </cell>
          <cell r="S85">
            <v>0</v>
          </cell>
          <cell r="T85">
            <v>0</v>
          </cell>
          <cell r="U85">
            <v>0</v>
          </cell>
          <cell r="V85">
            <v>0</v>
          </cell>
          <cell r="X85">
            <v>0</v>
          </cell>
          <cell r="Y85">
            <v>0</v>
          </cell>
          <cell r="AC85">
            <v>0</v>
          </cell>
          <cell r="AI85">
            <v>0</v>
          </cell>
          <cell r="AJ85">
            <v>0</v>
          </cell>
          <cell r="AP85">
            <v>-1</v>
          </cell>
          <cell r="AQ85">
            <v>0</v>
          </cell>
          <cell r="AR85">
            <v>-1</v>
          </cell>
          <cell r="AS85">
            <v>0</v>
          </cell>
          <cell r="AT85">
            <v>1</v>
          </cell>
          <cell r="AU85">
            <v>0</v>
          </cell>
          <cell r="AV85">
            <v>0</v>
          </cell>
          <cell r="AW85">
            <v>0</v>
          </cell>
          <cell r="AX85">
            <v>-1</v>
          </cell>
        </row>
        <row r="86">
          <cell r="C86">
            <v>1437</v>
          </cell>
          <cell r="D86">
            <v>1959</v>
          </cell>
          <cell r="E86">
            <v>-522</v>
          </cell>
          <cell r="N86">
            <v>0</v>
          </cell>
          <cell r="P86">
            <v>0</v>
          </cell>
          <cell r="Q86">
            <v>0</v>
          </cell>
          <cell r="S86">
            <v>0</v>
          </cell>
          <cell r="T86">
            <v>0</v>
          </cell>
          <cell r="U86">
            <v>0</v>
          </cell>
          <cell r="V86">
            <v>0</v>
          </cell>
          <cell r="X86">
            <v>0</v>
          </cell>
          <cell r="Y86">
            <v>0</v>
          </cell>
          <cell r="AC86">
            <v>0</v>
          </cell>
          <cell r="AI86">
            <v>0</v>
          </cell>
          <cell r="AJ86">
            <v>0</v>
          </cell>
          <cell r="AP86">
            <v>1437</v>
          </cell>
          <cell r="AQ86">
            <v>1959</v>
          </cell>
          <cell r="AR86">
            <v>-522</v>
          </cell>
          <cell r="AS86">
            <v>0</v>
          </cell>
          <cell r="AT86">
            <v>-1437</v>
          </cell>
          <cell r="AU86">
            <v>0</v>
          </cell>
          <cell r="AV86">
            <v>0</v>
          </cell>
          <cell r="AW86">
            <v>1959</v>
          </cell>
          <cell r="AX86">
            <v>-522</v>
          </cell>
        </row>
        <row r="87">
          <cell r="C87">
            <v>112</v>
          </cell>
          <cell r="D87">
            <v>481</v>
          </cell>
          <cell r="E87">
            <v>-369</v>
          </cell>
          <cell r="N87">
            <v>0</v>
          </cell>
          <cell r="P87">
            <v>0</v>
          </cell>
          <cell r="Q87">
            <v>0</v>
          </cell>
          <cell r="S87">
            <v>0</v>
          </cell>
          <cell r="T87">
            <v>0</v>
          </cell>
          <cell r="U87">
            <v>0</v>
          </cell>
          <cell r="V87">
            <v>0</v>
          </cell>
          <cell r="X87">
            <v>0</v>
          </cell>
          <cell r="Y87">
            <v>0</v>
          </cell>
          <cell r="Z87">
            <v>0</v>
          </cell>
          <cell r="AA87">
            <v>0</v>
          </cell>
          <cell r="AC87">
            <v>0</v>
          </cell>
          <cell r="AI87">
            <v>0</v>
          </cell>
          <cell r="AJ87">
            <v>0</v>
          </cell>
          <cell r="AP87">
            <v>111</v>
          </cell>
          <cell r="AQ87">
            <v>481</v>
          </cell>
          <cell r="AR87">
            <v>-370</v>
          </cell>
          <cell r="AS87">
            <v>-1</v>
          </cell>
          <cell r="AT87">
            <v>-112</v>
          </cell>
          <cell r="AU87">
            <v>0</v>
          </cell>
          <cell r="AV87">
            <v>0</v>
          </cell>
          <cell r="AW87">
            <v>481</v>
          </cell>
          <cell r="AX87">
            <v>-370</v>
          </cell>
        </row>
        <row r="88">
          <cell r="C88">
            <v>37</v>
          </cell>
          <cell r="D88">
            <v>12</v>
          </cell>
          <cell r="E88">
            <v>25</v>
          </cell>
          <cell r="N88">
            <v>182.13333333333333</v>
          </cell>
          <cell r="O88">
            <v>4</v>
          </cell>
          <cell r="P88">
            <v>-178.13333333333333</v>
          </cell>
          <cell r="Q88">
            <v>189.6</v>
          </cell>
          <cell r="S88">
            <v>-189.6</v>
          </cell>
          <cell r="T88">
            <v>169.93333333333331</v>
          </cell>
          <cell r="U88">
            <v>176</v>
          </cell>
          <cell r="V88">
            <v>-6.0666666666666913</v>
          </cell>
          <cell r="W88">
            <v>169</v>
          </cell>
          <cell r="X88">
            <v>-0.9333333333333087</v>
          </cell>
          <cell r="Y88">
            <v>389.93333333333328</v>
          </cell>
          <cell r="Z88">
            <v>0</v>
          </cell>
          <cell r="AB88">
            <v>0</v>
          </cell>
          <cell r="AC88">
            <v>-389.93333333333328</v>
          </cell>
          <cell r="AD88">
            <v>152</v>
          </cell>
          <cell r="AE88">
            <v>135</v>
          </cell>
          <cell r="AF88">
            <v>17</v>
          </cell>
          <cell r="AG88">
            <v>44</v>
          </cell>
          <cell r="AH88">
            <v>15</v>
          </cell>
          <cell r="AI88">
            <v>29</v>
          </cell>
          <cell r="AJ88">
            <v>-108</v>
          </cell>
          <cell r="AP88">
            <v>1008.5999999999999</v>
          </cell>
          <cell r="AQ88">
            <v>301.13333333333333</v>
          </cell>
          <cell r="AR88">
            <v>707.46666666666658</v>
          </cell>
          <cell r="AS88">
            <v>187</v>
          </cell>
          <cell r="AT88">
            <v>-821.59999999999991</v>
          </cell>
          <cell r="AU88">
            <v>176</v>
          </cell>
          <cell r="AV88">
            <v>46</v>
          </cell>
          <cell r="AW88">
            <v>125.13333333333333</v>
          </cell>
          <cell r="AX88">
            <v>661.46666666666658</v>
          </cell>
        </row>
        <row r="89">
          <cell r="C89">
            <v>33684.593999999997</v>
          </cell>
          <cell r="D89">
            <v>15922</v>
          </cell>
          <cell r="E89">
            <v>13260.594000000001</v>
          </cell>
          <cell r="N89">
            <v>22053.956727272729</v>
          </cell>
          <cell r="O89">
            <v>20619</v>
          </cell>
          <cell r="P89">
            <v>-1434.956727272729</v>
          </cell>
          <cell r="Q89">
            <v>133855.67966666666</v>
          </cell>
          <cell r="R89">
            <v>139429</v>
          </cell>
          <cell r="S89">
            <v>5573.3203333333367</v>
          </cell>
          <cell r="T89">
            <v>215176.22484848485</v>
          </cell>
          <cell r="U89">
            <v>124019.34756097561</v>
          </cell>
          <cell r="V89">
            <v>91156.87728750924</v>
          </cell>
          <cell r="W89">
            <v>192984</v>
          </cell>
          <cell r="X89">
            <v>-22192.224848484853</v>
          </cell>
          <cell r="Y89">
            <v>177848.46363636359</v>
          </cell>
          <cell r="Z89">
            <v>96838.750161952048</v>
          </cell>
          <cell r="AA89">
            <v>80619.780141078256</v>
          </cell>
          <cell r="AB89">
            <v>81399</v>
          </cell>
          <cell r="AC89">
            <v>-96449.463636363595</v>
          </cell>
          <cell r="AD89">
            <v>38643.386606060609</v>
          </cell>
          <cell r="AE89">
            <v>31921.744424242428</v>
          </cell>
          <cell r="AF89">
            <v>6720.6421818181807</v>
          </cell>
          <cell r="AG89">
            <v>9686</v>
          </cell>
          <cell r="AH89">
            <v>6496</v>
          </cell>
          <cell r="AI89">
            <v>2061</v>
          </cell>
          <cell r="AJ89">
            <v>-28957.386606060609</v>
          </cell>
          <cell r="AK89">
            <v>0</v>
          </cell>
          <cell r="AN89">
            <v>0</v>
          </cell>
          <cell r="AP89">
            <v>616934.91396969697</v>
          </cell>
          <cell r="AQ89" t="e">
            <v>#REF!</v>
          </cell>
          <cell r="AR89" t="e">
            <v>#REF!</v>
          </cell>
          <cell r="AS89">
            <v>428830</v>
          </cell>
          <cell r="AT89">
            <v>-188104.91396969697</v>
          </cell>
          <cell r="AU89">
            <v>220065.09772292766</v>
          </cell>
          <cell r="AV89">
            <v>264340</v>
          </cell>
          <cell r="AW89">
            <v>26220.374909090911</v>
          </cell>
          <cell r="AX89" t="e">
            <v>#REF!</v>
          </cell>
        </row>
        <row r="90">
          <cell r="C90">
            <v>17890.593999999997</v>
          </cell>
          <cell r="D90">
            <v>4630</v>
          </cell>
          <cell r="E90">
            <v>13260.594000000001</v>
          </cell>
          <cell r="N90">
            <v>22053.956727272729</v>
          </cell>
          <cell r="O90">
            <v>20619</v>
          </cell>
          <cell r="P90">
            <v>-1434.956727272729</v>
          </cell>
          <cell r="Q90">
            <v>59717.679666666663</v>
          </cell>
          <cell r="R90">
            <v>58294</v>
          </cell>
          <cell r="S90">
            <v>-1423.6796666666633</v>
          </cell>
          <cell r="T90">
            <v>28598.224848484853</v>
          </cell>
          <cell r="U90">
            <v>15213</v>
          </cell>
          <cell r="V90">
            <v>13385.224848484853</v>
          </cell>
          <cell r="W90">
            <v>27624</v>
          </cell>
          <cell r="X90">
            <v>-974.22484848485328</v>
          </cell>
          <cell r="Y90">
            <v>20280.463636363595</v>
          </cell>
          <cell r="Z90">
            <v>10081</v>
          </cell>
          <cell r="AA90">
            <v>9809.5303030303039</v>
          </cell>
          <cell r="AB90">
            <v>5098</v>
          </cell>
          <cell r="AC90">
            <v>-15182.463636363595</v>
          </cell>
          <cell r="AD90">
            <v>38643.386606060609</v>
          </cell>
          <cell r="AE90">
            <v>31921.744424242428</v>
          </cell>
          <cell r="AF90">
            <v>6720.6421818181807</v>
          </cell>
          <cell r="AG90">
            <v>9686</v>
          </cell>
          <cell r="AH90">
            <v>6496</v>
          </cell>
          <cell r="AI90">
            <v>2061</v>
          </cell>
          <cell r="AJ90">
            <v>-28957.386606060609</v>
          </cell>
          <cell r="AN90">
            <v>0</v>
          </cell>
          <cell r="AP90">
            <v>182855.91396969697</v>
          </cell>
          <cell r="AQ90" t="e">
            <v>#REF!</v>
          </cell>
          <cell r="AR90" t="e">
            <v>#REF!</v>
          </cell>
          <cell r="AS90">
            <v>117137</v>
          </cell>
          <cell r="AT90">
            <v>-65718.913969696965</v>
          </cell>
          <cell r="AU90">
            <v>24501</v>
          </cell>
          <cell r="AV90">
            <v>41620</v>
          </cell>
          <cell r="AW90">
            <v>26219.374909090911</v>
          </cell>
          <cell r="AX90" t="e">
            <v>#REF!</v>
          </cell>
        </row>
        <row r="91">
          <cell r="C91">
            <v>1285.5940000000001</v>
          </cell>
          <cell r="D91">
            <v>310</v>
          </cell>
          <cell r="E91">
            <v>975.59400000000005</v>
          </cell>
          <cell r="P91">
            <v>0</v>
          </cell>
          <cell r="Q91">
            <v>12265.86090909091</v>
          </cell>
          <cell r="R91">
            <v>11767</v>
          </cell>
          <cell r="S91">
            <v>-498.86090909091035</v>
          </cell>
          <cell r="T91">
            <v>4592.227272727273</v>
          </cell>
          <cell r="U91">
            <v>2344</v>
          </cell>
          <cell r="V91">
            <v>2248.227272727273</v>
          </cell>
          <cell r="W91">
            <v>4343</v>
          </cell>
          <cell r="X91">
            <v>-249.22727272727298</v>
          </cell>
          <cell r="Y91">
            <v>3702.647272727273</v>
          </cell>
          <cell r="Z91">
            <v>1812</v>
          </cell>
          <cell r="AA91">
            <v>1890.6472727272728</v>
          </cell>
          <cell r="AB91">
            <v>1097</v>
          </cell>
          <cell r="AC91">
            <v>-2605.647272727273</v>
          </cell>
          <cell r="AD91">
            <v>10927.106363636363</v>
          </cell>
          <cell r="AE91">
            <v>9821.136363636364</v>
          </cell>
          <cell r="AF91">
            <v>1105.9699999999996</v>
          </cell>
          <cell r="AG91">
            <v>2881</v>
          </cell>
          <cell r="AH91">
            <v>1984</v>
          </cell>
          <cell r="AI91">
            <v>306</v>
          </cell>
          <cell r="AJ91">
            <v>-8046.1063636363633</v>
          </cell>
          <cell r="AN91">
            <v>0</v>
          </cell>
          <cell r="AP91">
            <v>37891.738545454551</v>
          </cell>
          <cell r="AQ91">
            <v>617087.91396969697</v>
          </cell>
          <cell r="AR91">
            <v>260280.47263201856</v>
          </cell>
          <cell r="AS91">
            <v>24419</v>
          </cell>
        </row>
        <row r="92">
          <cell r="C92">
            <v>-1238</v>
          </cell>
          <cell r="N92">
            <v>7720.65</v>
          </cell>
          <cell r="O92">
            <v>7638</v>
          </cell>
          <cell r="P92">
            <v>-82.649999999999636</v>
          </cell>
          <cell r="Q92">
            <v>21196.243999999999</v>
          </cell>
          <cell r="R92">
            <v>20519</v>
          </cell>
          <cell r="S92">
            <v>-677.24399999999878</v>
          </cell>
          <cell r="T92">
            <v>958.47</v>
          </cell>
          <cell r="W92">
            <v>817</v>
          </cell>
          <cell r="X92">
            <v>-141.47000000000003</v>
          </cell>
          <cell r="Y92">
            <v>3357.9775757575753</v>
          </cell>
          <cell r="AB92">
            <v>432</v>
          </cell>
          <cell r="AC92">
            <v>-2925.9775757575753</v>
          </cell>
          <cell r="AD92">
            <v>1773.6</v>
          </cell>
          <cell r="AE92">
            <v>1774</v>
          </cell>
          <cell r="AF92">
            <v>-0.40000000000009095</v>
          </cell>
          <cell r="AI92">
            <v>0</v>
          </cell>
          <cell r="AJ92" t="e">
            <v>#REF!</v>
          </cell>
          <cell r="AN92" t="e">
            <v>#REF!</v>
          </cell>
          <cell r="AO92">
            <v>1616</v>
          </cell>
          <cell r="AP92" t="e">
            <v>#REF!</v>
          </cell>
          <cell r="AS92">
            <v>10503</v>
          </cell>
        </row>
        <row r="93">
          <cell r="C93">
            <v>70</v>
          </cell>
          <cell r="N93">
            <v>4169</v>
          </cell>
          <cell r="O93">
            <v>4632</v>
          </cell>
          <cell r="P93">
            <v>463</v>
          </cell>
          <cell r="Q93">
            <v>9157</v>
          </cell>
          <cell r="R93">
            <v>14928</v>
          </cell>
          <cell r="S93">
            <v>5771</v>
          </cell>
          <cell r="T93">
            <v>958</v>
          </cell>
          <cell r="W93">
            <v>700</v>
          </cell>
          <cell r="X93">
            <v>-258</v>
          </cell>
          <cell r="Y93">
            <v>0</v>
          </cell>
          <cell r="AB93">
            <v>432</v>
          </cell>
          <cell r="AC93">
            <v>432</v>
          </cell>
          <cell r="AD93">
            <v>1774</v>
          </cell>
          <cell r="AE93">
            <v>1774</v>
          </cell>
          <cell r="AF93">
            <v>0</v>
          </cell>
          <cell r="AI93">
            <v>0</v>
          </cell>
          <cell r="AJ93">
            <v>-1774</v>
          </cell>
          <cell r="AN93" t="e">
            <v>#REF!</v>
          </cell>
          <cell r="AP93" t="e">
            <v>#REF!</v>
          </cell>
          <cell r="AS93">
            <v>5764</v>
          </cell>
        </row>
        <row r="95">
          <cell r="C95">
            <v>-1308</v>
          </cell>
          <cell r="N95">
            <v>3551.6499999999996</v>
          </cell>
          <cell r="O95">
            <v>3006</v>
          </cell>
          <cell r="P95">
            <v>-545.64999999999964</v>
          </cell>
          <cell r="Q95">
            <v>8884</v>
          </cell>
          <cell r="R95">
            <v>0</v>
          </cell>
          <cell r="S95">
            <v>-8884</v>
          </cell>
          <cell r="T95">
            <v>0</v>
          </cell>
          <cell r="W95">
            <v>117</v>
          </cell>
          <cell r="X95">
            <v>117</v>
          </cell>
          <cell r="Y95">
            <v>0</v>
          </cell>
          <cell r="AC95">
            <v>0</v>
          </cell>
          <cell r="AD95">
            <v>0</v>
          </cell>
          <cell r="AE95">
            <v>0</v>
          </cell>
          <cell r="AF95">
            <v>0</v>
          </cell>
          <cell r="AI95">
            <v>0</v>
          </cell>
          <cell r="AJ95">
            <v>0</v>
          </cell>
          <cell r="AN95" t="e">
            <v>#REF!</v>
          </cell>
          <cell r="AP95" t="e">
            <v>#REF!</v>
          </cell>
          <cell r="AS95">
            <v>3123</v>
          </cell>
        </row>
        <row r="96">
          <cell r="P96">
            <v>0</v>
          </cell>
          <cell r="Q96">
            <v>4262</v>
          </cell>
          <cell r="R96">
            <v>5226</v>
          </cell>
          <cell r="S96">
            <v>964</v>
          </cell>
          <cell r="X96">
            <v>0</v>
          </cell>
          <cell r="AC96">
            <v>0</v>
          </cell>
          <cell r="AF96">
            <v>0</v>
          </cell>
          <cell r="AI96">
            <v>0</v>
          </cell>
          <cell r="AJ96">
            <v>0</v>
          </cell>
          <cell r="AN96" t="e">
            <v>#REF!</v>
          </cell>
          <cell r="AP96" t="e">
            <v>#REF!</v>
          </cell>
          <cell r="AS96">
            <v>0</v>
          </cell>
        </row>
        <row r="97">
          <cell r="O97">
            <v>145</v>
          </cell>
          <cell r="P97">
            <v>145</v>
          </cell>
          <cell r="S97">
            <v>0</v>
          </cell>
          <cell r="X97">
            <v>0</v>
          </cell>
          <cell r="AC97">
            <v>0</v>
          </cell>
          <cell r="AF97">
            <v>0</v>
          </cell>
          <cell r="AI97">
            <v>0</v>
          </cell>
          <cell r="AJ97">
            <v>0</v>
          </cell>
          <cell r="AN97" t="e">
            <v>#REF!</v>
          </cell>
          <cell r="AP97" t="e">
            <v>#REF!</v>
          </cell>
          <cell r="AS97">
            <v>145</v>
          </cell>
        </row>
        <row r="98">
          <cell r="P98">
            <v>0</v>
          </cell>
          <cell r="S98">
            <v>0</v>
          </cell>
          <cell r="X98">
            <v>0</v>
          </cell>
          <cell r="AC98">
            <v>0</v>
          </cell>
          <cell r="AF98">
            <v>0</v>
          </cell>
          <cell r="AI98">
            <v>0</v>
          </cell>
          <cell r="AJ98">
            <v>0</v>
          </cell>
          <cell r="AN98" t="e">
            <v>#REF!</v>
          </cell>
          <cell r="AP98" t="e">
            <v>#REF!</v>
          </cell>
          <cell r="AS98">
            <v>0</v>
          </cell>
        </row>
        <row r="99">
          <cell r="P99">
            <v>0</v>
          </cell>
          <cell r="S99">
            <v>0</v>
          </cell>
          <cell r="X99">
            <v>0</v>
          </cell>
          <cell r="AC99">
            <v>0</v>
          </cell>
          <cell r="AI99">
            <v>0</v>
          </cell>
          <cell r="AJ99">
            <v>0</v>
          </cell>
          <cell r="AN99" t="e">
            <v>#REF!</v>
          </cell>
          <cell r="AP99" t="e">
            <v>#REF!</v>
          </cell>
          <cell r="AS99">
            <v>0</v>
          </cell>
        </row>
        <row r="100">
          <cell r="C100">
            <v>-1308</v>
          </cell>
          <cell r="N100">
            <v>0.19200000000000017</v>
          </cell>
          <cell r="P100">
            <v>-0.19200000000000017</v>
          </cell>
          <cell r="Q100">
            <v>-0.32000000000000028</v>
          </cell>
          <cell r="S100">
            <v>0.32000000000000028</v>
          </cell>
          <cell r="T100">
            <v>-0.3360000000000003</v>
          </cell>
          <cell r="X100">
            <v>0.3360000000000003</v>
          </cell>
          <cell r="Y100">
            <v>0.28000000000000114</v>
          </cell>
          <cell r="AB100">
            <v>10</v>
          </cell>
          <cell r="AC100">
            <v>9.7199999999999989</v>
          </cell>
          <cell r="AD100">
            <v>0.35200000000000031</v>
          </cell>
          <cell r="AE100">
            <v>0.35200000000000031</v>
          </cell>
          <cell r="AF100">
            <v>0</v>
          </cell>
          <cell r="AG100">
            <v>128</v>
          </cell>
          <cell r="AH100">
            <v>128</v>
          </cell>
          <cell r="AI100">
            <v>0</v>
          </cell>
          <cell r="AJ100">
            <v>127.648</v>
          </cell>
          <cell r="AN100" t="e">
            <v>#REF!</v>
          </cell>
          <cell r="AP100" t="e">
            <v>#REF!</v>
          </cell>
          <cell r="AS100">
            <v>138</v>
          </cell>
        </row>
        <row r="101">
          <cell r="C101">
            <v>-1308</v>
          </cell>
          <cell r="N101">
            <v>0</v>
          </cell>
          <cell r="P101">
            <v>0</v>
          </cell>
          <cell r="Q101">
            <v>0</v>
          </cell>
          <cell r="R101">
            <v>0</v>
          </cell>
          <cell r="S101">
            <v>0</v>
          </cell>
          <cell r="T101">
            <v>0</v>
          </cell>
          <cell r="X101">
            <v>0</v>
          </cell>
          <cell r="Y101">
            <v>0</v>
          </cell>
          <cell r="AC101">
            <v>0</v>
          </cell>
          <cell r="AD101">
            <v>0</v>
          </cell>
          <cell r="AE101">
            <v>0</v>
          </cell>
          <cell r="AF101">
            <v>0</v>
          </cell>
          <cell r="AI101">
            <v>0</v>
          </cell>
          <cell r="AJ101">
            <v>0</v>
          </cell>
          <cell r="AN101" t="e">
            <v>#REF!</v>
          </cell>
          <cell r="AP101" t="e">
            <v>#REF!</v>
          </cell>
          <cell r="AS101">
            <v>0</v>
          </cell>
        </row>
        <row r="102">
          <cell r="C102">
            <v>0</v>
          </cell>
          <cell r="N102">
            <v>0</v>
          </cell>
          <cell r="P102">
            <v>0</v>
          </cell>
          <cell r="Q102">
            <v>0</v>
          </cell>
          <cell r="S102">
            <v>0</v>
          </cell>
          <cell r="T102">
            <v>0</v>
          </cell>
          <cell r="X102">
            <v>0</v>
          </cell>
          <cell r="Y102">
            <v>0</v>
          </cell>
          <cell r="AC102">
            <v>0</v>
          </cell>
          <cell r="AD102">
            <v>0</v>
          </cell>
          <cell r="AE102">
            <v>0</v>
          </cell>
          <cell r="AF102">
            <v>0</v>
          </cell>
          <cell r="AI102">
            <v>0</v>
          </cell>
          <cell r="AJ102">
            <v>0</v>
          </cell>
          <cell r="AN102" t="e">
            <v>#REF!</v>
          </cell>
          <cell r="AP102" t="e">
            <v>#REF!</v>
          </cell>
          <cell r="AS102">
            <v>0</v>
          </cell>
        </row>
        <row r="103">
          <cell r="C103">
            <v>0</v>
          </cell>
          <cell r="N103">
            <v>0.19200000000000017</v>
          </cell>
          <cell r="P103">
            <v>-0.19200000000000017</v>
          </cell>
          <cell r="Q103">
            <v>-0.32000000000000028</v>
          </cell>
          <cell r="S103">
            <v>0.32000000000000028</v>
          </cell>
          <cell r="T103">
            <v>-0.3360000000000003</v>
          </cell>
          <cell r="X103">
            <v>0.3360000000000003</v>
          </cell>
          <cell r="Y103">
            <v>0.28000000000000114</v>
          </cell>
          <cell r="AB103">
            <v>10</v>
          </cell>
          <cell r="AC103">
            <v>9.7199999999999989</v>
          </cell>
          <cell r="AD103">
            <v>0.35200000000000031</v>
          </cell>
          <cell r="AE103">
            <v>0.35200000000000031</v>
          </cell>
          <cell r="AF103">
            <v>0</v>
          </cell>
          <cell r="AG103">
            <v>128</v>
          </cell>
          <cell r="AH103">
            <v>128</v>
          </cell>
          <cell r="AI103">
            <v>0</v>
          </cell>
          <cell r="AJ103">
            <v>127.648</v>
          </cell>
          <cell r="AN103">
            <v>3701.768</v>
          </cell>
          <cell r="AP103">
            <v>3702</v>
          </cell>
          <cell r="AS103">
            <v>138</v>
          </cell>
        </row>
        <row r="104">
          <cell r="C104">
            <v>0</v>
          </cell>
          <cell r="N104">
            <v>0.20800000000000018</v>
          </cell>
          <cell r="P104">
            <v>-0.20800000000000018</v>
          </cell>
          <cell r="S104">
            <v>0</v>
          </cell>
          <cell r="T104">
            <v>-0.42800000000000082</v>
          </cell>
          <cell r="X104">
            <v>0.42800000000000082</v>
          </cell>
          <cell r="Y104">
            <v>6.799999999999784E-2</v>
          </cell>
          <cell r="AB104">
            <v>86</v>
          </cell>
          <cell r="AC104">
            <v>85.932000000000002</v>
          </cell>
          <cell r="AD104">
            <v>0.28399999999999892</v>
          </cell>
          <cell r="AE104">
            <v>0.28399999999999892</v>
          </cell>
          <cell r="AF104">
            <v>0</v>
          </cell>
          <cell r="AG104">
            <v>30</v>
          </cell>
          <cell r="AH104">
            <v>30</v>
          </cell>
          <cell r="AI104">
            <v>0</v>
          </cell>
          <cell r="AJ104">
            <v>29.716000000000001</v>
          </cell>
          <cell r="AN104" t="e">
            <v>#REF!</v>
          </cell>
          <cell r="AP104" t="e">
            <v>#REF!</v>
          </cell>
          <cell r="AS104">
            <v>116</v>
          </cell>
        </row>
        <row r="105">
          <cell r="C105">
            <v>0</v>
          </cell>
          <cell r="N105">
            <v>0</v>
          </cell>
          <cell r="P105">
            <v>0</v>
          </cell>
          <cell r="Q105">
            <v>324</v>
          </cell>
          <cell r="R105">
            <v>365</v>
          </cell>
          <cell r="S105">
            <v>41</v>
          </cell>
          <cell r="T105">
            <v>0</v>
          </cell>
          <cell r="X105">
            <v>0</v>
          </cell>
          <cell r="Y105">
            <v>0</v>
          </cell>
          <cell r="AB105">
            <v>0</v>
          </cell>
          <cell r="AC105">
            <v>0</v>
          </cell>
          <cell r="AD105">
            <v>0</v>
          </cell>
          <cell r="AE105">
            <v>0</v>
          </cell>
          <cell r="AF105">
            <v>0</v>
          </cell>
          <cell r="AI105">
            <v>0</v>
          </cell>
          <cell r="AJ105">
            <v>0</v>
          </cell>
          <cell r="AN105" t="e">
            <v>#REF!</v>
          </cell>
          <cell r="AP105" t="e">
            <v>#REF!</v>
          </cell>
          <cell r="AS105">
            <v>0</v>
          </cell>
        </row>
        <row r="106">
          <cell r="C106">
            <v>0</v>
          </cell>
          <cell r="N106">
            <v>0.20800000000000018</v>
          </cell>
          <cell r="P106">
            <v>-0.20800000000000018</v>
          </cell>
          <cell r="Q106">
            <v>-0.23600000000000065</v>
          </cell>
          <cell r="S106">
            <v>0.23600000000000065</v>
          </cell>
          <cell r="T106">
            <v>-0.42800000000000082</v>
          </cell>
          <cell r="X106">
            <v>0.42800000000000082</v>
          </cell>
          <cell r="Y106">
            <v>6.799999999999784E-2</v>
          </cell>
          <cell r="AB106">
            <v>86</v>
          </cell>
          <cell r="AC106">
            <v>85.932000000000002</v>
          </cell>
          <cell r="AD106">
            <v>0.28399999999999892</v>
          </cell>
          <cell r="AE106">
            <v>0.28399999999999892</v>
          </cell>
          <cell r="AF106">
            <v>0</v>
          </cell>
          <cell r="AG106">
            <v>30</v>
          </cell>
          <cell r="AH106">
            <v>30</v>
          </cell>
          <cell r="AI106">
            <v>0</v>
          </cell>
          <cell r="AJ106">
            <v>29.716000000000001</v>
          </cell>
          <cell r="AN106" t="e">
            <v>#REF!</v>
          </cell>
          <cell r="AP106" t="e">
            <v>#REF!</v>
          </cell>
          <cell r="AS106">
            <v>116</v>
          </cell>
        </row>
        <row r="107">
          <cell r="C107" t="e">
            <v>#REF!</v>
          </cell>
          <cell r="N107">
            <v>0</v>
          </cell>
          <cell r="P107">
            <v>0</v>
          </cell>
          <cell r="S107">
            <v>0</v>
          </cell>
          <cell r="T107">
            <v>0</v>
          </cell>
          <cell r="X107">
            <v>0</v>
          </cell>
          <cell r="Y107">
            <v>0</v>
          </cell>
          <cell r="AC107">
            <v>0</v>
          </cell>
          <cell r="AD107">
            <v>0</v>
          </cell>
          <cell r="AE107">
            <v>0</v>
          </cell>
          <cell r="AF107">
            <v>0</v>
          </cell>
          <cell r="AI107">
            <v>0</v>
          </cell>
          <cell r="AJ107">
            <v>0</v>
          </cell>
          <cell r="AN107" t="e">
            <v>#REF!</v>
          </cell>
          <cell r="AP107" t="e">
            <v>#REF!</v>
          </cell>
          <cell r="AQ107" t="e">
            <v>#REF!</v>
          </cell>
          <cell r="AR107" t="e">
            <v>#REF!</v>
          </cell>
          <cell r="AS107">
            <v>0</v>
          </cell>
        </row>
        <row r="108">
          <cell r="C108">
            <v>0</v>
          </cell>
          <cell r="N108">
            <v>0</v>
          </cell>
          <cell r="P108">
            <v>0</v>
          </cell>
          <cell r="S108">
            <v>0</v>
          </cell>
          <cell r="T108">
            <v>0</v>
          </cell>
          <cell r="X108">
            <v>0</v>
          </cell>
          <cell r="Y108">
            <v>0</v>
          </cell>
          <cell r="AC108">
            <v>0</v>
          </cell>
          <cell r="AD108">
            <v>0</v>
          </cell>
          <cell r="AE108">
            <v>0</v>
          </cell>
          <cell r="AF108">
            <v>0</v>
          </cell>
          <cell r="AI108">
            <v>0</v>
          </cell>
          <cell r="AJ108">
            <v>0</v>
          </cell>
          <cell r="AN108" t="e">
            <v>#REF!</v>
          </cell>
          <cell r="AP108" t="e">
            <v>#REF!</v>
          </cell>
          <cell r="AS108">
            <v>0</v>
          </cell>
        </row>
        <row r="109">
          <cell r="C109">
            <v>0</v>
          </cell>
          <cell r="N109">
            <v>0</v>
          </cell>
          <cell r="P109">
            <v>0</v>
          </cell>
          <cell r="Q109">
            <v>0</v>
          </cell>
          <cell r="S109">
            <v>0</v>
          </cell>
          <cell r="T109">
            <v>0</v>
          </cell>
          <cell r="X109">
            <v>0</v>
          </cell>
          <cell r="Y109">
            <v>0</v>
          </cell>
          <cell r="AC109">
            <v>0</v>
          </cell>
          <cell r="AD109">
            <v>0</v>
          </cell>
          <cell r="AE109">
            <v>0</v>
          </cell>
          <cell r="AF109">
            <v>0</v>
          </cell>
          <cell r="AI109">
            <v>0</v>
          </cell>
          <cell r="AJ109">
            <v>0</v>
          </cell>
          <cell r="AN109" t="e">
            <v>#REF!</v>
          </cell>
          <cell r="AP109" t="e">
            <v>#REF!</v>
          </cell>
          <cell r="AQ109">
            <v>0</v>
          </cell>
          <cell r="AR109">
            <v>0</v>
          </cell>
          <cell r="AS109">
            <v>0</v>
          </cell>
        </row>
        <row r="110">
          <cell r="C110">
            <v>0</v>
          </cell>
          <cell r="N110">
            <v>0</v>
          </cell>
          <cell r="P110">
            <v>0</v>
          </cell>
          <cell r="Q110">
            <v>0</v>
          </cell>
          <cell r="S110">
            <v>0</v>
          </cell>
          <cell r="T110">
            <v>0</v>
          </cell>
          <cell r="X110">
            <v>0</v>
          </cell>
          <cell r="Y110">
            <v>0</v>
          </cell>
          <cell r="AC110">
            <v>0</v>
          </cell>
          <cell r="AD110">
            <v>0</v>
          </cell>
          <cell r="AE110">
            <v>0</v>
          </cell>
          <cell r="AF110">
            <v>0</v>
          </cell>
          <cell r="AI110">
            <v>0</v>
          </cell>
          <cell r="AJ110">
            <v>0</v>
          </cell>
          <cell r="AN110" t="e">
            <v>#REF!</v>
          </cell>
          <cell r="AP110" t="e">
            <v>#REF!</v>
          </cell>
          <cell r="AS110">
            <v>0</v>
          </cell>
        </row>
        <row r="111">
          <cell r="C111">
            <v>0</v>
          </cell>
          <cell r="N111">
            <v>0</v>
          </cell>
          <cell r="P111">
            <v>0</v>
          </cell>
          <cell r="Q111">
            <v>0</v>
          </cell>
          <cell r="S111">
            <v>0</v>
          </cell>
          <cell r="T111">
            <v>0</v>
          </cell>
          <cell r="X111">
            <v>0</v>
          </cell>
          <cell r="Y111">
            <v>0</v>
          </cell>
          <cell r="AB111">
            <v>251</v>
          </cell>
          <cell r="AC111">
            <v>251</v>
          </cell>
          <cell r="AD111">
            <v>0</v>
          </cell>
          <cell r="AE111">
            <v>0</v>
          </cell>
          <cell r="AF111">
            <v>0</v>
          </cell>
          <cell r="AG111">
            <v>535</v>
          </cell>
          <cell r="AH111">
            <v>535</v>
          </cell>
          <cell r="AI111">
            <v>0</v>
          </cell>
          <cell r="AJ111">
            <v>535</v>
          </cell>
          <cell r="AN111" t="e">
            <v>#REF!</v>
          </cell>
          <cell r="AP111" t="e">
            <v>#REF!</v>
          </cell>
          <cell r="AS111">
            <v>786</v>
          </cell>
        </row>
        <row r="112">
          <cell r="C112">
            <v>0</v>
          </cell>
          <cell r="N112">
            <v>0</v>
          </cell>
          <cell r="P112">
            <v>0</v>
          </cell>
          <cell r="Q112">
            <v>0</v>
          </cell>
          <cell r="S112">
            <v>0</v>
          </cell>
          <cell r="T112">
            <v>0</v>
          </cell>
          <cell r="X112">
            <v>0</v>
          </cell>
          <cell r="Y112">
            <v>0</v>
          </cell>
          <cell r="AB112">
            <v>7</v>
          </cell>
          <cell r="AC112">
            <v>7</v>
          </cell>
          <cell r="AD112">
            <v>0</v>
          </cell>
          <cell r="AE112">
            <v>0</v>
          </cell>
          <cell r="AF112">
            <v>0</v>
          </cell>
          <cell r="AI112">
            <v>0</v>
          </cell>
          <cell r="AJ112">
            <v>0</v>
          </cell>
          <cell r="AN112">
            <v>19</v>
          </cell>
          <cell r="AP112">
            <v>19</v>
          </cell>
          <cell r="AS112">
            <v>7</v>
          </cell>
        </row>
        <row r="113">
          <cell r="C113">
            <v>1290</v>
          </cell>
          <cell r="N113">
            <v>0</v>
          </cell>
          <cell r="P113">
            <v>0</v>
          </cell>
          <cell r="Q113">
            <v>0</v>
          </cell>
          <cell r="S113">
            <v>0</v>
          </cell>
          <cell r="T113">
            <v>0</v>
          </cell>
          <cell r="X113">
            <v>0</v>
          </cell>
          <cell r="Y113">
            <v>0</v>
          </cell>
          <cell r="AC113">
            <v>0</v>
          </cell>
          <cell r="AD113">
            <v>0</v>
          </cell>
          <cell r="AE113">
            <v>0</v>
          </cell>
          <cell r="AF113">
            <v>0</v>
          </cell>
          <cell r="AI113">
            <v>0</v>
          </cell>
          <cell r="AJ113">
            <v>0</v>
          </cell>
          <cell r="AN113" t="e">
            <v>#REF!</v>
          </cell>
          <cell r="AP113" t="e">
            <v>#REF!</v>
          </cell>
          <cell r="AS113">
            <v>0</v>
          </cell>
        </row>
        <row r="114">
          <cell r="C114">
            <v>0</v>
          </cell>
          <cell r="P114">
            <v>0</v>
          </cell>
          <cell r="S114">
            <v>0</v>
          </cell>
          <cell r="X114">
            <v>0</v>
          </cell>
          <cell r="AC114">
            <v>0</v>
          </cell>
          <cell r="AF114">
            <v>0</v>
          </cell>
          <cell r="AI114">
            <v>0</v>
          </cell>
          <cell r="AJ114">
            <v>0</v>
          </cell>
          <cell r="AP114">
            <v>0</v>
          </cell>
          <cell r="AS114">
            <v>0</v>
          </cell>
        </row>
        <row r="115">
          <cell r="C115">
            <v>10718</v>
          </cell>
          <cell r="P115">
            <v>0</v>
          </cell>
          <cell r="S115">
            <v>0</v>
          </cell>
          <cell r="X115">
            <v>0</v>
          </cell>
          <cell r="AC115">
            <v>0</v>
          </cell>
          <cell r="AF115">
            <v>0</v>
          </cell>
          <cell r="AI115">
            <v>0</v>
          </cell>
          <cell r="AJ115">
            <v>0</v>
          </cell>
          <cell r="AP115">
            <v>10718</v>
          </cell>
          <cell r="AS115">
            <v>0</v>
          </cell>
        </row>
        <row r="116">
          <cell r="C116">
            <v>0</v>
          </cell>
        </row>
        <row r="119">
          <cell r="P119">
            <v>0</v>
          </cell>
          <cell r="S119">
            <v>0</v>
          </cell>
          <cell r="X119">
            <v>0</v>
          </cell>
          <cell r="AC119">
            <v>0</v>
          </cell>
          <cell r="AI119">
            <v>0</v>
          </cell>
          <cell r="AJ119">
            <v>0</v>
          </cell>
          <cell r="AN119" t="e">
            <v>#REF!</v>
          </cell>
          <cell r="AP119">
            <v>36465</v>
          </cell>
          <cell r="AQ119" t="e">
            <v>#REF!</v>
          </cell>
          <cell r="AS119">
            <v>0</v>
          </cell>
        </row>
        <row r="120">
          <cell r="C120">
            <v>0</v>
          </cell>
          <cell r="P120">
            <v>0</v>
          </cell>
          <cell r="S120">
            <v>0</v>
          </cell>
          <cell r="X120">
            <v>0</v>
          </cell>
          <cell r="AC120">
            <v>0</v>
          </cell>
          <cell r="AJ120">
            <v>0</v>
          </cell>
          <cell r="AN120" t="e">
            <v>#REF!</v>
          </cell>
          <cell r="AP120" t="e">
            <v>#REF!</v>
          </cell>
          <cell r="AS120">
            <v>0</v>
          </cell>
        </row>
        <row r="121">
          <cell r="C121">
            <v>11853</v>
          </cell>
          <cell r="D121">
            <v>0</v>
          </cell>
          <cell r="E121">
            <v>0</v>
          </cell>
          <cell r="N121">
            <v>0.40000000000000036</v>
          </cell>
          <cell r="O121">
            <v>0</v>
          </cell>
          <cell r="P121">
            <v>-0.40000000000000036</v>
          </cell>
          <cell r="Q121">
            <v>4586</v>
          </cell>
          <cell r="R121">
            <v>0</v>
          </cell>
          <cell r="S121">
            <v>-4586</v>
          </cell>
          <cell r="T121">
            <v>0</v>
          </cell>
          <cell r="U121">
            <v>0</v>
          </cell>
          <cell r="V121">
            <v>0</v>
          </cell>
          <cell r="W121">
            <v>117</v>
          </cell>
          <cell r="X121">
            <v>117</v>
          </cell>
          <cell r="Y121">
            <v>0.34799999999999898</v>
          </cell>
          <cell r="Z121">
            <v>0</v>
          </cell>
          <cell r="AA121">
            <v>0</v>
          </cell>
          <cell r="AB121">
            <v>354</v>
          </cell>
          <cell r="AC121">
            <v>353.65199999999999</v>
          </cell>
          <cell r="AD121">
            <v>0.63599999999999923</v>
          </cell>
          <cell r="AE121">
            <v>0.63599999999999923</v>
          </cell>
          <cell r="AF121">
            <v>0</v>
          </cell>
          <cell r="AG121">
            <v>693</v>
          </cell>
          <cell r="AH121">
            <v>693</v>
          </cell>
          <cell r="AI121">
            <v>0</v>
          </cell>
          <cell r="AJ121">
            <v>692.36400000000003</v>
          </cell>
          <cell r="AN121" t="e">
            <v>#REF!</v>
          </cell>
          <cell r="AP121" t="e">
            <v>#REF!</v>
          </cell>
          <cell r="AU121">
            <v>0</v>
          </cell>
          <cell r="AV121">
            <v>0</v>
          </cell>
          <cell r="AW121">
            <v>0</v>
          </cell>
          <cell r="AX121">
            <v>0</v>
          </cell>
        </row>
        <row r="122">
          <cell r="C122" t="e">
            <v>#REF!</v>
          </cell>
          <cell r="D122">
            <v>0</v>
          </cell>
          <cell r="E122">
            <v>0</v>
          </cell>
          <cell r="N122">
            <v>3552.0499999999997</v>
          </cell>
          <cell r="O122">
            <v>3151</v>
          </cell>
          <cell r="P122">
            <v>-401.04999999999973</v>
          </cell>
          <cell r="Q122">
            <v>9207.68</v>
          </cell>
          <cell r="T122">
            <v>-0.76400000000000112</v>
          </cell>
          <cell r="U122">
            <v>0</v>
          </cell>
          <cell r="V122">
            <v>0</v>
          </cell>
          <cell r="X122">
            <v>0.76400000000000112</v>
          </cell>
          <cell r="Y122">
            <v>0.34799999999999898</v>
          </cell>
          <cell r="Z122">
            <v>0</v>
          </cell>
          <cell r="AA122">
            <v>0</v>
          </cell>
          <cell r="AC122">
            <v>-0.34799999999999898</v>
          </cell>
          <cell r="AJ122">
            <v>0</v>
          </cell>
          <cell r="AN122" t="e">
            <v>#REF!</v>
          </cell>
          <cell r="AP122" t="e">
            <v>#REF!</v>
          </cell>
        </row>
        <row r="123">
          <cell r="P123">
            <v>0</v>
          </cell>
          <cell r="X123">
            <v>0</v>
          </cell>
          <cell r="AC123">
            <v>0</v>
          </cell>
          <cell r="AJ123">
            <v>0</v>
          </cell>
          <cell r="AP123" t="e">
            <v>#REF!</v>
          </cell>
        </row>
        <row r="124">
          <cell r="P124">
            <v>0</v>
          </cell>
          <cell r="X124">
            <v>0</v>
          </cell>
          <cell r="AC124">
            <v>0</v>
          </cell>
          <cell r="AJ124">
            <v>0</v>
          </cell>
          <cell r="AP124" t="e">
            <v>#REF!</v>
          </cell>
        </row>
        <row r="125">
          <cell r="P125">
            <v>0</v>
          </cell>
          <cell r="X125">
            <v>0</v>
          </cell>
          <cell r="AC125">
            <v>0</v>
          </cell>
          <cell r="AJ125">
            <v>0</v>
          </cell>
          <cell r="AP125" t="e">
            <v>#REF!</v>
          </cell>
          <cell r="AQ125" t="e">
            <v>#REF!</v>
          </cell>
          <cell r="AR125" t="e">
            <v>#REF!</v>
          </cell>
        </row>
        <row r="126">
          <cell r="P126">
            <v>0</v>
          </cell>
          <cell r="X126">
            <v>0</v>
          </cell>
          <cell r="AC126">
            <v>0</v>
          </cell>
          <cell r="AJ126">
            <v>0</v>
          </cell>
        </row>
        <row r="127">
          <cell r="P127">
            <v>0</v>
          </cell>
          <cell r="X127">
            <v>0</v>
          </cell>
          <cell r="AC127">
            <v>0</v>
          </cell>
          <cell r="AJ127">
            <v>0</v>
          </cell>
          <cell r="AP127" t="e">
            <v>#REF!</v>
          </cell>
          <cell r="AU127">
            <v>0</v>
          </cell>
        </row>
        <row r="128">
          <cell r="P128">
            <v>0</v>
          </cell>
          <cell r="X128">
            <v>0</v>
          </cell>
          <cell r="AC128">
            <v>0</v>
          </cell>
          <cell r="AJ128">
            <v>0</v>
          </cell>
        </row>
        <row r="129">
          <cell r="P129">
            <v>0</v>
          </cell>
          <cell r="X129">
            <v>0</v>
          </cell>
          <cell r="AC129">
            <v>0</v>
          </cell>
          <cell r="AJ129">
            <v>0</v>
          </cell>
        </row>
        <row r="130">
          <cell r="P130">
            <v>0</v>
          </cell>
          <cell r="X130">
            <v>0</v>
          </cell>
          <cell r="AC130">
            <v>0</v>
          </cell>
          <cell r="AJ130">
            <v>0</v>
          </cell>
          <cell r="AP130" t="e">
            <v>#REF!</v>
          </cell>
          <cell r="AR130" t="e">
            <v>#REF!</v>
          </cell>
          <cell r="AU130">
            <v>0</v>
          </cell>
          <cell r="AW130">
            <v>0</v>
          </cell>
        </row>
        <row r="131">
          <cell r="P131">
            <v>0</v>
          </cell>
          <cell r="X131">
            <v>0</v>
          </cell>
          <cell r="AC131">
            <v>0</v>
          </cell>
          <cell r="AJ131">
            <v>0</v>
          </cell>
          <cell r="AP131" t="e">
            <v>#REF!</v>
          </cell>
          <cell r="AU131">
            <v>0</v>
          </cell>
        </row>
        <row r="132">
          <cell r="P132">
            <v>0</v>
          </cell>
          <cell r="X132">
            <v>0</v>
          </cell>
          <cell r="AC132">
            <v>0</v>
          </cell>
          <cell r="AJ132">
            <v>0</v>
          </cell>
          <cell r="AP132" t="e">
            <v>#REF!</v>
          </cell>
          <cell r="AU132" t="e">
            <v>#DIV/0!</v>
          </cell>
        </row>
        <row r="133">
          <cell r="P133">
            <v>0</v>
          </cell>
          <cell r="X133">
            <v>0</v>
          </cell>
          <cell r="AC133">
            <v>0</v>
          </cell>
          <cell r="AJ133">
            <v>0</v>
          </cell>
          <cell r="AP133" t="e">
            <v>#REF!</v>
          </cell>
          <cell r="AU133" t="e">
            <v>#DIV/0!</v>
          </cell>
        </row>
        <row r="134">
          <cell r="P134">
            <v>0</v>
          </cell>
          <cell r="X134">
            <v>0</v>
          </cell>
          <cell r="AC134">
            <v>0</v>
          </cell>
          <cell r="AJ134">
            <v>0</v>
          </cell>
          <cell r="AP134">
            <v>0</v>
          </cell>
          <cell r="AU134">
            <v>0</v>
          </cell>
        </row>
        <row r="135">
          <cell r="P135">
            <v>0</v>
          </cell>
          <cell r="X135">
            <v>0</v>
          </cell>
          <cell r="AC135">
            <v>0</v>
          </cell>
          <cell r="AJ135">
            <v>0</v>
          </cell>
        </row>
        <row r="136">
          <cell r="P136">
            <v>0</v>
          </cell>
          <cell r="X136">
            <v>0</v>
          </cell>
          <cell r="AC136">
            <v>0</v>
          </cell>
          <cell r="AJ136">
            <v>0</v>
          </cell>
          <cell r="AP136">
            <v>36.19</v>
          </cell>
          <cell r="AU136" t="e">
            <v>#DIV/0!</v>
          </cell>
        </row>
        <row r="137">
          <cell r="P137">
            <v>0</v>
          </cell>
          <cell r="X137">
            <v>0</v>
          </cell>
          <cell r="AC137">
            <v>0</v>
          </cell>
          <cell r="AJ137">
            <v>0</v>
          </cell>
        </row>
        <row r="138">
          <cell r="P138">
            <v>0</v>
          </cell>
          <cell r="X138">
            <v>0</v>
          </cell>
          <cell r="AC138">
            <v>0</v>
          </cell>
          <cell r="AJ138">
            <v>0</v>
          </cell>
          <cell r="AN138">
            <v>0</v>
          </cell>
          <cell r="AP138" t="e">
            <v>#REF!</v>
          </cell>
          <cell r="AU138" t="e">
            <v>#DIV/0!</v>
          </cell>
        </row>
        <row r="139">
          <cell r="P139">
            <v>0</v>
          </cell>
          <cell r="X139">
            <v>0</v>
          </cell>
          <cell r="AC139">
            <v>0</v>
          </cell>
          <cell r="AJ139">
            <v>0</v>
          </cell>
          <cell r="AP139">
            <v>180931</v>
          </cell>
          <cell r="AQ139">
            <v>180931</v>
          </cell>
        </row>
        <row r="140">
          <cell r="C140" t="str">
            <v>коп/кВтг</v>
          </cell>
          <cell r="P140">
            <v>0</v>
          </cell>
          <cell r="X140">
            <v>0</v>
          </cell>
          <cell r="AC140">
            <v>0</v>
          </cell>
          <cell r="AJ140">
            <v>0</v>
          </cell>
        </row>
        <row r="141">
          <cell r="P141">
            <v>0</v>
          </cell>
          <cell r="X141">
            <v>0</v>
          </cell>
          <cell r="AC141">
            <v>0</v>
          </cell>
          <cell r="AJ141">
            <v>0</v>
          </cell>
          <cell r="AN141">
            <v>0</v>
          </cell>
          <cell r="AP141">
            <v>0</v>
          </cell>
        </row>
        <row r="142">
          <cell r="P142">
            <v>0</v>
          </cell>
          <cell r="Q142">
            <v>0</v>
          </cell>
          <cell r="X142">
            <v>0</v>
          </cell>
          <cell r="AC142">
            <v>0</v>
          </cell>
          <cell r="AJ142">
            <v>0</v>
          </cell>
          <cell r="AP142">
            <v>2601</v>
          </cell>
        </row>
        <row r="143">
          <cell r="P143">
            <v>0</v>
          </cell>
          <cell r="X143">
            <v>0</v>
          </cell>
          <cell r="AC143">
            <v>0</v>
          </cell>
          <cell r="AJ143">
            <v>0</v>
          </cell>
          <cell r="AN143">
            <v>0</v>
          </cell>
          <cell r="AP143" t="e">
            <v>#REF!</v>
          </cell>
          <cell r="AQ143">
            <v>180931</v>
          </cell>
          <cell r="AR143" t="e">
            <v>#REF!</v>
          </cell>
          <cell r="AU143">
            <v>0</v>
          </cell>
        </row>
        <row r="144">
          <cell r="P144">
            <v>0</v>
          </cell>
          <cell r="X144">
            <v>0</v>
          </cell>
          <cell r="AC144">
            <v>0</v>
          </cell>
          <cell r="AJ144">
            <v>0</v>
          </cell>
          <cell r="AP144">
            <v>0</v>
          </cell>
        </row>
        <row r="145">
          <cell r="P145">
            <v>0</v>
          </cell>
          <cell r="X145">
            <v>0</v>
          </cell>
          <cell r="AC145">
            <v>0</v>
          </cell>
          <cell r="AJ145">
            <v>0</v>
          </cell>
          <cell r="AP145" t="e">
            <v>#REF!</v>
          </cell>
          <cell r="AQ145">
            <v>180931</v>
          </cell>
          <cell r="AR145" t="e">
            <v>#REF!</v>
          </cell>
        </row>
        <row r="146">
          <cell r="P146">
            <v>0</v>
          </cell>
          <cell r="X146">
            <v>0</v>
          </cell>
          <cell r="AC146">
            <v>0</v>
          </cell>
          <cell r="AJ146">
            <v>0</v>
          </cell>
          <cell r="AU146">
            <v>24501</v>
          </cell>
          <cell r="AV146">
            <v>41620</v>
          </cell>
          <cell r="AW146">
            <v>26219.374909090911</v>
          </cell>
          <cell r="AX146" t="e">
            <v>#REF!</v>
          </cell>
        </row>
        <row r="147">
          <cell r="P147">
            <v>0</v>
          </cell>
          <cell r="X147">
            <v>0</v>
          </cell>
          <cell r="AC147">
            <v>0</v>
          </cell>
          <cell r="AJ147">
            <v>0</v>
          </cell>
          <cell r="AP147" t="e">
            <v>#REF!</v>
          </cell>
          <cell r="AQ147" t="e">
            <v>#REF!</v>
          </cell>
          <cell r="AR147" t="e">
            <v>#REF!</v>
          </cell>
        </row>
        <row r="148">
          <cell r="P148">
            <v>0</v>
          </cell>
          <cell r="X148">
            <v>0</v>
          </cell>
          <cell r="AC148">
            <v>0</v>
          </cell>
          <cell r="AJ148">
            <v>0</v>
          </cell>
        </row>
        <row r="149">
          <cell r="C149">
            <v>0</v>
          </cell>
          <cell r="N149">
            <v>0</v>
          </cell>
          <cell r="P149">
            <v>0</v>
          </cell>
          <cell r="Q149">
            <v>0</v>
          </cell>
          <cell r="T149">
            <v>0</v>
          </cell>
          <cell r="X149">
            <v>0</v>
          </cell>
          <cell r="Y149">
            <v>0</v>
          </cell>
          <cell r="AC149">
            <v>0</v>
          </cell>
          <cell r="AJ149">
            <v>0</v>
          </cell>
          <cell r="AN149">
            <v>0</v>
          </cell>
        </row>
        <row r="151">
          <cell r="C151">
            <v>916.24199999999996</v>
          </cell>
          <cell r="N151">
            <v>1295.5</v>
          </cell>
          <cell r="P151">
            <v>-1295.5</v>
          </cell>
          <cell r="Q151">
            <v>2567.7454545454548</v>
          </cell>
          <cell r="S151">
            <v>-2567.7454545454548</v>
          </cell>
          <cell r="T151">
            <v>1558.3090909090909</v>
          </cell>
          <cell r="W151">
            <v>1510</v>
          </cell>
          <cell r="X151">
            <v>-48.309090909090855</v>
          </cell>
          <cell r="Y151">
            <v>1196.7</v>
          </cell>
          <cell r="AC151">
            <v>-1196.7</v>
          </cell>
          <cell r="AD151">
            <v>1791.7636363636364</v>
          </cell>
          <cell r="AE151">
            <v>1791.7636363636364</v>
          </cell>
          <cell r="AF151">
            <v>0</v>
          </cell>
          <cell r="AG151">
            <v>1946</v>
          </cell>
          <cell r="AH151">
            <v>938</v>
          </cell>
          <cell r="AI151">
            <v>0</v>
          </cell>
          <cell r="AJ151">
            <v>154.23636363636365</v>
          </cell>
          <cell r="AN151">
            <v>197</v>
          </cell>
          <cell r="AP151">
            <v>9542.2601818181811</v>
          </cell>
        </row>
        <row r="152">
          <cell r="C152">
            <v>916.24199999999996</v>
          </cell>
        </row>
        <row r="153">
          <cell r="N153">
            <v>1257.3333333333333</v>
          </cell>
          <cell r="O153">
            <v>1617</v>
          </cell>
          <cell r="P153">
            <v>359.66666666666674</v>
          </cell>
          <cell r="Q153">
            <v>4930.636363636364</v>
          </cell>
          <cell r="R153">
            <v>4799</v>
          </cell>
          <cell r="S153">
            <v>-131.63636363636397</v>
          </cell>
          <cell r="T153">
            <v>2716.818181818182</v>
          </cell>
          <cell r="U153">
            <v>1435</v>
          </cell>
          <cell r="V153">
            <v>1281.818181818182</v>
          </cell>
          <cell r="W153">
            <v>2534</v>
          </cell>
          <cell r="X153">
            <v>-182.81818181818198</v>
          </cell>
          <cell r="Y153">
            <v>1771.3636363636363</v>
          </cell>
          <cell r="Z153">
            <v>874</v>
          </cell>
          <cell r="AA153">
            <v>897.36363636363626</v>
          </cell>
          <cell r="AB153">
            <v>596</v>
          </cell>
          <cell r="AC153">
            <v>-1175.3636363636363</v>
          </cell>
          <cell r="AD153">
            <v>2023.2727272727273</v>
          </cell>
          <cell r="AE153">
            <v>2023.090909090909</v>
          </cell>
          <cell r="AF153">
            <v>0.18181818181824383</v>
          </cell>
          <cell r="AG153">
            <v>437</v>
          </cell>
          <cell r="AH153">
            <v>265</v>
          </cell>
          <cell r="AI153">
            <v>0</v>
          </cell>
          <cell r="AJ153">
            <v>-1586.2727272727273</v>
          </cell>
          <cell r="AN153">
            <v>0</v>
          </cell>
        </row>
        <row r="154">
          <cell r="N154">
            <v>0</v>
          </cell>
          <cell r="P154">
            <v>0</v>
          </cell>
          <cell r="Q154">
            <v>0</v>
          </cell>
          <cell r="S154">
            <v>0</v>
          </cell>
          <cell r="T154">
            <v>70</v>
          </cell>
          <cell r="X154">
            <v>-70</v>
          </cell>
          <cell r="Y154">
            <v>24</v>
          </cell>
          <cell r="AC154">
            <v>-24</v>
          </cell>
          <cell r="AJ154">
            <v>0</v>
          </cell>
          <cell r="AP154" t="e">
            <v>#REF!</v>
          </cell>
        </row>
        <row r="155">
          <cell r="N155">
            <v>0</v>
          </cell>
          <cell r="P155">
            <v>0</v>
          </cell>
          <cell r="Q155">
            <v>0</v>
          </cell>
          <cell r="S155">
            <v>0</v>
          </cell>
          <cell r="T155">
            <v>0</v>
          </cell>
          <cell r="X155">
            <v>0</v>
          </cell>
          <cell r="Y155">
            <v>0</v>
          </cell>
          <cell r="AC155">
            <v>0</v>
          </cell>
          <cell r="AJ155">
            <v>0</v>
          </cell>
          <cell r="AP155" t="e">
            <v>#REF!</v>
          </cell>
        </row>
        <row r="156">
          <cell r="C156" t="e">
            <v>#REF!</v>
          </cell>
          <cell r="N156">
            <v>681</v>
          </cell>
          <cell r="P156">
            <v>-681</v>
          </cell>
          <cell r="Q156">
            <v>1041.8333333333333</v>
          </cell>
          <cell r="S156">
            <v>-1041.8333333333333</v>
          </cell>
          <cell r="T156">
            <v>213</v>
          </cell>
          <cell r="X156">
            <v>-213</v>
          </cell>
          <cell r="Y156">
            <v>1171.0035872727274</v>
          </cell>
          <cell r="AC156">
            <v>-1171.0035872727274</v>
          </cell>
          <cell r="AJ156">
            <v>0</v>
          </cell>
          <cell r="AP156" t="e">
            <v>#REF!</v>
          </cell>
        </row>
        <row r="157">
          <cell r="C157" t="e">
            <v>#REF!</v>
          </cell>
          <cell r="N157">
            <v>47</v>
          </cell>
          <cell r="P157">
            <v>-47</v>
          </cell>
          <cell r="Q157">
            <v>140</v>
          </cell>
          <cell r="S157">
            <v>-140</v>
          </cell>
          <cell r="T157">
            <v>105</v>
          </cell>
          <cell r="X157">
            <v>-105</v>
          </cell>
          <cell r="Y157">
            <v>190</v>
          </cell>
          <cell r="AC157">
            <v>-190</v>
          </cell>
          <cell r="AJ157">
            <v>0</v>
          </cell>
          <cell r="AP157" t="e">
            <v>#REF!</v>
          </cell>
        </row>
        <row r="158">
          <cell r="C158" t="e">
            <v>#REF!</v>
          </cell>
          <cell r="N158">
            <v>1248.5</v>
          </cell>
          <cell r="P158">
            <v>-1248.5</v>
          </cell>
          <cell r="Q158">
            <v>140</v>
          </cell>
          <cell r="S158">
            <v>-140</v>
          </cell>
          <cell r="T158" t="str">
            <v xml:space="preserve">                   КОРИГУВАННЯ   ПЛАНУ   НА   СЕРПЕНЬ  1998 р</v>
          </cell>
          <cell r="X158" t="e">
            <v>#VALUE!</v>
          </cell>
          <cell r="Y158">
            <v>1006.7</v>
          </cell>
          <cell r="AC158">
            <v>-1006.7</v>
          </cell>
          <cell r="AJ158">
            <v>0</v>
          </cell>
          <cell r="AP158" t="e">
            <v>#REF!</v>
          </cell>
        </row>
        <row r="159">
          <cell r="C159" t="e">
            <v>#REF!</v>
          </cell>
          <cell r="N159">
            <v>1295.5</v>
          </cell>
          <cell r="P159">
            <v>-1295.5</v>
          </cell>
          <cell r="Q159">
            <v>280</v>
          </cell>
          <cell r="S159">
            <v>-280</v>
          </cell>
          <cell r="X159">
            <v>0</v>
          </cell>
          <cell r="Y159">
            <v>1196.7</v>
          </cell>
          <cell r="AC159">
            <v>-1196.7</v>
          </cell>
          <cell r="AJ159">
            <v>0</v>
          </cell>
        </row>
        <row r="160">
          <cell r="N160">
            <v>0</v>
          </cell>
          <cell r="P160">
            <v>0</v>
          </cell>
          <cell r="Q160">
            <v>2287.7454545454548</v>
          </cell>
          <cell r="S160">
            <v>-2287.7454545454548</v>
          </cell>
          <cell r="X160">
            <v>0</v>
          </cell>
          <cell r="Y160">
            <v>0</v>
          </cell>
          <cell r="AC160">
            <v>0</v>
          </cell>
          <cell r="AJ160">
            <v>0</v>
          </cell>
          <cell r="AP160" t="e">
            <v>#REF!</v>
          </cell>
        </row>
        <row r="161">
          <cell r="C161" t="e">
            <v>#REF!</v>
          </cell>
          <cell r="N161" t="e">
            <v>#REF!</v>
          </cell>
          <cell r="P161" t="e">
            <v>#REF!</v>
          </cell>
          <cell r="Q161">
            <v>776</v>
          </cell>
          <cell r="S161">
            <v>-776</v>
          </cell>
          <cell r="X161">
            <v>0</v>
          </cell>
          <cell r="Y161" t="e">
            <v>#REF!</v>
          </cell>
          <cell r="AC161" t="e">
            <v>#REF!</v>
          </cell>
          <cell r="AJ161">
            <v>0</v>
          </cell>
          <cell r="AP161" t="e">
            <v>#REF!</v>
          </cell>
        </row>
        <row r="162">
          <cell r="C162">
            <v>-1238</v>
          </cell>
          <cell r="N162">
            <v>7720.65</v>
          </cell>
          <cell r="O162">
            <v>7638</v>
          </cell>
          <cell r="P162">
            <v>-82.649999999999636</v>
          </cell>
          <cell r="Q162">
            <v>1739.5839999999998</v>
          </cell>
          <cell r="R162">
            <v>20884</v>
          </cell>
          <cell r="S162">
            <v>19144.416000000001</v>
          </cell>
          <cell r="T162">
            <v>958.47</v>
          </cell>
          <cell r="U162">
            <v>0</v>
          </cell>
          <cell r="V162">
            <v>0</v>
          </cell>
          <cell r="W162">
            <v>817</v>
          </cell>
          <cell r="X162">
            <v>-141.47000000000003</v>
          </cell>
          <cell r="Y162">
            <v>3357.9775757575753</v>
          </cell>
          <cell r="Z162">
            <v>0</v>
          </cell>
          <cell r="AA162">
            <v>0</v>
          </cell>
          <cell r="AB162">
            <v>432</v>
          </cell>
          <cell r="AC162">
            <v>-2925.9775757575753</v>
          </cell>
          <cell r="AD162" t="e">
            <v>#REF!</v>
          </cell>
          <cell r="AE162">
            <v>1773.6</v>
          </cell>
          <cell r="AF162">
            <v>-0.40000000000009095</v>
          </cell>
          <cell r="AG162">
            <v>0</v>
          </cell>
          <cell r="AH162">
            <v>0</v>
          </cell>
          <cell r="AI162">
            <v>0</v>
          </cell>
          <cell r="AJ162" t="e">
            <v>#REF!</v>
          </cell>
          <cell r="AK162">
            <v>0</v>
          </cell>
          <cell r="AL162">
            <v>0</v>
          </cell>
          <cell r="AM162">
            <v>0</v>
          </cell>
          <cell r="AN162" t="e">
            <v>#REF!</v>
          </cell>
          <cell r="AO162">
            <v>1616</v>
          </cell>
          <cell r="AP162" t="e">
            <v>#REF!</v>
          </cell>
          <cell r="AS162">
            <v>10503</v>
          </cell>
        </row>
        <row r="163">
          <cell r="C163">
            <v>0</v>
          </cell>
          <cell r="N163">
            <v>0.20800000000000018</v>
          </cell>
          <cell r="O163">
            <v>0</v>
          </cell>
          <cell r="P163">
            <v>-0.20800000000000018</v>
          </cell>
          <cell r="Q163">
            <v>-0.23600000000000065</v>
          </cell>
          <cell r="R163">
            <v>0</v>
          </cell>
          <cell r="S163">
            <v>0.23600000000000065</v>
          </cell>
          <cell r="T163">
            <v>-0.42800000000000082</v>
          </cell>
          <cell r="U163">
            <v>0</v>
          </cell>
          <cell r="V163">
            <v>0</v>
          </cell>
          <cell r="W163">
            <v>0</v>
          </cell>
          <cell r="X163">
            <v>0.42800000000000082</v>
          </cell>
          <cell r="Y163">
            <v>6.799999999999784E-2</v>
          </cell>
          <cell r="Z163">
            <v>0</v>
          </cell>
          <cell r="AA163">
            <v>0</v>
          </cell>
          <cell r="AB163">
            <v>86</v>
          </cell>
          <cell r="AC163">
            <v>85.932000000000002</v>
          </cell>
          <cell r="AD163">
            <v>0.28399999999999892</v>
          </cell>
          <cell r="AE163">
            <v>0.28399999999999892</v>
          </cell>
          <cell r="AF163">
            <v>0</v>
          </cell>
          <cell r="AG163">
            <v>30</v>
          </cell>
          <cell r="AH163">
            <v>30</v>
          </cell>
          <cell r="AI163">
            <v>0</v>
          </cell>
          <cell r="AJ163">
            <v>29.716000000000001</v>
          </cell>
          <cell r="AK163">
            <v>0</v>
          </cell>
          <cell r="AL163">
            <v>0</v>
          </cell>
          <cell r="AM163">
            <v>0</v>
          </cell>
          <cell r="AN163" t="e">
            <v>#REF!</v>
          </cell>
          <cell r="AO163">
            <v>0</v>
          </cell>
          <cell r="AP163" t="e">
            <v>#REF!</v>
          </cell>
          <cell r="AS163">
            <v>116</v>
          </cell>
        </row>
        <row r="164">
          <cell r="C164">
            <v>1767.5940000000001</v>
          </cell>
          <cell r="N164">
            <v>7954.272727272727</v>
          </cell>
          <cell r="O164">
            <v>7835</v>
          </cell>
          <cell r="P164">
            <v>-119.27272727272702</v>
          </cell>
          <cell r="Q164">
            <v>16866.860909090909</v>
          </cell>
          <cell r="R164">
            <v>15904</v>
          </cell>
          <cell r="S164">
            <v>-962.86090909090854</v>
          </cell>
          <cell r="T164">
            <v>6313.227272727273</v>
          </cell>
          <cell r="U164">
            <v>3221</v>
          </cell>
          <cell r="V164">
            <v>3092.227272727273</v>
          </cell>
          <cell r="W164">
            <v>5848</v>
          </cell>
          <cell r="X164">
            <v>-465.22727272727298</v>
          </cell>
          <cell r="Y164">
            <v>5089.647272727273</v>
          </cell>
          <cell r="Z164">
            <v>2495</v>
          </cell>
          <cell r="AA164">
            <v>2594.647272727273</v>
          </cell>
          <cell r="AB164">
            <v>1749</v>
          </cell>
          <cell r="AC164">
            <v>-3340.647272727273</v>
          </cell>
          <cell r="AD164">
            <v>15025.106363636363</v>
          </cell>
          <cell r="AE164">
            <v>13500.136363636364</v>
          </cell>
          <cell r="AF164">
            <v>1524.9699999999996</v>
          </cell>
          <cell r="AG164">
            <v>4464</v>
          </cell>
          <cell r="AH164">
            <v>3202</v>
          </cell>
          <cell r="AI164">
            <v>427</v>
          </cell>
          <cell r="AJ164">
            <v>-10561.106363636363</v>
          </cell>
          <cell r="AK164">
            <v>0</v>
          </cell>
          <cell r="AL164">
            <v>0</v>
          </cell>
          <cell r="AM164">
            <v>0</v>
          </cell>
          <cell r="AN164" t="e">
            <v>#REF!</v>
          </cell>
          <cell r="AO164">
            <v>0</v>
          </cell>
          <cell r="AP164" t="e">
            <v>#REF!</v>
          </cell>
          <cell r="AS164">
            <v>33142</v>
          </cell>
        </row>
        <row r="165">
          <cell r="C165">
            <v>37</v>
          </cell>
          <cell r="N165">
            <v>182.13333333333333</v>
          </cell>
          <cell r="O165">
            <v>4</v>
          </cell>
          <cell r="P165">
            <v>-178.13333333333333</v>
          </cell>
          <cell r="Q165">
            <v>325.06666666666666</v>
          </cell>
          <cell r="R165">
            <v>92</v>
          </cell>
          <cell r="S165">
            <v>-233.06666666666666</v>
          </cell>
          <cell r="T165">
            <v>6322.3333333333339</v>
          </cell>
          <cell r="U165">
            <v>3406</v>
          </cell>
          <cell r="V165">
            <v>2916.3333333333339</v>
          </cell>
          <cell r="W165">
            <v>6069</v>
          </cell>
          <cell r="X165">
            <v>-253.33333333333394</v>
          </cell>
          <cell r="Y165">
            <v>508.13333333333327</v>
          </cell>
          <cell r="Z165">
            <v>57</v>
          </cell>
          <cell r="AA165">
            <v>61.199999999999989</v>
          </cell>
          <cell r="AB165">
            <v>27</v>
          </cell>
          <cell r="AC165">
            <v>-481.13333333333327</v>
          </cell>
          <cell r="AD165">
            <v>157</v>
          </cell>
          <cell r="AE165">
            <v>139</v>
          </cell>
          <cell r="AF165">
            <v>18</v>
          </cell>
          <cell r="AG165">
            <v>44</v>
          </cell>
          <cell r="AH165">
            <v>15</v>
          </cell>
          <cell r="AI165">
            <v>29</v>
          </cell>
          <cell r="AJ165">
            <v>-113</v>
          </cell>
          <cell r="AK165">
            <v>0</v>
          </cell>
          <cell r="AL165">
            <v>0</v>
          </cell>
          <cell r="AM165">
            <v>0</v>
          </cell>
          <cell r="AN165">
            <v>19</v>
          </cell>
          <cell r="AO165">
            <v>0</v>
          </cell>
          <cell r="AP165">
            <v>7437.6666666666661</v>
          </cell>
          <cell r="AS165">
            <v>6206</v>
          </cell>
        </row>
        <row r="166">
          <cell r="C166">
            <v>12644.757999999996</v>
          </cell>
          <cell r="N166">
            <v>9257.5760000000009</v>
          </cell>
          <cell r="Q166">
            <v>54339.615333333335</v>
          </cell>
          <cell r="T166">
            <v>11734.101333333339</v>
          </cell>
          <cell r="Y166">
            <v>7437.2424242423831</v>
          </cell>
          <cell r="AE166">
            <v>13835.354000000003</v>
          </cell>
          <cell r="AG166">
            <v>2466</v>
          </cell>
          <cell r="AH166">
            <v>2561</v>
          </cell>
          <cell r="AN166" t="e">
            <v>#REF!</v>
          </cell>
          <cell r="AP166" t="e">
            <v>#REF!</v>
          </cell>
        </row>
        <row r="167">
          <cell r="C167" t="e">
            <v>#REF!</v>
          </cell>
          <cell r="N167">
            <v>4169</v>
          </cell>
        </row>
        <row r="168">
          <cell r="C168" t="e">
            <v>#REF!</v>
          </cell>
        </row>
        <row r="169">
          <cell r="C169" t="e">
            <v>#REF!</v>
          </cell>
        </row>
        <row r="170">
          <cell r="AV170">
            <v>1507.2</v>
          </cell>
        </row>
        <row r="173">
          <cell r="C173" t="str">
            <v>АПАРАТ ВСЬОГО</v>
          </cell>
          <cell r="D173" t="str">
            <v>АПАРАТ ЕЛЕКТРО</v>
          </cell>
          <cell r="E173" t="str">
            <v>АПАРАТ ТЕПЛО</v>
          </cell>
          <cell r="N173" t="str">
            <v>ККМ</v>
          </cell>
          <cell r="Q173" t="str">
            <v>КТМ</v>
          </cell>
          <cell r="U173">
            <v>250</v>
          </cell>
          <cell r="Y173" t="str">
            <v>ТЕЦ-6 ВСЬОГО</v>
          </cell>
          <cell r="Z173" t="str">
            <v>Е/Е</v>
          </cell>
          <cell r="AA173" t="str">
            <v xml:space="preserve"> Т/Е</v>
          </cell>
          <cell r="AN173" t="str">
            <v>ДОП.ВИР. СТ.ОРГ.</v>
          </cell>
          <cell r="AP173" t="str">
            <v>АК КЕ ВСЬОГО</v>
          </cell>
          <cell r="AQ173" t="str">
            <v>Е/Е</v>
          </cell>
          <cell r="AR173" t="str">
            <v xml:space="preserve"> Т/Е</v>
          </cell>
          <cell r="AU173" t="str">
            <v>очикуваемАК КЕ ВСЬОГО</v>
          </cell>
          <cell r="AV173" t="str">
            <v>Е/Е</v>
          </cell>
          <cell r="AW173" t="str">
            <v xml:space="preserve"> Т/Е</v>
          </cell>
        </row>
        <row r="174">
          <cell r="C174">
            <v>1.895</v>
          </cell>
          <cell r="N174">
            <v>1.847</v>
          </cell>
          <cell r="Q174">
            <v>1.895</v>
          </cell>
          <cell r="U174">
            <v>1.895</v>
          </cell>
          <cell r="V174">
            <v>1.895</v>
          </cell>
          <cell r="Y174">
            <v>1.895</v>
          </cell>
          <cell r="Z174">
            <v>1.895</v>
          </cell>
          <cell r="AA174">
            <v>1.895</v>
          </cell>
          <cell r="AN174">
            <v>1.895</v>
          </cell>
          <cell r="AP174">
            <v>1.895</v>
          </cell>
          <cell r="AQ174">
            <v>1.895</v>
          </cell>
          <cell r="AU174">
            <v>1.905</v>
          </cell>
          <cell r="AV174">
            <v>1.895</v>
          </cell>
        </row>
        <row r="176">
          <cell r="Q176">
            <v>132.19999999999999</v>
          </cell>
          <cell r="Y176">
            <v>68.7</v>
          </cell>
          <cell r="AP176">
            <v>200.89999999999998</v>
          </cell>
          <cell r="AU176">
            <v>251.12700000000001</v>
          </cell>
        </row>
        <row r="177">
          <cell r="Q177">
            <v>150.5</v>
          </cell>
          <cell r="U177">
            <v>150.5</v>
          </cell>
          <cell r="Y177">
            <v>78.3</v>
          </cell>
          <cell r="AP177">
            <v>228.8</v>
          </cell>
          <cell r="AU177">
            <v>288.28500000000003</v>
          </cell>
        </row>
        <row r="178">
          <cell r="N178">
            <v>0</v>
          </cell>
          <cell r="Q178">
            <v>82.5</v>
          </cell>
          <cell r="U178">
            <v>82.5</v>
          </cell>
          <cell r="Y178">
            <v>82.5</v>
          </cell>
          <cell r="AP178">
            <v>82.5</v>
          </cell>
          <cell r="AU178">
            <v>66</v>
          </cell>
        </row>
        <row r="179">
          <cell r="N179">
            <v>0</v>
          </cell>
          <cell r="Q179">
            <v>156.34</v>
          </cell>
          <cell r="U179">
            <v>156.34</v>
          </cell>
          <cell r="Y179">
            <v>156.34</v>
          </cell>
          <cell r="AP179">
            <v>156.34</v>
          </cell>
          <cell r="AU179">
            <v>125.73</v>
          </cell>
        </row>
        <row r="180">
          <cell r="Q180">
            <v>20668</v>
          </cell>
          <cell r="U180">
            <v>0</v>
          </cell>
          <cell r="Y180">
            <v>10741</v>
          </cell>
          <cell r="AP180">
            <v>31409</v>
          </cell>
          <cell r="AU180">
            <v>31574</v>
          </cell>
        </row>
        <row r="181">
          <cell r="AP181">
            <v>31409</v>
          </cell>
          <cell r="AU181" t="e">
            <v>#REF!</v>
          </cell>
        </row>
        <row r="182">
          <cell r="Q182">
            <v>0</v>
          </cell>
          <cell r="U182">
            <v>0</v>
          </cell>
          <cell r="Y182">
            <v>52.1</v>
          </cell>
          <cell r="AP182">
            <v>52.1</v>
          </cell>
          <cell r="AU182">
            <v>67.933000000000007</v>
          </cell>
        </row>
        <row r="183">
          <cell r="Q183">
            <v>0</v>
          </cell>
          <cell r="U183">
            <v>0</v>
          </cell>
          <cell r="Y183">
            <v>71.3</v>
          </cell>
          <cell r="AP183">
            <v>71.3</v>
          </cell>
          <cell r="AU183">
            <v>91.201999999999998</v>
          </cell>
        </row>
        <row r="184">
          <cell r="C184">
            <v>75</v>
          </cell>
          <cell r="N184">
            <v>75</v>
          </cell>
          <cell r="AN184">
            <v>0</v>
          </cell>
          <cell r="AP184">
            <v>98.96042216358839</v>
          </cell>
          <cell r="AU184">
            <v>98.96042216358839</v>
          </cell>
        </row>
        <row r="185">
          <cell r="Q185">
            <v>187.53</v>
          </cell>
          <cell r="U185">
            <v>0</v>
          </cell>
          <cell r="Y185">
            <v>187.53</v>
          </cell>
          <cell r="AP185">
            <v>187.53</v>
          </cell>
          <cell r="AU185">
            <v>187.53</v>
          </cell>
        </row>
        <row r="186">
          <cell r="Q186">
            <v>0</v>
          </cell>
          <cell r="T186">
            <v>0</v>
          </cell>
          <cell r="Y186">
            <v>9770</v>
          </cell>
          <cell r="AP186">
            <v>9770</v>
          </cell>
          <cell r="AU186">
            <v>12739</v>
          </cell>
        </row>
        <row r="187">
          <cell r="AP187">
            <v>9770</v>
          </cell>
          <cell r="AU187" t="e">
            <v>#REF!</v>
          </cell>
        </row>
        <row r="188">
          <cell r="Q188">
            <v>150.5</v>
          </cell>
          <cell r="T188">
            <v>0</v>
          </cell>
          <cell r="U188">
            <v>51.4</v>
          </cell>
          <cell r="V188">
            <v>-51.4</v>
          </cell>
          <cell r="Y188">
            <v>149.6</v>
          </cell>
          <cell r="Z188">
            <v>52.7</v>
          </cell>
          <cell r="AA188">
            <v>96.899999999999991</v>
          </cell>
          <cell r="AP188">
            <v>300.10000000000002</v>
          </cell>
          <cell r="AQ188">
            <v>104.1</v>
          </cell>
          <cell r="AR188">
            <v>196</v>
          </cell>
          <cell r="AU188">
            <v>379.48700000000002</v>
          </cell>
          <cell r="AV188">
            <v>83.676000000000002</v>
          </cell>
          <cell r="AW188">
            <v>295.81100000000004</v>
          </cell>
        </row>
        <row r="189">
          <cell r="Q189">
            <v>20668</v>
          </cell>
          <cell r="T189">
            <v>0</v>
          </cell>
          <cell r="U189" t="e">
            <v>#DIV/0!</v>
          </cell>
          <cell r="V189" t="e">
            <v>#DIV/0!</v>
          </cell>
          <cell r="Y189">
            <v>20511</v>
          </cell>
          <cell r="Z189">
            <v>7225</v>
          </cell>
          <cell r="AA189">
            <v>13286</v>
          </cell>
          <cell r="AP189" t="e">
            <v>#DIV/0!</v>
          </cell>
          <cell r="AQ189" t="e">
            <v>#DIV/0!</v>
          </cell>
          <cell r="AR189" t="e">
            <v>#DIV/0!</v>
          </cell>
          <cell r="AU189">
            <v>44313</v>
          </cell>
          <cell r="AV189">
            <v>9770.9133329995493</v>
          </cell>
          <cell r="AW189">
            <v>34542.086667000447</v>
          </cell>
        </row>
        <row r="190">
          <cell r="Q190">
            <v>137.33000000000001</v>
          </cell>
          <cell r="T190" t="e">
            <v>#DIV/0!</v>
          </cell>
          <cell r="U190" t="e">
            <v>#DIV/0!</v>
          </cell>
          <cell r="V190" t="e">
            <v>#DIV/0!</v>
          </cell>
          <cell r="Y190">
            <v>137.11000000000001</v>
          </cell>
          <cell r="Z190">
            <v>137.1</v>
          </cell>
          <cell r="AA190">
            <v>137.11000000000001</v>
          </cell>
          <cell r="AN190">
            <v>0</v>
          </cell>
          <cell r="AP190" t="e">
            <v>#DIV/0!</v>
          </cell>
          <cell r="AQ190" t="e">
            <v>#DIV/0!</v>
          </cell>
          <cell r="AR190" t="e">
            <v>#DIV/0!</v>
          </cell>
          <cell r="AU190">
            <v>116.77</v>
          </cell>
          <cell r="AV190">
            <v>116.77</v>
          </cell>
          <cell r="AW190">
            <v>116.77</v>
          </cell>
        </row>
        <row r="191">
          <cell r="AP191">
            <v>0</v>
          </cell>
          <cell r="AQ191">
            <v>0</v>
          </cell>
          <cell r="AR191">
            <v>0</v>
          </cell>
          <cell r="AU191">
            <v>0</v>
          </cell>
          <cell r="AV191">
            <v>0</v>
          </cell>
          <cell r="AW191">
            <v>0</v>
          </cell>
        </row>
        <row r="192">
          <cell r="T192" t="e">
            <v>#DIV/0!</v>
          </cell>
          <cell r="Y192">
            <v>20511</v>
          </cell>
          <cell r="AP192" t="e">
            <v>#DIV/0!</v>
          </cell>
          <cell r="AQ192" t="e">
            <v>#DIV/0!</v>
          </cell>
          <cell r="AR192" t="e">
            <v>#DIV/0!</v>
          </cell>
          <cell r="AU192">
            <v>44313</v>
          </cell>
          <cell r="AV192">
            <v>9770.9133329995493</v>
          </cell>
          <cell r="AW192">
            <v>34542.086667000447</v>
          </cell>
        </row>
        <row r="195">
          <cell r="T195" t="str">
            <v>ТЕЦ-5 ВСЬОГО</v>
          </cell>
          <cell r="U195" t="str">
            <v>Е/Е</v>
          </cell>
          <cell r="V195" t="str">
            <v xml:space="preserve"> Т/Е</v>
          </cell>
          <cell r="Y195" t="str">
            <v>ТЕЦ-6 ВСЬОГО</v>
          </cell>
          <cell r="Z195" t="str">
            <v>Е/Е</v>
          </cell>
          <cell r="AA195" t="str">
            <v xml:space="preserve"> Т/Е</v>
          </cell>
          <cell r="AP195" t="str">
            <v>АК КЕ ВСЬОГО</v>
          </cell>
          <cell r="AQ195" t="str">
            <v>Е/Е</v>
          </cell>
          <cell r="AR195" t="str">
            <v xml:space="preserve"> Т/Е</v>
          </cell>
        </row>
        <row r="196">
          <cell r="U196">
            <v>291.85000000000002</v>
          </cell>
          <cell r="V196">
            <v>750</v>
          </cell>
          <cell r="Z196">
            <v>268.14999999999998</v>
          </cell>
          <cell r="AA196">
            <v>590</v>
          </cell>
        </row>
        <row r="197">
          <cell r="U197">
            <v>176.1</v>
          </cell>
          <cell r="V197">
            <v>163.6</v>
          </cell>
          <cell r="Z197">
            <v>196.5</v>
          </cell>
          <cell r="AA197">
            <v>164.2</v>
          </cell>
        </row>
        <row r="198">
          <cell r="U198">
            <v>306.60000000000002</v>
          </cell>
          <cell r="V198">
            <v>112.8</v>
          </cell>
          <cell r="Z198">
            <v>301.89999999999998</v>
          </cell>
          <cell r="AA198">
            <v>116.3</v>
          </cell>
        </row>
        <row r="199">
          <cell r="U199">
            <v>130.50000000000003</v>
          </cell>
          <cell r="V199">
            <v>-50.8</v>
          </cell>
          <cell r="Z199">
            <v>105.39999999999998</v>
          </cell>
          <cell r="AA199">
            <v>-47.899999999999991</v>
          </cell>
        </row>
        <row r="200">
          <cell r="U200" t="e">
            <v>#DIV/0!</v>
          </cell>
          <cell r="V200" t="e">
            <v>#DIV/0!</v>
          </cell>
          <cell r="Z200">
            <v>137.1</v>
          </cell>
          <cell r="AA200">
            <v>137.11000000000001</v>
          </cell>
        </row>
        <row r="201">
          <cell r="U201" t="e">
            <v>#DIV/0!</v>
          </cell>
          <cell r="V201" t="e">
            <v>#DIV/0!</v>
          </cell>
          <cell r="Z201">
            <v>14.450339999999997</v>
          </cell>
          <cell r="AA201">
            <v>-6.5675689999999998</v>
          </cell>
        </row>
        <row r="202">
          <cell r="U202" t="e">
            <v>#DIV/0!</v>
          </cell>
          <cell r="V202" t="e">
            <v>#DIV/0!</v>
          </cell>
          <cell r="Z202">
            <v>3874.858670999999</v>
          </cell>
          <cell r="AA202">
            <v>-3874.86571</v>
          </cell>
          <cell r="AQ202" t="e">
            <v>#DIV/0!</v>
          </cell>
          <cell r="AR202" t="e">
            <v>#DIV/0!</v>
          </cell>
        </row>
        <row r="204">
          <cell r="AV204">
            <v>1507.2</v>
          </cell>
        </row>
        <row r="218">
          <cell r="Y218" t="str">
            <v>ЗАТВЕРДЖУЮ</v>
          </cell>
        </row>
        <row r="219">
          <cell r="Y219" t="str">
            <v>ГОЛОВА ПРАЛІННЯ АК КЕ</v>
          </cell>
        </row>
        <row r="220">
          <cell r="Z220" t="str">
            <v>І.В.ПЛАЧКОВ</v>
          </cell>
        </row>
        <row r="221">
          <cell r="C221" t="str">
            <v>ПОТРЕБА   В КОШТАХ НА  1 КВАРТАЛ 1998 року</v>
          </cell>
        </row>
        <row r="222">
          <cell r="C222" t="str">
            <v>ПО ФІЛІАЛАХ АК КИЇВЕНЕРГО</v>
          </cell>
        </row>
        <row r="224">
          <cell r="C224" t="str">
            <v>ВИКОН.ДИР.</v>
          </cell>
          <cell r="D224" t="str">
            <v>АПАРАТ ЕЛЕКТРО</v>
          </cell>
          <cell r="E224" t="str">
            <v>АПАРАТ ТЕПЛО</v>
          </cell>
          <cell r="N224" t="str">
            <v>ККМ</v>
          </cell>
          <cell r="Q224" t="str">
            <v>КТМ</v>
          </cell>
          <cell r="T224" t="str">
            <v>ТЕЦ-5 ВСЬОГО</v>
          </cell>
          <cell r="U224" t="str">
            <v>Е/Е</v>
          </cell>
          <cell r="V224" t="str">
            <v xml:space="preserve"> Т/Е</v>
          </cell>
          <cell r="Y224" t="str">
            <v>ТЕЦ-6 ВСЬОГО</v>
          </cell>
          <cell r="Z224" t="str">
            <v>Е/Е</v>
          </cell>
          <cell r="AA224" t="str">
            <v xml:space="preserve"> Т/Е</v>
          </cell>
          <cell r="AN224" t="str">
            <v>ДОП.ВИР. СТ.ОРГ.</v>
          </cell>
          <cell r="AP224" t="str">
            <v>АК КЕ ВСЬОГО</v>
          </cell>
          <cell r="AQ224" t="str">
            <v>Е/Е</v>
          </cell>
          <cell r="AR224" t="str">
            <v xml:space="preserve"> Т/Е</v>
          </cell>
          <cell r="AU224" t="str">
            <v>СТАНЦІї ЕЛЕКТРО</v>
          </cell>
          <cell r="AV224" t="str">
            <v>СТАНЦІІ ТЕПЛОВІ</v>
          </cell>
          <cell r="AW224" t="str">
            <v>МЕРЕЖІ ЕЛЕКТРО</v>
          </cell>
          <cell r="AX224" t="str">
            <v>МЕРЕЖІ ТЕПЛОВІ</v>
          </cell>
        </row>
        <row r="227">
          <cell r="C227" t="e">
            <v>#REF!</v>
          </cell>
          <cell r="N227" t="e">
            <v>#REF!</v>
          </cell>
          <cell r="Q227">
            <v>65079.679666666663</v>
          </cell>
          <cell r="T227">
            <v>28598.224848484853</v>
          </cell>
          <cell r="Y227" t="e">
            <v>#REF!</v>
          </cell>
          <cell r="AN227" t="e">
            <v>#REF!</v>
          </cell>
          <cell r="AP227" t="e">
            <v>#REF!</v>
          </cell>
          <cell r="AQ227" t="e">
            <v>#REF!</v>
          </cell>
        </row>
        <row r="228">
          <cell r="C228" t="e">
            <v>#REF!</v>
          </cell>
          <cell r="N228" t="e">
            <v>#REF!</v>
          </cell>
          <cell r="Q228">
            <v>28626.461424242421</v>
          </cell>
          <cell r="T228">
            <v>14393.519575757578</v>
          </cell>
          <cell r="Y228" t="e">
            <v>#REF!</v>
          </cell>
          <cell r="AP228" t="e">
            <v>#REF!</v>
          </cell>
          <cell r="AQ228" t="e">
            <v>#REF!</v>
          </cell>
        </row>
        <row r="230">
          <cell r="C230">
            <v>1767.5940000000001</v>
          </cell>
          <cell r="N230">
            <v>7954.272727272727</v>
          </cell>
          <cell r="Q230">
            <v>16866.860909090909</v>
          </cell>
          <cell r="T230">
            <v>6313.227272727273</v>
          </cell>
          <cell r="Y230">
            <v>5089.647272727273</v>
          </cell>
          <cell r="AN230" t="e">
            <v>#REF!</v>
          </cell>
          <cell r="AP230" t="e">
            <v>#REF!</v>
          </cell>
          <cell r="AQ230" t="e">
            <v>#REF!</v>
          </cell>
        </row>
        <row r="231">
          <cell r="C231">
            <v>482</v>
          </cell>
          <cell r="N231">
            <v>2501</v>
          </cell>
          <cell r="Q231">
            <v>4601</v>
          </cell>
          <cell r="T231">
            <v>1721</v>
          </cell>
          <cell r="Y231">
            <v>1387</v>
          </cell>
          <cell r="AP231" t="e">
            <v>#REF!</v>
          </cell>
          <cell r="AQ231" t="e">
            <v>#REF!</v>
          </cell>
        </row>
        <row r="232">
          <cell r="AQ232" t="e">
            <v>#REF!</v>
          </cell>
        </row>
        <row r="233">
          <cell r="C233">
            <v>0</v>
          </cell>
          <cell r="N233">
            <v>0</v>
          </cell>
          <cell r="Q233">
            <v>135.46666666666667</v>
          </cell>
          <cell r="T233">
            <v>6152.4000000000005</v>
          </cell>
          <cell r="Y233">
            <v>118.19999999999999</v>
          </cell>
          <cell r="AP233">
            <v>6410.0666666666666</v>
          </cell>
          <cell r="AQ233" t="e">
            <v>#REF!</v>
          </cell>
        </row>
        <row r="234">
          <cell r="C234">
            <v>0</v>
          </cell>
          <cell r="N234">
            <v>0</v>
          </cell>
          <cell r="Q234">
            <v>0</v>
          </cell>
          <cell r="T234">
            <v>0</v>
          </cell>
          <cell r="Y234">
            <v>0</v>
          </cell>
          <cell r="AP234">
            <v>19</v>
          </cell>
          <cell r="AQ234" t="e">
            <v>#REF!</v>
          </cell>
        </row>
        <row r="235">
          <cell r="C235" t="e">
            <v>#REF!</v>
          </cell>
          <cell r="N235">
            <v>0</v>
          </cell>
          <cell r="Q235">
            <v>0</v>
          </cell>
          <cell r="T235">
            <v>0</v>
          </cell>
          <cell r="Y235">
            <v>0</v>
          </cell>
          <cell r="AP235" t="e">
            <v>#REF!</v>
          </cell>
          <cell r="AQ235" t="e">
            <v>#REF!</v>
          </cell>
        </row>
        <row r="236">
          <cell r="AQ236" t="e">
            <v>#REF!</v>
          </cell>
        </row>
        <row r="237">
          <cell r="C237">
            <v>-1238</v>
          </cell>
          <cell r="N237">
            <v>7720.65</v>
          </cell>
          <cell r="Q237">
            <v>1739.5839999999998</v>
          </cell>
          <cell r="T237">
            <v>958.47</v>
          </cell>
          <cell r="Y237">
            <v>3357.9775757575753</v>
          </cell>
          <cell r="AP237" t="e">
            <v>#REF!</v>
          </cell>
          <cell r="AQ237" t="e">
            <v>#REF!</v>
          </cell>
        </row>
        <row r="238">
          <cell r="C238">
            <v>916.24199999999996</v>
          </cell>
          <cell r="N238">
            <v>0</v>
          </cell>
          <cell r="Q238">
            <v>0</v>
          </cell>
          <cell r="T238">
            <v>0</v>
          </cell>
          <cell r="Y238">
            <v>0</v>
          </cell>
          <cell r="AP238">
            <v>0</v>
          </cell>
          <cell r="AQ238" t="e">
            <v>#REF!</v>
          </cell>
        </row>
        <row r="239">
          <cell r="AQ239" t="e">
            <v>#REF!</v>
          </cell>
        </row>
        <row r="240">
          <cell r="C240" t="e">
            <v>#REF!</v>
          </cell>
          <cell r="N240" t="e">
            <v>#REF!</v>
          </cell>
          <cell r="Q240">
            <v>776</v>
          </cell>
          <cell r="T240">
            <v>0</v>
          </cell>
          <cell r="Y240" t="e">
            <v>#REF!</v>
          </cell>
          <cell r="AP240" t="e">
            <v>#REF!</v>
          </cell>
          <cell r="AQ240" t="e">
            <v>#REF!</v>
          </cell>
        </row>
        <row r="241">
          <cell r="AQ241" t="e">
            <v>#REF!</v>
          </cell>
        </row>
        <row r="242">
          <cell r="AQ242" t="e">
            <v>#REF!</v>
          </cell>
        </row>
        <row r="243">
          <cell r="C243">
            <v>388</v>
          </cell>
          <cell r="N243">
            <v>3127</v>
          </cell>
          <cell r="Q243">
            <v>5703</v>
          </cell>
          <cell r="T243">
            <v>797.25866666666661</v>
          </cell>
          <cell r="Y243">
            <v>632.22533333333331</v>
          </cell>
          <cell r="AP243">
            <v>13522.366500142667</v>
          </cell>
          <cell r="AQ243" t="e">
            <v>#REF!</v>
          </cell>
        </row>
        <row r="244">
          <cell r="C244">
            <v>1661</v>
          </cell>
          <cell r="N244">
            <v>46</v>
          </cell>
          <cell r="Q244">
            <v>900</v>
          </cell>
          <cell r="T244">
            <v>343.62666666666667</v>
          </cell>
          <cell r="Y244">
            <v>323.78399999999999</v>
          </cell>
          <cell r="AP244">
            <v>3426.6078749021572</v>
          </cell>
          <cell r="AQ244" t="e">
            <v>#REF!</v>
          </cell>
        </row>
        <row r="245">
          <cell r="AQ245" t="e">
            <v>#REF!</v>
          </cell>
        </row>
        <row r="246">
          <cell r="C246">
            <v>0</v>
          </cell>
          <cell r="N246">
            <v>1</v>
          </cell>
          <cell r="Q246">
            <v>0</v>
          </cell>
          <cell r="T246">
            <v>118.19266666666665</v>
          </cell>
          <cell r="Y246">
            <v>-46.472000000000008</v>
          </cell>
          <cell r="AP246">
            <v>72.720666666666645</v>
          </cell>
          <cell r="AQ246" t="e">
            <v>#REF!</v>
          </cell>
        </row>
        <row r="247">
          <cell r="C247">
            <v>7</v>
          </cell>
          <cell r="N247">
            <v>259.286</v>
          </cell>
          <cell r="Q247">
            <v>12306.890666666668</v>
          </cell>
          <cell r="T247">
            <v>0</v>
          </cell>
          <cell r="Y247">
            <v>0</v>
          </cell>
          <cell r="AP247">
            <v>15115.848666666669</v>
          </cell>
          <cell r="AQ247" t="e">
            <v>#REF!</v>
          </cell>
        </row>
        <row r="248">
          <cell r="C248">
            <v>0</v>
          </cell>
          <cell r="N248">
            <v>0</v>
          </cell>
          <cell r="Q248">
            <v>0</v>
          </cell>
          <cell r="T248">
            <v>0</v>
          </cell>
          <cell r="Y248">
            <v>0</v>
          </cell>
          <cell r="AP248">
            <v>658.33066666666662</v>
          </cell>
          <cell r="AQ248" t="e">
            <v>#REF!</v>
          </cell>
        </row>
        <row r="249">
          <cell r="C249">
            <v>906</v>
          </cell>
          <cell r="N249">
            <v>0</v>
          </cell>
          <cell r="Q249">
            <v>0</v>
          </cell>
          <cell r="T249">
            <v>0</v>
          </cell>
          <cell r="Y249">
            <v>18</v>
          </cell>
          <cell r="AP249">
            <v>924</v>
          </cell>
          <cell r="AQ249" t="e">
            <v>#REF!</v>
          </cell>
        </row>
        <row r="250">
          <cell r="C250">
            <v>0</v>
          </cell>
          <cell r="N250">
            <v>0.20800000000000018</v>
          </cell>
          <cell r="Q250">
            <v>-324</v>
          </cell>
          <cell r="T250">
            <v>-0.42800000000000082</v>
          </cell>
          <cell r="Y250">
            <v>6.799999999999784E-2</v>
          </cell>
          <cell r="AP250" t="e">
            <v>#REF!</v>
          </cell>
          <cell r="AQ250" t="e">
            <v>#REF!</v>
          </cell>
        </row>
        <row r="251">
          <cell r="C251">
            <v>0</v>
          </cell>
          <cell r="N251">
            <v>0.19200000000000017</v>
          </cell>
          <cell r="Q251">
            <v>-0.32000000000000028</v>
          </cell>
          <cell r="T251">
            <v>-0.3360000000000003</v>
          </cell>
          <cell r="Y251">
            <v>0.28000000000000114</v>
          </cell>
          <cell r="AP251" t="e">
            <v>#REF!</v>
          </cell>
          <cell r="AQ251" t="e">
            <v>#REF!</v>
          </cell>
        </row>
        <row r="252">
          <cell r="C252" t="e">
            <v>#REF!</v>
          </cell>
          <cell r="N252" t="e">
            <v>#REF!</v>
          </cell>
          <cell r="Q252">
            <v>26435.197424242418</v>
          </cell>
          <cell r="T252">
            <v>13435.81357575758</v>
          </cell>
          <cell r="Y252" t="e">
            <v>#REF!</v>
          </cell>
          <cell r="AP252" t="e">
            <v>#REF!</v>
          </cell>
          <cell r="AQ252" t="e">
            <v>#REF!</v>
          </cell>
        </row>
        <row r="253">
          <cell r="Q253">
            <v>541</v>
          </cell>
          <cell r="T253">
            <v>480</v>
          </cell>
          <cell r="Y253">
            <v>44</v>
          </cell>
          <cell r="AP253">
            <v>524</v>
          </cell>
          <cell r="AQ253" t="e">
            <v>#REF!</v>
          </cell>
        </row>
        <row r="293">
          <cell r="T293" t="str">
            <v>Собівартість</v>
          </cell>
        </row>
        <row r="294">
          <cell r="V294">
            <v>-25</v>
          </cell>
        </row>
        <row r="295">
          <cell r="V295">
            <v>-1.375</v>
          </cell>
        </row>
        <row r="296">
          <cell r="V296">
            <v>-8</v>
          </cell>
        </row>
        <row r="297">
          <cell r="V297">
            <v>-2.1590909090909096</v>
          </cell>
        </row>
        <row r="303">
          <cell r="T303" t="str">
            <v>ФМЗ ( з відрахуван)</v>
          </cell>
          <cell r="V303">
            <v>25</v>
          </cell>
        </row>
      </sheetData>
      <sheetData sheetId="40" refreshError="1">
        <row r="16">
          <cell r="AP16" t="str">
            <v>ЗАТВЕРДЖУЮ</v>
          </cell>
        </row>
        <row r="17">
          <cell r="C17" t="str">
            <v>І.В.ПЛАЧКОВ</v>
          </cell>
          <cell r="AP17" t="str">
            <v>ГОЛОВА ПРАЛІННЯ АК КЕ</v>
          </cell>
        </row>
        <row r="22">
          <cell r="AV22" t="str">
            <v>І.В.ПЛАЧКОВ</v>
          </cell>
        </row>
        <row r="29">
          <cell r="N29" t="str">
            <v>+</v>
          </cell>
          <cell r="Q29" t="str">
            <v>+</v>
          </cell>
          <cell r="T29" t="str">
            <v>+</v>
          </cell>
          <cell r="Y29" t="str">
            <v>+</v>
          </cell>
          <cell r="AD29" t="str">
            <v>-</v>
          </cell>
        </row>
        <row r="30">
          <cell r="C30" t="str">
            <v>ВИКОН.ДИР.ПЛАН</v>
          </cell>
          <cell r="D30" t="str">
            <v>Е/Е</v>
          </cell>
          <cell r="E30" t="str">
            <v xml:space="preserve"> Т/Е</v>
          </cell>
          <cell r="N30" t="str">
            <v xml:space="preserve">ККМ ПЛАН </v>
          </cell>
          <cell r="O30" t="str">
            <v>ЗВІТ</v>
          </cell>
          <cell r="P30" t="str">
            <v>ВІДХ.</v>
          </cell>
          <cell r="Q30" t="str">
            <v>КТМ ПЛАН</v>
          </cell>
          <cell r="R30" t="str">
            <v>ЗВІТ</v>
          </cell>
          <cell r="S30" t="str">
            <v>ВІДХ.</v>
          </cell>
          <cell r="T30" t="str">
            <v>ТЕЦ-5   ПЛАН</v>
          </cell>
          <cell r="U30" t="str">
            <v>Е/Е</v>
          </cell>
          <cell r="V30" t="str">
            <v xml:space="preserve"> Т/Е</v>
          </cell>
          <cell r="W30" t="str">
            <v>ЗВІТ</v>
          </cell>
          <cell r="X30" t="str">
            <v>ВІДХ.</v>
          </cell>
          <cell r="Y30" t="str">
            <v>ТЕЦ-6  ПЛАН</v>
          </cell>
          <cell r="Z30" t="str">
            <v>Е/Е</v>
          </cell>
          <cell r="AA30" t="str">
            <v xml:space="preserve"> Т/Е</v>
          </cell>
          <cell r="AB30" t="str">
            <v>ЗВІТ</v>
          </cell>
          <cell r="AC30" t="str">
            <v>ВІДХ.</v>
          </cell>
          <cell r="AD30" t="str">
            <v>ТРМ ВСЬОГО ПЛАН</v>
          </cell>
          <cell r="AE30" t="str">
            <v>ТРМ АК ПЛАН</v>
          </cell>
          <cell r="AF30" t="str">
            <v>ТРМ СТОР  ПЛАН</v>
          </cell>
          <cell r="AG30" t="str">
            <v>ТРМ ВСЬОГО ЗВІТ</v>
          </cell>
          <cell r="AH30" t="str">
            <v>ТРМ АК ЗВІТ</v>
          </cell>
          <cell r="AI30" t="str">
            <v>ТРМ СТОР  ЗВІТ</v>
          </cell>
          <cell r="AJ30" t="str">
            <v>відх всього</v>
          </cell>
          <cell r="AK30" t="str">
            <v>Е/Е</v>
          </cell>
          <cell r="AL30" t="str">
            <v xml:space="preserve"> Т/Е</v>
          </cell>
          <cell r="AN30" t="str">
            <v>ДОП.ВИР. ПЛАН</v>
          </cell>
          <cell r="AO30" t="str">
            <v>ЗВІТ</v>
          </cell>
          <cell r="AP30" t="str">
            <v>АК КЕ  ПЛАН</v>
          </cell>
          <cell r="AQ30" t="str">
            <v xml:space="preserve"> Е/Е</v>
          </cell>
          <cell r="AR30" t="str">
            <v xml:space="preserve"> Т/Е</v>
          </cell>
          <cell r="AS30" t="str">
            <v>ЗВІТ</v>
          </cell>
          <cell r="AT30" t="str">
            <v>відх</v>
          </cell>
          <cell r="AU30" t="str">
            <v>СТАНЦІї ЕЛЕКТРО</v>
          </cell>
          <cell r="AV30" t="str">
            <v>СТАНЦІІ ТЕПЛОВІ</v>
          </cell>
          <cell r="AW30" t="str">
            <v>МЕРЕЖІ ЕЛЕКТРО</v>
          </cell>
          <cell r="AX30" t="str">
            <v>МЕРЕЖІ ТЕПЛОВІ</v>
          </cell>
        </row>
        <row r="31">
          <cell r="U31">
            <v>330</v>
          </cell>
          <cell r="Z31">
            <v>298</v>
          </cell>
          <cell r="AQ31">
            <v>628</v>
          </cell>
        </row>
        <row r="32">
          <cell r="U32">
            <v>291.85000000000002</v>
          </cell>
          <cell r="Z32">
            <v>268.14999999999998</v>
          </cell>
          <cell r="AQ32">
            <v>560</v>
          </cell>
        </row>
        <row r="33">
          <cell r="AQ33">
            <v>0</v>
          </cell>
        </row>
        <row r="34">
          <cell r="AQ34">
            <v>0</v>
          </cell>
        </row>
        <row r="35">
          <cell r="AQ35">
            <v>32</v>
          </cell>
        </row>
        <row r="36">
          <cell r="AQ36">
            <v>0</v>
          </cell>
        </row>
        <row r="37">
          <cell r="AQ37">
            <v>500</v>
          </cell>
        </row>
        <row r="38">
          <cell r="N38">
            <v>0</v>
          </cell>
          <cell r="AQ38">
            <v>468</v>
          </cell>
        </row>
        <row r="39">
          <cell r="C39">
            <v>20566.2</v>
          </cell>
          <cell r="N39">
            <v>30682.273393939395</v>
          </cell>
          <cell r="O39">
            <v>6571</v>
          </cell>
          <cell r="P39">
            <v>-24111.273393939395</v>
          </cell>
          <cell r="Q39">
            <v>82056.196636363631</v>
          </cell>
          <cell r="R39">
            <v>23576</v>
          </cell>
          <cell r="S39">
            <v>-58480.196636363631</v>
          </cell>
          <cell r="T39">
            <v>27742.144545454503</v>
          </cell>
          <cell r="W39">
            <v>8380</v>
          </cell>
          <cell r="X39">
            <v>-19362.144545454503</v>
          </cell>
          <cell r="Y39">
            <v>17695.022545454543</v>
          </cell>
          <cell r="Z39">
            <v>7534</v>
          </cell>
          <cell r="AA39">
            <v>9770.7412121212074</v>
          </cell>
          <cell r="AB39">
            <v>5452</v>
          </cell>
          <cell r="AC39">
            <v>-12243.022545454543</v>
          </cell>
          <cell r="AD39">
            <v>40828.740181818175</v>
          </cell>
          <cell r="AE39">
            <v>33499.447090909096</v>
          </cell>
          <cell r="AF39">
            <v>7329.293090909091</v>
          </cell>
          <cell r="AG39">
            <v>8513</v>
          </cell>
          <cell r="AH39">
            <v>6481</v>
          </cell>
          <cell r="AI39">
            <v>2032</v>
          </cell>
          <cell r="AJ39">
            <v>-32315.740181818175</v>
          </cell>
          <cell r="AN39" t="e">
            <v>#REF!</v>
          </cell>
        </row>
        <row r="40">
          <cell r="C40">
            <v>5739.2000000000007</v>
          </cell>
        </row>
        <row r="41">
          <cell r="C41">
            <v>1334.2</v>
          </cell>
          <cell r="D41">
            <v>443</v>
          </cell>
          <cell r="E41">
            <v>691.2</v>
          </cell>
          <cell r="N41">
            <v>8907.5227272727279</v>
          </cell>
          <cell r="Q41">
            <v>18788.680909090908</v>
          </cell>
          <cell r="T41">
            <v>6953.1772727272728</v>
          </cell>
          <cell r="U41">
            <v>3221</v>
          </cell>
          <cell r="V41">
            <v>3732.1772727272732</v>
          </cell>
          <cell r="Y41">
            <v>5686.5072727272727</v>
          </cell>
          <cell r="Z41">
            <v>2495</v>
          </cell>
          <cell r="AA41">
            <v>3191.5072727272727</v>
          </cell>
          <cell r="AE41">
            <v>15260.045454545454</v>
          </cell>
          <cell r="AG41">
            <v>4464</v>
          </cell>
          <cell r="AH41">
            <v>3202</v>
          </cell>
          <cell r="AN41" t="e">
            <v>#REF!</v>
          </cell>
          <cell r="AR41">
            <v>6923.6845454545455</v>
          </cell>
        </row>
        <row r="42">
          <cell r="Q42">
            <v>970</v>
          </cell>
          <cell r="V42">
            <v>750</v>
          </cell>
          <cell r="AA42">
            <v>590</v>
          </cell>
          <cell r="AR42">
            <v>2095</v>
          </cell>
        </row>
        <row r="46">
          <cell r="C46">
            <v>743</v>
          </cell>
          <cell r="D46">
            <v>327</v>
          </cell>
          <cell r="E46">
            <v>416</v>
          </cell>
          <cell r="N46">
            <v>3655.404</v>
          </cell>
          <cell r="O46">
            <v>1204</v>
          </cell>
          <cell r="P46">
            <v>-2451.404</v>
          </cell>
          <cell r="Q46">
            <v>7915.9493333333339</v>
          </cell>
          <cell r="R46">
            <v>2125</v>
          </cell>
          <cell r="S46">
            <v>-5790.9493333333339</v>
          </cell>
          <cell r="T46">
            <v>1893.3546666666666</v>
          </cell>
          <cell r="U46">
            <v>834</v>
          </cell>
          <cell r="V46">
            <v>1059.3546666666666</v>
          </cell>
          <cell r="W46">
            <v>431</v>
          </cell>
          <cell r="X46">
            <v>-1462.3546666666666</v>
          </cell>
          <cell r="Y46">
            <v>1793.3940000000002</v>
          </cell>
          <cell r="Z46">
            <v>784</v>
          </cell>
          <cell r="AA46">
            <v>1009.3940000000002</v>
          </cell>
          <cell r="AB46">
            <v>400</v>
          </cell>
          <cell r="AC46">
            <v>-1393.3940000000002</v>
          </cell>
          <cell r="AD46">
            <v>4347.058</v>
          </cell>
          <cell r="AE46">
            <v>3725.9300000000003</v>
          </cell>
          <cell r="AF46">
            <v>621.1279999999997</v>
          </cell>
          <cell r="AG46">
            <v>1087</v>
          </cell>
          <cell r="AH46">
            <v>292</v>
          </cell>
          <cell r="AI46">
            <v>134</v>
          </cell>
          <cell r="AJ46">
            <v>-3260.058</v>
          </cell>
          <cell r="AN46">
            <v>0</v>
          </cell>
          <cell r="AP46">
            <v>19980.752</v>
          </cell>
          <cell r="AQ46">
            <v>5779.0039999999999</v>
          </cell>
          <cell r="AR46">
            <v>14201.748</v>
          </cell>
          <cell r="AS46">
            <v>4452</v>
          </cell>
          <cell r="AT46">
            <v>-15528.752</v>
          </cell>
          <cell r="AU46">
            <v>1618</v>
          </cell>
          <cell r="AV46">
            <v>4760</v>
          </cell>
          <cell r="AW46">
            <v>4161.0039999999999</v>
          </cell>
          <cell r="AX46">
            <v>9441.7479999999996</v>
          </cell>
        </row>
        <row r="47">
          <cell r="C47">
            <v>1252</v>
          </cell>
          <cell r="E47">
            <v>1252</v>
          </cell>
          <cell r="N47">
            <v>3387</v>
          </cell>
          <cell r="Q47">
            <v>6353</v>
          </cell>
          <cell r="T47">
            <v>929.25866666666661</v>
          </cell>
          <cell r="U47">
            <v>428</v>
          </cell>
          <cell r="V47">
            <v>501.25866666666661</v>
          </cell>
          <cell r="Y47">
            <v>737.22533333333331</v>
          </cell>
          <cell r="Z47">
            <v>325</v>
          </cell>
          <cell r="AA47">
            <v>412.22533333333331</v>
          </cell>
          <cell r="AC47">
            <v>-737.22533333333331</v>
          </cell>
          <cell r="AD47">
            <v>3676.1707200000001</v>
          </cell>
          <cell r="AE47">
            <v>3356.8825001426667</v>
          </cell>
          <cell r="AP47">
            <v>16015.366500142667</v>
          </cell>
        </row>
        <row r="48">
          <cell r="C48">
            <v>4</v>
          </cell>
          <cell r="E48">
            <v>4</v>
          </cell>
          <cell r="N48">
            <v>1</v>
          </cell>
          <cell r="Q48">
            <v>0</v>
          </cell>
          <cell r="T48">
            <v>138.19266666666664</v>
          </cell>
          <cell r="U48">
            <v>51</v>
          </cell>
          <cell r="V48">
            <v>87.192666666666639</v>
          </cell>
          <cell r="Y48">
            <v>-46.472000000000008</v>
          </cell>
          <cell r="Z48">
            <v>-136</v>
          </cell>
          <cell r="AA48">
            <v>89.527999999999992</v>
          </cell>
          <cell r="AC48">
            <v>46.472000000000008</v>
          </cell>
          <cell r="AD48">
            <v>0</v>
          </cell>
          <cell r="AE48">
            <v>0</v>
          </cell>
          <cell r="AP48">
            <v>96.720666666666631</v>
          </cell>
        </row>
        <row r="49">
          <cell r="C49">
            <v>521</v>
          </cell>
          <cell r="E49">
            <v>521</v>
          </cell>
          <cell r="N49">
            <v>59</v>
          </cell>
          <cell r="Q49">
            <v>921</v>
          </cell>
          <cell r="T49">
            <v>372.62666666666667</v>
          </cell>
          <cell r="U49">
            <v>186</v>
          </cell>
          <cell r="V49">
            <v>186.62666666666667</v>
          </cell>
          <cell r="Y49">
            <v>389.78399999999999</v>
          </cell>
          <cell r="Z49">
            <v>187</v>
          </cell>
          <cell r="AA49">
            <v>202.78399999999999</v>
          </cell>
          <cell r="AC49">
            <v>-389.78399999999999</v>
          </cell>
          <cell r="AD49">
            <v>194.34026666666668</v>
          </cell>
          <cell r="AE49">
            <v>163.19720823549071</v>
          </cell>
          <cell r="AP49">
            <v>2426.6078749021572</v>
          </cell>
        </row>
        <row r="50">
          <cell r="C50">
            <v>2</v>
          </cell>
          <cell r="D50">
            <v>2</v>
          </cell>
          <cell r="E50">
            <v>0</v>
          </cell>
          <cell r="N50">
            <v>395.25733333333335</v>
          </cell>
          <cell r="O50">
            <v>121</v>
          </cell>
          <cell r="P50">
            <v>-274.25733333333335</v>
          </cell>
          <cell r="Q50">
            <v>4054.1680000000001</v>
          </cell>
          <cell r="R50">
            <v>1386</v>
          </cell>
          <cell r="S50">
            <v>-2668.1680000000001</v>
          </cell>
          <cell r="T50">
            <v>8049.4773333333324</v>
          </cell>
          <cell r="U50">
            <v>3806</v>
          </cell>
          <cell r="V50">
            <v>4243.4773333333324</v>
          </cell>
          <cell r="W50">
            <v>2636</v>
          </cell>
          <cell r="X50">
            <v>-5413.4773333333324</v>
          </cell>
          <cell r="Y50">
            <v>942.30733333333342</v>
          </cell>
          <cell r="Z50">
            <v>347</v>
          </cell>
          <cell r="AA50">
            <v>595.30733333333342</v>
          </cell>
          <cell r="AB50">
            <v>292</v>
          </cell>
          <cell r="AC50">
            <v>-650.30733333333342</v>
          </cell>
          <cell r="AD50">
            <v>1714.9573333333331</v>
          </cell>
          <cell r="AE50">
            <v>1227.72</v>
          </cell>
          <cell r="AF50">
            <v>487.23733333333303</v>
          </cell>
          <cell r="AG50">
            <v>288</v>
          </cell>
          <cell r="AH50">
            <v>601</v>
          </cell>
          <cell r="AI50">
            <v>56</v>
          </cell>
          <cell r="AJ50">
            <v>-1426.9573333333331</v>
          </cell>
          <cell r="AN50">
            <v>0</v>
          </cell>
          <cell r="AP50">
            <v>14632.33</v>
          </cell>
          <cell r="AQ50">
            <v>4555.6573333333336</v>
          </cell>
          <cell r="AR50">
            <v>10076.672666666665</v>
          </cell>
          <cell r="AS50">
            <v>5036</v>
          </cell>
          <cell r="AT50">
            <v>-9596.33</v>
          </cell>
          <cell r="AU50">
            <v>4153</v>
          </cell>
          <cell r="AV50">
            <v>6217</v>
          </cell>
          <cell r="AW50">
            <v>402.65733333333355</v>
          </cell>
          <cell r="AX50">
            <v>3859.6726666666655</v>
          </cell>
        </row>
        <row r="51">
          <cell r="C51">
            <v>0</v>
          </cell>
          <cell r="D51">
            <v>0</v>
          </cell>
          <cell r="E51">
            <v>0</v>
          </cell>
          <cell r="N51">
            <v>0</v>
          </cell>
          <cell r="P51">
            <v>0</v>
          </cell>
          <cell r="Q51">
            <v>149.13333333333333</v>
          </cell>
          <cell r="R51">
            <v>54</v>
          </cell>
          <cell r="S51">
            <v>-95.133333333333326</v>
          </cell>
          <cell r="T51">
            <v>6799.4000000000005</v>
          </cell>
          <cell r="U51">
            <v>3230</v>
          </cell>
          <cell r="V51">
            <v>3569.4000000000005</v>
          </cell>
          <cell r="W51">
            <v>2407</v>
          </cell>
          <cell r="X51">
            <v>-4392.4000000000005</v>
          </cell>
          <cell r="Y51">
            <v>131.53333333333333</v>
          </cell>
          <cell r="Z51">
            <v>57</v>
          </cell>
          <cell r="AA51">
            <v>74.533333333333331</v>
          </cell>
          <cell r="AB51">
            <v>20</v>
          </cell>
          <cell r="AC51">
            <v>-111.53333333333333</v>
          </cell>
          <cell r="AD51">
            <v>5.3</v>
          </cell>
          <cell r="AE51">
            <v>4</v>
          </cell>
          <cell r="AF51">
            <v>1.2999999999999998</v>
          </cell>
          <cell r="AI51">
            <v>0</v>
          </cell>
          <cell r="AJ51">
            <v>-5.3</v>
          </cell>
          <cell r="AP51">
            <v>7084.0666666666675</v>
          </cell>
          <cell r="AQ51">
            <v>3287</v>
          </cell>
          <cell r="AR51">
            <v>3797.0666666666675</v>
          </cell>
          <cell r="AS51">
            <v>2481</v>
          </cell>
          <cell r="AT51">
            <v>-4603.0666666666675</v>
          </cell>
          <cell r="AU51">
            <v>3287</v>
          </cell>
          <cell r="AV51">
            <v>3695</v>
          </cell>
          <cell r="AW51">
            <v>0</v>
          </cell>
          <cell r="AX51">
            <v>102.06666666666752</v>
          </cell>
        </row>
        <row r="52">
          <cell r="C52">
            <v>0</v>
          </cell>
          <cell r="D52">
            <v>0</v>
          </cell>
          <cell r="E52">
            <v>0</v>
          </cell>
          <cell r="N52">
            <v>0</v>
          </cell>
          <cell r="P52">
            <v>0</v>
          </cell>
          <cell r="Q52">
            <v>84552</v>
          </cell>
          <cell r="R52">
            <v>61402</v>
          </cell>
          <cell r="S52">
            <v>-23150</v>
          </cell>
          <cell r="T52">
            <v>202560</v>
          </cell>
          <cell r="U52">
            <v>108806.34756097561</v>
          </cell>
          <cell r="V52">
            <v>93753.652439024387</v>
          </cell>
          <cell r="W52">
            <v>93632</v>
          </cell>
          <cell r="X52">
            <v>-108928</v>
          </cell>
          <cell r="Y52">
            <v>173049</v>
          </cell>
          <cell r="Z52">
            <v>86757.750161952048</v>
          </cell>
          <cell r="AA52">
            <v>86291.249838047952</v>
          </cell>
          <cell r="AB52">
            <v>76301</v>
          </cell>
          <cell r="AC52">
            <v>-96748</v>
          </cell>
          <cell r="AD52">
            <v>0</v>
          </cell>
          <cell r="AE52">
            <v>0</v>
          </cell>
          <cell r="AF52">
            <v>0</v>
          </cell>
          <cell r="AI52">
            <v>0</v>
          </cell>
          <cell r="AJ52">
            <v>0</v>
          </cell>
          <cell r="AN52">
            <v>0</v>
          </cell>
          <cell r="AP52">
            <v>460162</v>
          </cell>
          <cell r="AQ52">
            <v>195565.09772292766</v>
          </cell>
          <cell r="AR52">
            <v>264596.90227707231</v>
          </cell>
          <cell r="AS52">
            <v>231335</v>
          </cell>
          <cell r="AT52">
            <v>-228827</v>
          </cell>
          <cell r="AU52">
            <v>195564.09772292766</v>
          </cell>
          <cell r="AV52">
            <v>264597</v>
          </cell>
          <cell r="AW52">
            <v>1</v>
          </cell>
          <cell r="AX52">
            <v>-9.772292769048363E-2</v>
          </cell>
        </row>
        <row r="53">
          <cell r="C53">
            <v>10</v>
          </cell>
          <cell r="D53">
            <v>0</v>
          </cell>
          <cell r="E53">
            <v>10</v>
          </cell>
          <cell r="N53">
            <v>0</v>
          </cell>
          <cell r="P53">
            <v>0</v>
          </cell>
          <cell r="Q53">
            <v>84552</v>
          </cell>
          <cell r="R53">
            <v>61402</v>
          </cell>
          <cell r="S53">
            <v>-23150</v>
          </cell>
          <cell r="T53">
            <v>202560</v>
          </cell>
          <cell r="U53">
            <v>108806.34756097561</v>
          </cell>
          <cell r="V53">
            <v>93753.652439024387</v>
          </cell>
          <cell r="W53">
            <v>93632</v>
          </cell>
          <cell r="X53">
            <v>-108928</v>
          </cell>
          <cell r="Y53">
            <v>173049</v>
          </cell>
          <cell r="Z53">
            <v>86757.750161952048</v>
          </cell>
          <cell r="AA53">
            <v>86291.249838047952</v>
          </cell>
          <cell r="AB53">
            <v>46301</v>
          </cell>
          <cell r="AC53">
            <v>-126748</v>
          </cell>
          <cell r="AD53">
            <v>0</v>
          </cell>
          <cell r="AE53">
            <v>0</v>
          </cell>
          <cell r="AF53">
            <v>0</v>
          </cell>
          <cell r="AI53">
            <v>0</v>
          </cell>
          <cell r="AJ53">
            <v>0</v>
          </cell>
          <cell r="AP53">
            <v>460171</v>
          </cell>
          <cell r="AQ53">
            <v>195564.09772292766</v>
          </cell>
          <cell r="AR53">
            <v>264606.90227707231</v>
          </cell>
          <cell r="AS53">
            <v>201335</v>
          </cell>
          <cell r="AT53">
            <v>-258836</v>
          </cell>
          <cell r="AU53">
            <v>195564.09772292766</v>
          </cell>
          <cell r="AV53">
            <v>264597</v>
          </cell>
          <cell r="AW53">
            <v>0</v>
          </cell>
          <cell r="AX53">
            <v>9.9022770723095164</v>
          </cell>
        </row>
        <row r="54">
          <cell r="C54">
            <v>854</v>
          </cell>
          <cell r="D54">
            <v>0</v>
          </cell>
          <cell r="E54">
            <v>854</v>
          </cell>
          <cell r="N54">
            <v>0</v>
          </cell>
          <cell r="P54">
            <v>0</v>
          </cell>
          <cell r="Q54">
            <v>0</v>
          </cell>
          <cell r="S54">
            <v>0</v>
          </cell>
          <cell r="T54">
            <v>0</v>
          </cell>
          <cell r="U54">
            <v>0</v>
          </cell>
          <cell r="Y54">
            <v>0</v>
          </cell>
          <cell r="Z54">
            <v>0</v>
          </cell>
          <cell r="AA54">
            <v>0</v>
          </cell>
          <cell r="AD54">
            <v>0</v>
          </cell>
          <cell r="AE54">
            <v>0</v>
          </cell>
          <cell r="AS54">
            <v>0</v>
          </cell>
          <cell r="AT54">
            <v>0</v>
          </cell>
          <cell r="AV54">
            <v>0</v>
          </cell>
        </row>
        <row r="55">
          <cell r="C55">
            <v>53</v>
          </cell>
          <cell r="D55">
            <v>6</v>
          </cell>
          <cell r="E55">
            <v>47</v>
          </cell>
          <cell r="N55">
            <v>317.95266666666669</v>
          </cell>
          <cell r="O55">
            <v>140</v>
          </cell>
          <cell r="P55">
            <v>-177.95266666666669</v>
          </cell>
          <cell r="Q55">
            <v>14676.890666666668</v>
          </cell>
          <cell r="R55">
            <v>8493</v>
          </cell>
          <cell r="S55">
            <v>-6183.890666666668</v>
          </cell>
          <cell r="T55">
            <v>0</v>
          </cell>
          <cell r="U55">
            <v>0</v>
          </cell>
          <cell r="V55">
            <v>0</v>
          </cell>
          <cell r="X55">
            <v>0</v>
          </cell>
          <cell r="Y55">
            <v>0</v>
          </cell>
          <cell r="Z55">
            <v>0</v>
          </cell>
          <cell r="AA55">
            <v>0</v>
          </cell>
          <cell r="AB55">
            <v>0</v>
          </cell>
          <cell r="AC55">
            <v>0</v>
          </cell>
          <cell r="AD55">
            <v>7067.8566666666675</v>
          </cell>
          <cell r="AE55">
            <v>2812.672</v>
          </cell>
          <cell r="AF55">
            <v>4255.1846666666679</v>
          </cell>
          <cell r="AG55">
            <v>809</v>
          </cell>
          <cell r="AH55">
            <v>810</v>
          </cell>
          <cell r="AI55">
            <v>1225</v>
          </cell>
          <cell r="AJ55">
            <v>-6258.8566666666675</v>
          </cell>
          <cell r="AN55">
            <v>0</v>
          </cell>
          <cell r="AP55">
            <v>17860.515333333333</v>
          </cell>
          <cell r="AQ55">
            <v>323.95266666666669</v>
          </cell>
          <cell r="AR55">
            <v>17536.562666666665</v>
          </cell>
          <cell r="AS55">
            <v>9442</v>
          </cell>
          <cell r="AT55">
            <v>-8418.5153333333328</v>
          </cell>
          <cell r="AU55">
            <v>0</v>
          </cell>
          <cell r="AV55">
            <v>4990</v>
          </cell>
          <cell r="AW55">
            <v>323.95266666666669</v>
          </cell>
          <cell r="AX55">
            <v>12546.562666666665</v>
          </cell>
        </row>
        <row r="56">
          <cell r="C56">
            <v>772.2</v>
          </cell>
          <cell r="D56">
            <v>310</v>
          </cell>
          <cell r="E56">
            <v>462.20000000000005</v>
          </cell>
          <cell r="N56">
            <v>5430.189393939394</v>
          </cell>
          <cell r="O56">
            <v>1303</v>
          </cell>
          <cell r="P56">
            <v>-4127.189393939394</v>
          </cell>
          <cell r="Q56">
            <v>9713.4081818181821</v>
          </cell>
          <cell r="R56">
            <v>2369</v>
          </cell>
          <cell r="S56">
            <v>-7344.4081818181821</v>
          </cell>
          <cell r="T56">
            <v>2893.9954545454548</v>
          </cell>
          <cell r="U56">
            <v>1300</v>
          </cell>
          <cell r="V56">
            <v>1593.9954545454548</v>
          </cell>
          <cell r="W56">
            <v>745</v>
          </cell>
          <cell r="X56">
            <v>-2148.9954545454548</v>
          </cell>
          <cell r="Y56">
            <v>2718.2345454545457</v>
          </cell>
          <cell r="Z56">
            <v>1178</v>
          </cell>
          <cell r="AA56">
            <v>1540.2345454545457</v>
          </cell>
          <cell r="AB56">
            <v>662</v>
          </cell>
          <cell r="AC56">
            <v>-2056.2345454545457</v>
          </cell>
          <cell r="AD56">
            <v>10620.884545454544</v>
          </cell>
          <cell r="AE56">
            <v>9515.045454545454</v>
          </cell>
          <cell r="AF56">
            <v>1105.8390909090904</v>
          </cell>
          <cell r="AG56">
            <v>2563</v>
          </cell>
          <cell r="AH56">
            <v>1747</v>
          </cell>
          <cell r="AI56">
            <v>306</v>
          </cell>
          <cell r="AJ56">
            <v>-8057.8845454545444</v>
          </cell>
          <cell r="AN56">
            <v>0</v>
          </cell>
          <cell r="AP56">
            <v>31814.073030303029</v>
          </cell>
          <cell r="AQ56">
            <v>8727.007575757576</v>
          </cell>
          <cell r="AR56">
            <v>23087.065454545453</v>
          </cell>
          <cell r="AS56">
            <v>6826</v>
          </cell>
          <cell r="AT56">
            <v>-24988.073030303029</v>
          </cell>
          <cell r="AU56">
            <v>2478</v>
          </cell>
          <cell r="AV56">
            <v>6437</v>
          </cell>
          <cell r="AW56">
            <v>6249.007575757576</v>
          </cell>
          <cell r="AX56">
            <v>16650.065454545453</v>
          </cell>
        </row>
        <row r="57">
          <cell r="C57">
            <v>27</v>
          </cell>
          <cell r="D57">
            <v>16</v>
          </cell>
          <cell r="E57">
            <v>11</v>
          </cell>
          <cell r="N57">
            <v>300</v>
          </cell>
          <cell r="O57">
            <v>70</v>
          </cell>
          <cell r="P57">
            <v>-230</v>
          </cell>
          <cell r="Q57">
            <v>537</v>
          </cell>
          <cell r="R57">
            <v>129</v>
          </cell>
          <cell r="S57">
            <v>-408</v>
          </cell>
          <cell r="T57">
            <v>158</v>
          </cell>
          <cell r="U57">
            <v>71</v>
          </cell>
          <cell r="V57">
            <v>87</v>
          </cell>
          <cell r="W57">
            <v>39</v>
          </cell>
          <cell r="X57">
            <v>-119</v>
          </cell>
          <cell r="Y57">
            <v>146</v>
          </cell>
          <cell r="Z57">
            <v>65</v>
          </cell>
          <cell r="AA57">
            <v>81</v>
          </cell>
          <cell r="AB57">
            <v>35</v>
          </cell>
          <cell r="AC57">
            <v>-111</v>
          </cell>
          <cell r="AD57">
            <v>584</v>
          </cell>
          <cell r="AE57">
            <v>522</v>
          </cell>
          <cell r="AF57">
            <v>62</v>
          </cell>
          <cell r="AG57">
            <v>136</v>
          </cell>
          <cell r="AH57">
            <v>96</v>
          </cell>
          <cell r="AI57">
            <v>18</v>
          </cell>
          <cell r="AJ57">
            <v>-448</v>
          </cell>
          <cell r="AN57">
            <v>0</v>
          </cell>
          <cell r="AP57">
            <v>1733</v>
          </cell>
          <cell r="AQ57">
            <v>480</v>
          </cell>
          <cell r="AR57">
            <v>1253</v>
          </cell>
          <cell r="AS57">
            <v>369</v>
          </cell>
          <cell r="AT57">
            <v>-1364</v>
          </cell>
          <cell r="AU57">
            <v>136</v>
          </cell>
          <cell r="AV57">
            <v>270</v>
          </cell>
          <cell r="AW57">
            <v>344</v>
          </cell>
          <cell r="AX57">
            <v>983</v>
          </cell>
        </row>
        <row r="58">
          <cell r="C58">
            <v>335</v>
          </cell>
          <cell r="D58">
            <v>117</v>
          </cell>
          <cell r="E58">
            <v>218</v>
          </cell>
          <cell r="N58">
            <v>1740</v>
          </cell>
          <cell r="O58">
            <v>417</v>
          </cell>
          <cell r="P58">
            <v>-1323</v>
          </cell>
          <cell r="Q58">
            <v>3109</v>
          </cell>
          <cell r="R58">
            <v>610</v>
          </cell>
          <cell r="S58">
            <v>-2499</v>
          </cell>
          <cell r="T58">
            <v>926</v>
          </cell>
          <cell r="U58">
            <v>415</v>
          </cell>
          <cell r="V58">
            <v>511</v>
          </cell>
          <cell r="W58">
            <v>229</v>
          </cell>
          <cell r="X58">
            <v>-697</v>
          </cell>
          <cell r="Y58">
            <v>870</v>
          </cell>
          <cell r="Z58">
            <v>378</v>
          </cell>
          <cell r="AA58">
            <v>492</v>
          </cell>
          <cell r="AB58">
            <v>205</v>
          </cell>
          <cell r="AC58">
            <v>-665</v>
          </cell>
          <cell r="AD58">
            <v>3399</v>
          </cell>
          <cell r="AE58">
            <v>3042</v>
          </cell>
          <cell r="AF58">
            <v>357</v>
          </cell>
          <cell r="AG58">
            <v>793</v>
          </cell>
          <cell r="AH58">
            <v>559</v>
          </cell>
          <cell r="AI58">
            <v>103</v>
          </cell>
          <cell r="AJ58">
            <v>-2606</v>
          </cell>
          <cell r="AN58">
            <v>0</v>
          </cell>
          <cell r="AP58">
            <v>10269</v>
          </cell>
          <cell r="AQ58">
            <v>2811</v>
          </cell>
          <cell r="AR58">
            <v>7458</v>
          </cell>
          <cell r="AS58">
            <v>2021</v>
          </cell>
          <cell r="AT58">
            <v>-8248</v>
          </cell>
          <cell r="AU58">
            <v>0</v>
          </cell>
          <cell r="AV58">
            <v>0</v>
          </cell>
          <cell r="AW58">
            <v>0</v>
          </cell>
          <cell r="AX58">
            <v>0</v>
          </cell>
        </row>
        <row r="59">
          <cell r="C59">
            <v>0</v>
          </cell>
          <cell r="D59">
            <v>0</v>
          </cell>
          <cell r="E59">
            <v>0</v>
          </cell>
          <cell r="N59">
            <v>0</v>
          </cell>
          <cell r="P59">
            <v>0</v>
          </cell>
          <cell r="Q59">
            <v>0</v>
          </cell>
          <cell r="S59">
            <v>0</v>
          </cell>
          <cell r="T59">
            <v>0</v>
          </cell>
          <cell r="U59">
            <v>0</v>
          </cell>
          <cell r="V59">
            <v>0</v>
          </cell>
          <cell r="X59">
            <v>0</v>
          </cell>
          <cell r="Y59">
            <v>0</v>
          </cell>
          <cell r="Z59">
            <v>0</v>
          </cell>
          <cell r="AA59">
            <v>0</v>
          </cell>
          <cell r="AC59">
            <v>0</v>
          </cell>
          <cell r="AD59">
            <v>0</v>
          </cell>
          <cell r="AE59">
            <v>0</v>
          </cell>
          <cell r="AF59">
            <v>0</v>
          </cell>
          <cell r="AI59">
            <v>0</v>
          </cell>
          <cell r="AJ59">
            <v>0</v>
          </cell>
          <cell r="AP59">
            <v>0</v>
          </cell>
          <cell r="AQ59">
            <v>0</v>
          </cell>
          <cell r="AR59">
            <v>0</v>
          </cell>
          <cell r="AS59">
            <v>0</v>
          </cell>
          <cell r="AT59">
            <v>0</v>
          </cell>
          <cell r="AU59">
            <v>0</v>
          </cell>
          <cell r="AV59">
            <v>0</v>
          </cell>
          <cell r="AW59">
            <v>0</v>
          </cell>
          <cell r="AX59">
            <v>0</v>
          </cell>
        </row>
        <row r="60">
          <cell r="C60">
            <v>79</v>
          </cell>
          <cell r="D60">
            <v>85</v>
          </cell>
          <cell r="E60">
            <v>-6</v>
          </cell>
          <cell r="N60">
            <v>5092</v>
          </cell>
          <cell r="O60">
            <v>1794</v>
          </cell>
          <cell r="P60">
            <v>-3298</v>
          </cell>
          <cell r="Q60">
            <v>11022</v>
          </cell>
          <cell r="R60">
            <v>3886</v>
          </cell>
          <cell r="S60">
            <v>-7136</v>
          </cell>
          <cell r="T60">
            <v>5956</v>
          </cell>
          <cell r="U60">
            <v>2648</v>
          </cell>
          <cell r="V60">
            <v>3308</v>
          </cell>
          <cell r="W60">
            <v>2064</v>
          </cell>
          <cell r="X60">
            <v>-3892</v>
          </cell>
          <cell r="Y60">
            <v>6214.666666666667</v>
          </cell>
          <cell r="Z60">
            <v>2612</v>
          </cell>
          <cell r="AA60">
            <v>3602.666666666667</v>
          </cell>
          <cell r="AB60">
            <v>2209</v>
          </cell>
          <cell r="AC60">
            <v>-4005.666666666667</v>
          </cell>
          <cell r="AD60">
            <v>5407.666666666667</v>
          </cell>
          <cell r="AE60">
            <v>5205.3333333333339</v>
          </cell>
          <cell r="AF60">
            <v>202.33333333333303</v>
          </cell>
          <cell r="AG60">
            <v>1641</v>
          </cell>
          <cell r="AH60">
            <v>1265</v>
          </cell>
          <cell r="AI60">
            <v>155</v>
          </cell>
          <cell r="AJ60">
            <v>-3766.666666666667</v>
          </cell>
          <cell r="AN60">
            <v>0</v>
          </cell>
          <cell r="AP60">
            <v>33545</v>
          </cell>
          <cell r="AQ60">
            <v>10465</v>
          </cell>
          <cell r="AR60">
            <v>23080</v>
          </cell>
          <cell r="AS60">
            <v>11218</v>
          </cell>
          <cell r="AT60">
            <v>-22327</v>
          </cell>
          <cell r="AU60">
            <v>5260</v>
          </cell>
          <cell r="AV60">
            <v>10658</v>
          </cell>
          <cell r="AW60">
            <v>5205</v>
          </cell>
          <cell r="AX60">
            <v>12422</v>
          </cell>
        </row>
        <row r="61">
          <cell r="C61">
            <v>0</v>
          </cell>
          <cell r="D61">
            <v>0</v>
          </cell>
          <cell r="E61">
            <v>0</v>
          </cell>
          <cell r="N61">
            <v>0</v>
          </cell>
          <cell r="P61">
            <v>0</v>
          </cell>
          <cell r="Q61">
            <v>0</v>
          </cell>
          <cell r="S61">
            <v>0</v>
          </cell>
          <cell r="T61">
            <v>0</v>
          </cell>
          <cell r="U61">
            <v>0</v>
          </cell>
          <cell r="X61">
            <v>0</v>
          </cell>
          <cell r="Y61">
            <v>0</v>
          </cell>
          <cell r="Z61">
            <v>0</v>
          </cell>
          <cell r="AA61">
            <v>0</v>
          </cell>
          <cell r="AC61">
            <v>0</v>
          </cell>
          <cell r="AD61">
            <v>0</v>
          </cell>
          <cell r="AE61">
            <v>0</v>
          </cell>
          <cell r="AF61">
            <v>0</v>
          </cell>
          <cell r="AG61">
            <v>0</v>
          </cell>
          <cell r="AH61">
            <v>126</v>
          </cell>
          <cell r="AI61">
            <v>0</v>
          </cell>
          <cell r="AJ61">
            <v>0</v>
          </cell>
          <cell r="AP61">
            <v>0</v>
          </cell>
          <cell r="AS61">
            <v>126</v>
          </cell>
          <cell r="AT61">
            <v>126</v>
          </cell>
        </row>
        <row r="62">
          <cell r="C62">
            <v>84</v>
          </cell>
          <cell r="D62">
            <v>76</v>
          </cell>
          <cell r="E62">
            <v>8</v>
          </cell>
          <cell r="N62">
            <v>5092</v>
          </cell>
          <cell r="P62">
            <v>-5092</v>
          </cell>
          <cell r="Q62">
            <v>11022</v>
          </cell>
          <cell r="S62">
            <v>-11022</v>
          </cell>
          <cell r="T62">
            <v>1182.97</v>
          </cell>
          <cell r="U62">
            <v>53</v>
          </cell>
          <cell r="X62">
            <v>-1182.97</v>
          </cell>
          <cell r="Y62">
            <v>1395.26</v>
          </cell>
          <cell r="Z62">
            <v>65</v>
          </cell>
          <cell r="AA62">
            <v>1330.26</v>
          </cell>
          <cell r="AC62">
            <v>-1395.26</v>
          </cell>
          <cell r="AD62">
            <v>2635</v>
          </cell>
          <cell r="AE62">
            <v>2635</v>
          </cell>
          <cell r="AF62">
            <v>0</v>
          </cell>
          <cell r="AI62">
            <v>0</v>
          </cell>
          <cell r="AJ62">
            <v>-2635</v>
          </cell>
          <cell r="AP62">
            <v>21424.23</v>
          </cell>
          <cell r="AQ62">
            <v>5299</v>
          </cell>
          <cell r="AR62">
            <v>16125.23</v>
          </cell>
          <cell r="AS62">
            <v>0</v>
          </cell>
          <cell r="AT62">
            <v>-21424.23</v>
          </cell>
          <cell r="AV62">
            <v>4361</v>
          </cell>
        </row>
        <row r="63">
          <cell r="C63">
            <v>260</v>
          </cell>
          <cell r="D63">
            <v>0</v>
          </cell>
          <cell r="E63">
            <v>260</v>
          </cell>
          <cell r="N63">
            <v>0</v>
          </cell>
          <cell r="P63">
            <v>0</v>
          </cell>
          <cell r="Q63">
            <v>0</v>
          </cell>
          <cell r="S63">
            <v>0</v>
          </cell>
          <cell r="T63">
            <v>0</v>
          </cell>
          <cell r="U63">
            <v>0</v>
          </cell>
          <cell r="X63">
            <v>0</v>
          </cell>
          <cell r="Y63">
            <v>0</v>
          </cell>
          <cell r="Z63">
            <v>0</v>
          </cell>
          <cell r="AA63">
            <v>0</v>
          </cell>
          <cell r="AC63">
            <v>0</v>
          </cell>
          <cell r="AD63">
            <v>0</v>
          </cell>
          <cell r="AE63">
            <v>0</v>
          </cell>
          <cell r="AF63">
            <v>0</v>
          </cell>
          <cell r="AI63">
            <v>0</v>
          </cell>
          <cell r="AJ63">
            <v>0</v>
          </cell>
          <cell r="AP63">
            <v>260</v>
          </cell>
          <cell r="AQ63">
            <v>0</v>
          </cell>
          <cell r="AR63">
            <v>260</v>
          </cell>
          <cell r="AS63">
            <v>0</v>
          </cell>
          <cell r="AT63">
            <v>-260</v>
          </cell>
          <cell r="AV63">
            <v>0</v>
          </cell>
        </row>
        <row r="64">
          <cell r="C64">
            <v>0</v>
          </cell>
          <cell r="D64">
            <v>9</v>
          </cell>
          <cell r="E64">
            <v>-9</v>
          </cell>
          <cell r="N64">
            <v>0</v>
          </cell>
          <cell r="P64">
            <v>0</v>
          </cell>
          <cell r="S64">
            <v>0</v>
          </cell>
          <cell r="T64">
            <v>4773.03</v>
          </cell>
          <cell r="U64">
            <v>2595</v>
          </cell>
          <cell r="X64">
            <v>-4773.03</v>
          </cell>
          <cell r="Y64">
            <v>4819.4066666666668</v>
          </cell>
          <cell r="Z64">
            <v>2547</v>
          </cell>
          <cell r="AA64">
            <v>2272.4066666666668</v>
          </cell>
          <cell r="AC64">
            <v>-4819.4066666666668</v>
          </cell>
          <cell r="AD64">
            <v>2772.666666666667</v>
          </cell>
          <cell r="AE64">
            <v>2570.3333333333339</v>
          </cell>
          <cell r="AF64">
            <v>202.33333333333303</v>
          </cell>
          <cell r="AG64">
            <v>1641</v>
          </cell>
          <cell r="AH64">
            <v>1139</v>
          </cell>
          <cell r="AI64">
            <v>155</v>
          </cell>
          <cell r="AJ64">
            <v>-1131.666666666667</v>
          </cell>
          <cell r="AP64">
            <v>12169.77</v>
          </cell>
          <cell r="AS64">
            <v>1139</v>
          </cell>
          <cell r="AT64">
            <v>-11030.77</v>
          </cell>
        </row>
        <row r="65">
          <cell r="C65">
            <v>241</v>
          </cell>
          <cell r="D65">
            <v>63</v>
          </cell>
          <cell r="E65">
            <v>178</v>
          </cell>
          <cell r="N65">
            <v>6489</v>
          </cell>
          <cell r="O65">
            <v>1295</v>
          </cell>
          <cell r="P65">
            <v>-5194</v>
          </cell>
          <cell r="Q65">
            <v>14640.295454545454</v>
          </cell>
          <cell r="R65">
            <v>2254</v>
          </cell>
          <cell r="S65">
            <v>-12386.295454545454</v>
          </cell>
          <cell r="T65">
            <v>11566.459090909091</v>
          </cell>
          <cell r="U65">
            <v>5559</v>
          </cell>
          <cell r="V65">
            <v>6007.4590909090912</v>
          </cell>
          <cell r="W65">
            <v>1557</v>
          </cell>
          <cell r="X65">
            <v>-10009.459090909091</v>
          </cell>
          <cell r="Y65">
            <v>8589.5</v>
          </cell>
          <cell r="Z65">
            <v>4367</v>
          </cell>
          <cell r="AA65">
            <v>4222.5</v>
          </cell>
          <cell r="AB65">
            <v>1201</v>
          </cell>
          <cell r="AC65">
            <v>-7388.5</v>
          </cell>
          <cell r="AD65">
            <v>8399.113636363636</v>
          </cell>
          <cell r="AE65">
            <v>8326.113636363636</v>
          </cell>
          <cell r="AF65">
            <v>73</v>
          </cell>
          <cell r="AG65">
            <v>1946</v>
          </cell>
          <cell r="AH65">
            <v>938</v>
          </cell>
          <cell r="AI65">
            <v>0</v>
          </cell>
          <cell r="AJ65">
            <v>-6453.113636363636</v>
          </cell>
          <cell r="AP65">
            <v>49858.368181818179</v>
          </cell>
          <cell r="AQ65">
            <v>16448</v>
          </cell>
          <cell r="AR65">
            <v>33410.368181818179</v>
          </cell>
          <cell r="AS65">
            <v>7245</v>
          </cell>
          <cell r="AT65">
            <v>-42613.368181818179</v>
          </cell>
          <cell r="AU65">
            <v>9926</v>
          </cell>
          <cell r="AV65">
            <v>15208</v>
          </cell>
          <cell r="AW65">
            <v>6522</v>
          </cell>
          <cell r="AX65">
            <v>18202.368181818179</v>
          </cell>
        </row>
        <row r="66">
          <cell r="C66">
            <v>0</v>
          </cell>
          <cell r="D66">
            <v>0</v>
          </cell>
          <cell r="E66">
            <v>0</v>
          </cell>
          <cell r="N66">
            <v>650.33333333333326</v>
          </cell>
          <cell r="O66">
            <v>198</v>
          </cell>
          <cell r="P66">
            <v>-452.33333333333326</v>
          </cell>
          <cell r="Q66">
            <v>3951.2727272727275</v>
          </cell>
          <cell r="R66">
            <v>1097</v>
          </cell>
          <cell r="S66">
            <v>-2854.2727272727275</v>
          </cell>
          <cell r="T66">
            <v>2164.1818181818185</v>
          </cell>
          <cell r="U66">
            <v>1044</v>
          </cell>
          <cell r="V66">
            <v>1120.1818181818185</v>
          </cell>
          <cell r="W66">
            <v>608</v>
          </cell>
          <cell r="X66">
            <v>-1556.1818181818185</v>
          </cell>
          <cell r="Y66">
            <v>1418.2727272727273</v>
          </cell>
          <cell r="Z66">
            <v>634</v>
          </cell>
          <cell r="AA66">
            <v>784.27272727272725</v>
          </cell>
          <cell r="AB66">
            <v>435</v>
          </cell>
          <cell r="AC66">
            <v>-983.27272727272725</v>
          </cell>
          <cell r="AD66">
            <v>1586.1818181818182</v>
          </cell>
          <cell r="AE66">
            <v>1586</v>
          </cell>
          <cell r="AF66">
            <v>0.18181818181824383</v>
          </cell>
          <cell r="AG66">
            <v>318</v>
          </cell>
          <cell r="AH66">
            <v>237</v>
          </cell>
          <cell r="AI66">
            <v>0</v>
          </cell>
          <cell r="AJ66">
            <v>-1268.1818181818182</v>
          </cell>
          <cell r="AP66">
            <v>9770.0606060606078</v>
          </cell>
          <cell r="AQ66">
            <v>2328.333333333333</v>
          </cell>
          <cell r="AR66">
            <v>7441.7272727272748</v>
          </cell>
          <cell r="AS66">
            <v>2575</v>
          </cell>
          <cell r="AT66">
            <v>-7195.0606060606078</v>
          </cell>
        </row>
        <row r="67">
          <cell r="C67">
            <v>0</v>
          </cell>
          <cell r="D67">
            <v>0</v>
          </cell>
          <cell r="E67">
            <v>0</v>
          </cell>
          <cell r="N67">
            <v>38</v>
          </cell>
          <cell r="O67">
            <v>11</v>
          </cell>
          <cell r="P67">
            <v>-27</v>
          </cell>
          <cell r="Q67">
            <v>217</v>
          </cell>
          <cell r="R67">
            <v>60</v>
          </cell>
          <cell r="S67">
            <v>-157</v>
          </cell>
          <cell r="T67">
            <v>118</v>
          </cell>
          <cell r="U67">
            <v>57</v>
          </cell>
          <cell r="V67">
            <v>61</v>
          </cell>
          <cell r="W67">
            <v>33</v>
          </cell>
          <cell r="X67">
            <v>-85</v>
          </cell>
          <cell r="Y67">
            <v>77</v>
          </cell>
          <cell r="Z67">
            <v>35</v>
          </cell>
          <cell r="AA67">
            <v>42</v>
          </cell>
          <cell r="AB67">
            <v>24</v>
          </cell>
          <cell r="AC67">
            <v>-53</v>
          </cell>
          <cell r="AD67">
            <v>87</v>
          </cell>
          <cell r="AE67">
            <v>87</v>
          </cell>
          <cell r="AF67">
            <v>0</v>
          </cell>
          <cell r="AG67">
            <v>17</v>
          </cell>
          <cell r="AH67">
            <v>12</v>
          </cell>
          <cell r="AI67">
            <v>0</v>
          </cell>
          <cell r="AJ67">
            <v>-70</v>
          </cell>
          <cell r="AP67">
            <v>537</v>
          </cell>
          <cell r="AQ67">
            <v>130</v>
          </cell>
          <cell r="AR67">
            <v>407</v>
          </cell>
          <cell r="AS67">
            <v>140</v>
          </cell>
          <cell r="AT67">
            <v>-397</v>
          </cell>
        </row>
        <row r="68">
          <cell r="C68">
            <v>0</v>
          </cell>
          <cell r="D68">
            <v>0</v>
          </cell>
          <cell r="E68">
            <v>0</v>
          </cell>
          <cell r="N68">
            <v>210</v>
          </cell>
          <cell r="O68">
            <v>63</v>
          </cell>
          <cell r="P68">
            <v>-147</v>
          </cell>
          <cell r="Q68">
            <v>1261</v>
          </cell>
          <cell r="R68">
            <v>330</v>
          </cell>
          <cell r="S68">
            <v>-931</v>
          </cell>
          <cell r="T68">
            <v>693</v>
          </cell>
          <cell r="U68">
            <v>334</v>
          </cell>
          <cell r="V68">
            <v>359</v>
          </cell>
          <cell r="W68">
            <v>190</v>
          </cell>
          <cell r="X68">
            <v>-503</v>
          </cell>
          <cell r="Y68">
            <v>457</v>
          </cell>
          <cell r="Z68">
            <v>205</v>
          </cell>
          <cell r="AA68">
            <v>252</v>
          </cell>
          <cell r="AB68">
            <v>137</v>
          </cell>
          <cell r="AC68">
            <v>-320</v>
          </cell>
          <cell r="AD68">
            <v>508</v>
          </cell>
          <cell r="AE68">
            <v>508</v>
          </cell>
          <cell r="AF68">
            <v>0</v>
          </cell>
          <cell r="AG68">
            <v>102</v>
          </cell>
          <cell r="AH68">
            <v>16</v>
          </cell>
          <cell r="AI68">
            <v>0</v>
          </cell>
          <cell r="AJ68">
            <v>-406</v>
          </cell>
          <cell r="AP68">
            <v>3129</v>
          </cell>
          <cell r="AQ68">
            <v>749</v>
          </cell>
          <cell r="AR68">
            <v>2380</v>
          </cell>
          <cell r="AS68">
            <v>620</v>
          </cell>
          <cell r="AT68">
            <v>-2509</v>
          </cell>
        </row>
        <row r="69">
          <cell r="C69">
            <v>0</v>
          </cell>
          <cell r="D69">
            <v>0</v>
          </cell>
          <cell r="E69">
            <v>0</v>
          </cell>
          <cell r="N69">
            <v>539</v>
          </cell>
          <cell r="P69">
            <v>-539</v>
          </cell>
          <cell r="Q69">
            <v>0</v>
          </cell>
          <cell r="S69">
            <v>0</v>
          </cell>
          <cell r="T69">
            <v>0</v>
          </cell>
          <cell r="U69">
            <v>0</v>
          </cell>
          <cell r="V69">
            <v>0</v>
          </cell>
          <cell r="X69">
            <v>0</v>
          </cell>
          <cell r="Y69">
            <v>0</v>
          </cell>
          <cell r="Z69">
            <v>0</v>
          </cell>
          <cell r="AA69">
            <v>0</v>
          </cell>
          <cell r="AC69">
            <v>0</v>
          </cell>
          <cell r="AD69">
            <v>0</v>
          </cell>
          <cell r="AE69">
            <v>0</v>
          </cell>
          <cell r="AF69">
            <v>0</v>
          </cell>
          <cell r="AI69">
            <v>0</v>
          </cell>
          <cell r="AJ69">
            <v>0</v>
          </cell>
          <cell r="AP69">
            <v>539</v>
          </cell>
          <cell r="AQ69">
            <v>539</v>
          </cell>
          <cell r="AR69">
            <v>0</v>
          </cell>
          <cell r="AS69">
            <v>0</v>
          </cell>
          <cell r="AT69">
            <v>-539</v>
          </cell>
        </row>
        <row r="70">
          <cell r="C70" t="e">
            <v>#REF!</v>
          </cell>
          <cell r="D70" t="e">
            <v>#REF!</v>
          </cell>
          <cell r="E70" t="e">
            <v>#REF!</v>
          </cell>
          <cell r="N70">
            <v>1182.5</v>
          </cell>
          <cell r="P70">
            <v>-1182.5</v>
          </cell>
          <cell r="Q70">
            <v>2058.6</v>
          </cell>
          <cell r="S70">
            <v>-2058.6</v>
          </cell>
          <cell r="T70">
            <v>2312</v>
          </cell>
          <cell r="U70">
            <v>0</v>
          </cell>
          <cell r="V70">
            <v>2312</v>
          </cell>
          <cell r="X70">
            <v>-2312</v>
          </cell>
          <cell r="Y70">
            <v>633</v>
          </cell>
          <cell r="Z70">
            <v>170</v>
          </cell>
          <cell r="AA70">
            <v>463</v>
          </cell>
          <cell r="AC70">
            <v>-633</v>
          </cell>
          <cell r="AD70">
            <v>1550.7636363636364</v>
          </cell>
          <cell r="AE70">
            <v>1550.7636363636364</v>
          </cell>
          <cell r="AF70">
            <v>0</v>
          </cell>
          <cell r="AI70">
            <v>0</v>
          </cell>
          <cell r="AJ70">
            <v>-1550.7636363636364</v>
          </cell>
          <cell r="AP70" t="e">
            <v>#REF!</v>
          </cell>
          <cell r="AQ70" t="e">
            <v>#REF!</v>
          </cell>
          <cell r="AS70">
            <v>0</v>
          </cell>
          <cell r="AT70" t="e">
            <v>#REF!</v>
          </cell>
        </row>
        <row r="71">
          <cell r="C71" t="e">
            <v>#REF!</v>
          </cell>
          <cell r="D71" t="e">
            <v>#REF!</v>
          </cell>
          <cell r="E71" t="e">
            <v>#REF!</v>
          </cell>
          <cell r="N71">
            <v>0</v>
          </cell>
          <cell r="P71">
            <v>0</v>
          </cell>
          <cell r="Q71">
            <v>0</v>
          </cell>
          <cell r="S71">
            <v>0</v>
          </cell>
          <cell r="T71">
            <v>0</v>
          </cell>
          <cell r="U71">
            <v>0</v>
          </cell>
          <cell r="V71">
            <v>0</v>
          </cell>
          <cell r="X71">
            <v>0</v>
          </cell>
          <cell r="Y71">
            <v>0</v>
          </cell>
          <cell r="Z71">
            <v>0</v>
          </cell>
          <cell r="AA71">
            <v>0</v>
          </cell>
          <cell r="AC71">
            <v>0</v>
          </cell>
          <cell r="AD71">
            <v>0</v>
          </cell>
          <cell r="AE71">
            <v>0</v>
          </cell>
          <cell r="AF71">
            <v>0</v>
          </cell>
          <cell r="AI71">
            <v>0</v>
          </cell>
          <cell r="AJ71">
            <v>0</v>
          </cell>
          <cell r="AP71" t="e">
            <v>#REF!</v>
          </cell>
          <cell r="AQ71" t="e">
            <v>#REF!</v>
          </cell>
          <cell r="AS71">
            <v>0</v>
          </cell>
          <cell r="AT71" t="e">
            <v>#REF!</v>
          </cell>
        </row>
        <row r="72">
          <cell r="C72">
            <v>8264</v>
          </cell>
          <cell r="D72">
            <v>1252</v>
          </cell>
          <cell r="E72">
            <v>7012</v>
          </cell>
          <cell r="N72">
            <v>903.93666666666672</v>
          </cell>
          <cell r="O72">
            <v>227</v>
          </cell>
          <cell r="P72">
            <v>-676.93666666666672</v>
          </cell>
          <cell r="Q72">
            <v>2558.8849999999998</v>
          </cell>
          <cell r="R72">
            <v>403</v>
          </cell>
          <cell r="S72">
            <v>-2155.8849999999998</v>
          </cell>
          <cell r="T72">
            <v>901.92466666666667</v>
          </cell>
          <cell r="U72">
            <v>404</v>
          </cell>
          <cell r="V72">
            <v>497.92466666666667</v>
          </cell>
          <cell r="W72">
            <v>175</v>
          </cell>
          <cell r="X72">
            <v>-726.92466666666667</v>
          </cell>
          <cell r="Y72">
            <v>850.04533333333336</v>
          </cell>
          <cell r="Z72">
            <v>350</v>
          </cell>
          <cell r="AA72">
            <v>500.04533333333336</v>
          </cell>
          <cell r="AB72">
            <v>94</v>
          </cell>
          <cell r="AC72">
            <v>-756.04533333333336</v>
          </cell>
          <cell r="AD72">
            <v>1908.2339999999999</v>
          </cell>
          <cell r="AE72">
            <v>1557.3300000000002</v>
          </cell>
          <cell r="AF72">
            <v>350.90399999999977</v>
          </cell>
          <cell r="AG72">
            <v>379</v>
          </cell>
          <cell r="AH72">
            <v>173</v>
          </cell>
          <cell r="AI72">
            <v>35</v>
          </cell>
          <cell r="AJ72">
            <v>-1529.2339999999999</v>
          </cell>
          <cell r="AN72">
            <v>0</v>
          </cell>
          <cell r="AP72">
            <v>16266.252333333332</v>
          </cell>
          <cell r="AQ72" t="e">
            <v>#REF!</v>
          </cell>
          <cell r="AR72" t="e">
            <v>#REF!</v>
          </cell>
          <cell r="AS72">
            <v>181</v>
          </cell>
          <cell r="AT72">
            <v>-16085.252333333332</v>
          </cell>
          <cell r="AU72">
            <v>754</v>
          </cell>
          <cell r="AV72">
            <v>1834</v>
          </cell>
          <cell r="AW72">
            <v>2718.5366666666669</v>
          </cell>
          <cell r="AX72" t="e">
            <v>#REF!</v>
          </cell>
        </row>
        <row r="73">
          <cell r="C73">
            <v>3706</v>
          </cell>
          <cell r="D73">
            <v>70</v>
          </cell>
          <cell r="E73">
            <v>3636</v>
          </cell>
          <cell r="N73">
            <v>0</v>
          </cell>
          <cell r="P73">
            <v>0</v>
          </cell>
          <cell r="Q73">
            <v>0</v>
          </cell>
          <cell r="S73">
            <v>0</v>
          </cell>
          <cell r="T73">
            <v>0</v>
          </cell>
          <cell r="U73">
            <v>0</v>
          </cell>
          <cell r="V73">
            <v>0</v>
          </cell>
          <cell r="X73">
            <v>0</v>
          </cell>
          <cell r="Y73">
            <v>18</v>
          </cell>
          <cell r="Z73">
            <v>0</v>
          </cell>
          <cell r="AA73">
            <v>18</v>
          </cell>
          <cell r="AC73">
            <v>-18</v>
          </cell>
          <cell r="AD73">
            <v>0</v>
          </cell>
          <cell r="AE73">
            <v>0</v>
          </cell>
          <cell r="AF73">
            <v>0</v>
          </cell>
          <cell r="AI73">
            <v>0</v>
          </cell>
          <cell r="AJ73">
            <v>0</v>
          </cell>
          <cell r="AP73">
            <v>3724</v>
          </cell>
          <cell r="AQ73">
            <v>70</v>
          </cell>
          <cell r="AR73">
            <v>3654</v>
          </cell>
          <cell r="AS73">
            <v>0</v>
          </cell>
          <cell r="AT73">
            <v>-3724</v>
          </cell>
          <cell r="AU73">
            <v>0</v>
          </cell>
          <cell r="AV73">
            <v>18</v>
          </cell>
          <cell r="AW73">
            <v>70</v>
          </cell>
          <cell r="AX73">
            <v>3636</v>
          </cell>
        </row>
        <row r="74">
          <cell r="C74">
            <v>2936</v>
          </cell>
          <cell r="D74">
            <v>1182</v>
          </cell>
          <cell r="E74">
            <v>1754</v>
          </cell>
          <cell r="N74">
            <v>903.93666666666672</v>
          </cell>
          <cell r="P74">
            <v>-903.93666666666672</v>
          </cell>
          <cell r="Q74">
            <v>2457.8849999999998</v>
          </cell>
          <cell r="S74">
            <v>-2457.8849999999998</v>
          </cell>
          <cell r="T74">
            <v>901.92466666666667</v>
          </cell>
          <cell r="U74">
            <v>404</v>
          </cell>
          <cell r="V74">
            <v>497.92466666666667</v>
          </cell>
          <cell r="X74">
            <v>-901.92466666666667</v>
          </cell>
          <cell r="Y74">
            <v>832.04533333333336</v>
          </cell>
          <cell r="Z74">
            <v>350</v>
          </cell>
          <cell r="AA74">
            <v>482.04533333333336</v>
          </cell>
          <cell r="AC74">
            <v>-832.04533333333336</v>
          </cell>
          <cell r="AD74">
            <v>1908.2339999999999</v>
          </cell>
          <cell r="AE74">
            <v>1556.73</v>
          </cell>
          <cell r="AF74">
            <v>351.50399999999991</v>
          </cell>
          <cell r="AG74">
            <v>379</v>
          </cell>
          <cell r="AH74">
            <v>173</v>
          </cell>
          <cell r="AI74">
            <v>35</v>
          </cell>
          <cell r="AJ74">
            <v>-1529.2339999999999</v>
          </cell>
          <cell r="AN74">
            <v>0</v>
          </cell>
          <cell r="AP74">
            <v>10818.652333333332</v>
          </cell>
          <cell r="AQ74">
            <v>3402.5366666666669</v>
          </cell>
          <cell r="AR74">
            <v>7416.1156666666648</v>
          </cell>
          <cell r="AS74">
            <v>181</v>
          </cell>
          <cell r="AT74">
            <v>-10637.652333333332</v>
          </cell>
          <cell r="AU74">
            <v>754</v>
          </cell>
          <cell r="AV74">
            <v>1816</v>
          </cell>
          <cell r="AW74">
            <v>2648.5366666666669</v>
          </cell>
          <cell r="AX74">
            <v>5600.1156666666648</v>
          </cell>
        </row>
        <row r="75">
          <cell r="C75">
            <v>821</v>
          </cell>
          <cell r="D75">
            <v>299</v>
          </cell>
          <cell r="E75">
            <v>522</v>
          </cell>
          <cell r="N75">
            <v>614.93666666666661</v>
          </cell>
          <cell r="P75">
            <v>-614.93666666666661</v>
          </cell>
          <cell r="Q75">
            <v>1518.4433333333332</v>
          </cell>
          <cell r="S75">
            <v>-1518.4433333333332</v>
          </cell>
          <cell r="T75">
            <v>543.40800000000002</v>
          </cell>
          <cell r="U75">
            <v>248</v>
          </cell>
          <cell r="V75">
            <v>295.40800000000002</v>
          </cell>
          <cell r="X75">
            <v>-543.40800000000002</v>
          </cell>
          <cell r="Y75">
            <v>314.56200000000001</v>
          </cell>
          <cell r="Z75">
            <v>204</v>
          </cell>
          <cell r="AA75">
            <v>110.56200000000001</v>
          </cell>
          <cell r="AC75">
            <v>-314.56200000000001</v>
          </cell>
          <cell r="AD75">
            <v>1208.1673333333335</v>
          </cell>
          <cell r="AE75">
            <v>1031.48</v>
          </cell>
          <cell r="AF75">
            <v>176.68733333333353</v>
          </cell>
          <cell r="AJ75">
            <v>-1208.1673333333335</v>
          </cell>
          <cell r="AP75">
            <v>5243.83</v>
          </cell>
          <cell r="AQ75">
            <v>1590.5366666666666</v>
          </cell>
          <cell r="AR75">
            <v>3653.2933333333331</v>
          </cell>
          <cell r="AS75">
            <v>0</v>
          </cell>
          <cell r="AT75">
            <v>-5243.83</v>
          </cell>
          <cell r="AX75">
            <v>3653.2933333333331</v>
          </cell>
        </row>
        <row r="76">
          <cell r="C76">
            <v>0</v>
          </cell>
          <cell r="D76">
            <v>0</v>
          </cell>
          <cell r="E76">
            <v>0</v>
          </cell>
          <cell r="N76">
            <v>0</v>
          </cell>
          <cell r="P76">
            <v>0</v>
          </cell>
          <cell r="Q76">
            <v>0</v>
          </cell>
          <cell r="S76">
            <v>0</v>
          </cell>
          <cell r="T76">
            <v>0</v>
          </cell>
          <cell r="U76">
            <v>0</v>
          </cell>
          <cell r="V76">
            <v>0</v>
          </cell>
          <cell r="X76">
            <v>0</v>
          </cell>
          <cell r="Y76">
            <v>0</v>
          </cell>
          <cell r="Z76">
            <v>0</v>
          </cell>
          <cell r="AA76">
            <v>0</v>
          </cell>
          <cell r="AC76">
            <v>0</v>
          </cell>
          <cell r="AD76">
            <v>0</v>
          </cell>
          <cell r="AE76">
            <v>0</v>
          </cell>
          <cell r="AF76">
            <v>0</v>
          </cell>
          <cell r="AJ76">
            <v>0</v>
          </cell>
          <cell r="AP76">
            <v>658.33066666666662</v>
          </cell>
          <cell r="AQ76">
            <v>324</v>
          </cell>
          <cell r="AR76">
            <v>334.33066666666662</v>
          </cell>
          <cell r="AS76">
            <v>0</v>
          </cell>
          <cell r="AT76">
            <v>-658.33066666666662</v>
          </cell>
          <cell r="AX76">
            <v>334.33066666666662</v>
          </cell>
        </row>
        <row r="77">
          <cell r="C77">
            <v>338</v>
          </cell>
          <cell r="D77">
            <v>323</v>
          </cell>
          <cell r="E77">
            <v>15</v>
          </cell>
          <cell r="N77">
            <v>103.08333333333333</v>
          </cell>
          <cell r="Q77">
            <v>593.80000000000007</v>
          </cell>
          <cell r="T77">
            <v>139.93333333333334</v>
          </cell>
          <cell r="U77">
            <v>17</v>
          </cell>
          <cell r="V77">
            <v>122.93333333333334</v>
          </cell>
          <cell r="Y77">
            <v>160.68333333333337</v>
          </cell>
          <cell r="Z77">
            <v>46</v>
          </cell>
          <cell r="AA77">
            <v>114.68333333333337</v>
          </cell>
          <cell r="AD77">
            <v>336.01666666666671</v>
          </cell>
          <cell r="AE77">
            <v>266.25</v>
          </cell>
          <cell r="AF77">
            <v>69.766666666666708</v>
          </cell>
        </row>
        <row r="78">
          <cell r="C78">
            <v>482</v>
          </cell>
          <cell r="D78">
            <v>363</v>
          </cell>
          <cell r="E78">
            <v>119</v>
          </cell>
          <cell r="N78">
            <v>184.91666666666666</v>
          </cell>
          <cell r="Q78">
            <v>446.64166666666671</v>
          </cell>
          <cell r="T78">
            <v>217.58333333333334</v>
          </cell>
          <cell r="U78">
            <v>48</v>
          </cell>
          <cell r="V78">
            <v>169.58333333333334</v>
          </cell>
          <cell r="Y78">
            <v>356.8</v>
          </cell>
          <cell r="Z78">
            <v>69</v>
          </cell>
          <cell r="AA78">
            <v>287.8</v>
          </cell>
          <cell r="AD78">
            <v>359.05</v>
          </cell>
          <cell r="AE78">
            <v>254</v>
          </cell>
          <cell r="AF78">
            <v>105.05000000000001</v>
          </cell>
        </row>
        <row r="79">
          <cell r="C79">
            <v>1174</v>
          </cell>
          <cell r="D79">
            <v>85</v>
          </cell>
          <cell r="E79">
            <v>1089</v>
          </cell>
          <cell r="N79">
            <v>15.1</v>
          </cell>
          <cell r="P79">
            <v>-15.1</v>
          </cell>
          <cell r="Q79">
            <v>7.5</v>
          </cell>
          <cell r="S79">
            <v>-7.5</v>
          </cell>
          <cell r="T79">
            <v>0</v>
          </cell>
          <cell r="U79">
            <v>0</v>
          </cell>
          <cell r="V79">
            <v>0</v>
          </cell>
          <cell r="X79">
            <v>0</v>
          </cell>
          <cell r="Y79">
            <v>6.7</v>
          </cell>
          <cell r="Z79">
            <v>0</v>
          </cell>
          <cell r="AA79">
            <v>6.7</v>
          </cell>
          <cell r="AC79">
            <v>-6.7</v>
          </cell>
          <cell r="AD79">
            <v>38.799999999999997</v>
          </cell>
          <cell r="AE79">
            <v>34</v>
          </cell>
          <cell r="AF79">
            <v>4.7999999999999972</v>
          </cell>
          <cell r="AJ79">
            <v>-38.799999999999997</v>
          </cell>
          <cell r="AP79">
            <v>1240.3</v>
          </cell>
          <cell r="AQ79">
            <v>103.1</v>
          </cell>
          <cell r="AS79">
            <v>0</v>
          </cell>
          <cell r="AT79">
            <v>-1240.3</v>
          </cell>
        </row>
        <row r="80">
          <cell r="C80">
            <v>10516.2</v>
          </cell>
          <cell r="D80">
            <v>2178</v>
          </cell>
          <cell r="E80">
            <v>8338.2000000000007</v>
          </cell>
          <cell r="N80">
            <v>24323.740060606062</v>
          </cell>
          <cell r="O80">
            <v>6571</v>
          </cell>
          <cell r="P80">
            <v>-17752.740060606062</v>
          </cell>
          <cell r="Q80">
            <v>152779.59663636363</v>
          </cell>
          <cell r="R80">
            <v>83057</v>
          </cell>
          <cell r="S80">
            <v>-69722.596636363625</v>
          </cell>
          <cell r="T80">
            <v>234905.21121212118</v>
          </cell>
          <cell r="U80">
            <v>123843.34756097561</v>
          </cell>
          <cell r="V80">
            <v>111061.8636511456</v>
          </cell>
          <cell r="W80">
            <v>101508</v>
          </cell>
          <cell r="X80">
            <v>-133397.21121212118</v>
          </cell>
          <cell r="Y80">
            <v>195173.14787878789</v>
          </cell>
          <cell r="Z80">
            <v>96838.750161952048</v>
          </cell>
          <cell r="AA80">
            <v>98334.397716835825</v>
          </cell>
          <cell r="AB80">
            <v>81399</v>
          </cell>
          <cell r="AC80">
            <v>-113774.14787878789</v>
          </cell>
          <cell r="AD80">
            <v>43448.770848484841</v>
          </cell>
          <cell r="AE80">
            <v>35934.144424242433</v>
          </cell>
          <cell r="AF80">
            <v>7514.626424242424</v>
          </cell>
          <cell r="AG80">
            <v>9642</v>
          </cell>
          <cell r="AH80">
            <v>6481</v>
          </cell>
          <cell r="AI80">
            <v>2032</v>
          </cell>
          <cell r="AJ80">
            <v>-33806.770848484841</v>
          </cell>
          <cell r="AL80">
            <v>0</v>
          </cell>
          <cell r="AN80">
            <v>0</v>
          </cell>
          <cell r="AP80">
            <v>656121.29087878787</v>
          </cell>
          <cell r="AQ80" t="e">
            <v>#REF!</v>
          </cell>
          <cell r="AR80" t="e">
            <v>#REF!</v>
          </cell>
          <cell r="AS80">
            <v>278125</v>
          </cell>
          <cell r="AT80">
            <v>-377996.29087878787</v>
          </cell>
          <cell r="AU80">
            <v>219889.09772292766</v>
          </cell>
          <cell r="AV80">
            <v>314971</v>
          </cell>
          <cell r="AW80">
            <v>25927.158242424244</v>
          </cell>
          <cell r="AX80" t="e">
            <v>#REF!</v>
          </cell>
        </row>
        <row r="81">
          <cell r="C81">
            <v>6810.2000000000007</v>
          </cell>
          <cell r="D81">
            <v>2108</v>
          </cell>
          <cell r="E81">
            <v>4702.2000000000007</v>
          </cell>
          <cell r="P81">
            <v>0</v>
          </cell>
          <cell r="S81">
            <v>0</v>
          </cell>
          <cell r="X81">
            <v>0</v>
          </cell>
          <cell r="AC81">
            <v>0</v>
          </cell>
          <cell r="AJ81">
            <v>0</v>
          </cell>
          <cell r="AP81">
            <v>195959.29087878787</v>
          </cell>
          <cell r="AQ81" t="e">
            <v>#REF!</v>
          </cell>
          <cell r="AR81" t="e">
            <v>#REF!</v>
          </cell>
          <cell r="AS81">
            <v>0</v>
          </cell>
          <cell r="AT81">
            <v>-195959.29087878787</v>
          </cell>
          <cell r="AU81">
            <v>24325</v>
          </cell>
          <cell r="AV81">
            <v>50374</v>
          </cell>
          <cell r="AW81">
            <v>25926.158242424244</v>
          </cell>
          <cell r="AX81" t="e">
            <v>#REF!</v>
          </cell>
        </row>
        <row r="82">
          <cell r="N82">
            <v>6080.522727272727</v>
          </cell>
          <cell r="O82">
            <v>1501</v>
          </cell>
          <cell r="P82">
            <v>-4579.522727272727</v>
          </cell>
          <cell r="Q82">
            <v>13664.68090909091</v>
          </cell>
          <cell r="R82">
            <v>3466</v>
          </cell>
          <cell r="S82">
            <v>-10198.68090909091</v>
          </cell>
          <cell r="T82">
            <v>5058.1772727272728</v>
          </cell>
          <cell r="U82">
            <v>2344</v>
          </cell>
          <cell r="V82">
            <v>2714.1772727272732</v>
          </cell>
          <cell r="W82">
            <v>1353</v>
          </cell>
          <cell r="X82">
            <v>-3705.1772727272728</v>
          </cell>
          <cell r="Y82">
            <v>4136.5072727272727</v>
          </cell>
          <cell r="Z82">
            <v>1812</v>
          </cell>
          <cell r="AA82">
            <v>2324.5072727272727</v>
          </cell>
          <cell r="AB82">
            <v>1097</v>
          </cell>
          <cell r="AC82">
            <v>-3039.5072727272727</v>
          </cell>
          <cell r="AD82">
            <v>12207.066363636362</v>
          </cell>
          <cell r="AE82">
            <v>11101.045454545454</v>
          </cell>
          <cell r="AF82">
            <v>1106.0209090909086</v>
          </cell>
          <cell r="AG82">
            <v>2881</v>
          </cell>
          <cell r="AH82">
            <v>1984</v>
          </cell>
          <cell r="AI82">
            <v>306</v>
          </cell>
          <cell r="AJ82">
            <v>-9326.0663636363624</v>
          </cell>
          <cell r="AN82">
            <v>0</v>
          </cell>
          <cell r="AP82">
            <v>41584.133636363636</v>
          </cell>
          <cell r="AS82">
            <v>9401</v>
          </cell>
          <cell r="AT82">
            <v>-32183.133636363636</v>
          </cell>
        </row>
        <row r="83">
          <cell r="C83">
            <v>4580</v>
          </cell>
          <cell r="D83">
            <v>11292</v>
          </cell>
          <cell r="E83">
            <v>0</v>
          </cell>
          <cell r="P83">
            <v>0</v>
          </cell>
          <cell r="S83">
            <v>0</v>
          </cell>
          <cell r="X83">
            <v>0</v>
          </cell>
          <cell r="AC83">
            <v>0</v>
          </cell>
          <cell r="AJ83">
            <v>0</v>
          </cell>
          <cell r="AP83">
            <v>4580</v>
          </cell>
          <cell r="AQ83">
            <v>11292</v>
          </cell>
          <cell r="AR83">
            <v>0</v>
          </cell>
          <cell r="AS83">
            <v>0</v>
          </cell>
          <cell r="AT83">
            <v>-4580</v>
          </cell>
          <cell r="AU83">
            <v>0</v>
          </cell>
          <cell r="AV83">
            <v>0</v>
          </cell>
          <cell r="AW83">
            <v>0</v>
          </cell>
          <cell r="AX83">
            <v>0</v>
          </cell>
        </row>
        <row r="84">
          <cell r="C84">
            <v>15096.2</v>
          </cell>
          <cell r="D84">
            <v>13470</v>
          </cell>
          <cell r="E84">
            <v>8338.2000000000007</v>
          </cell>
          <cell r="N84">
            <v>24323.740060606062</v>
          </cell>
          <cell r="O84">
            <v>6571</v>
          </cell>
          <cell r="P84">
            <v>-17752.740060606062</v>
          </cell>
          <cell r="Q84">
            <v>152779.59663636363</v>
          </cell>
          <cell r="R84">
            <v>83057</v>
          </cell>
          <cell r="S84">
            <v>-69722.596636363625</v>
          </cell>
          <cell r="T84">
            <v>234905.21121212118</v>
          </cell>
          <cell r="U84">
            <v>123843.34756097561</v>
          </cell>
          <cell r="V84">
            <v>111061.8636511456</v>
          </cell>
          <cell r="W84">
            <v>101508</v>
          </cell>
          <cell r="X84">
            <v>-133397.21121212118</v>
          </cell>
          <cell r="Y84">
            <v>195173.14787878789</v>
          </cell>
          <cell r="Z84">
            <v>96838.750161952048</v>
          </cell>
          <cell r="AA84">
            <v>98334.397716835825</v>
          </cell>
          <cell r="AB84">
            <v>81399</v>
          </cell>
          <cell r="AC84">
            <v>-113774.14787878789</v>
          </cell>
          <cell r="AD84">
            <v>43448.770848484841</v>
          </cell>
          <cell r="AE84">
            <v>35934.144424242433</v>
          </cell>
          <cell r="AF84">
            <v>7514.626424242424</v>
          </cell>
          <cell r="AG84">
            <v>9642</v>
          </cell>
          <cell r="AH84">
            <v>6481</v>
          </cell>
          <cell r="AI84">
            <v>2032</v>
          </cell>
          <cell r="AJ84">
            <v>-33806.770848484841</v>
          </cell>
          <cell r="AL84">
            <v>0</v>
          </cell>
          <cell r="AN84">
            <v>0</v>
          </cell>
          <cell r="AP84">
            <v>660701.29087878787</v>
          </cell>
          <cell r="AQ84" t="e">
            <v>#REF!</v>
          </cell>
          <cell r="AR84" t="e">
            <v>#REF!</v>
          </cell>
          <cell r="AS84">
            <v>278125</v>
          </cell>
          <cell r="AT84">
            <v>-382576.29087878787</v>
          </cell>
          <cell r="AU84">
            <v>219889.09772292766</v>
          </cell>
          <cell r="AV84">
            <v>314971</v>
          </cell>
          <cell r="AW84">
            <v>25927.158242424244</v>
          </cell>
          <cell r="AX84" t="e">
            <v>#REF!</v>
          </cell>
        </row>
        <row r="85">
          <cell r="C85">
            <v>88</v>
          </cell>
          <cell r="D85">
            <v>0</v>
          </cell>
          <cell r="E85">
            <v>88</v>
          </cell>
          <cell r="P85">
            <v>0</v>
          </cell>
          <cell r="S85">
            <v>0</v>
          </cell>
          <cell r="U85">
            <v>0</v>
          </cell>
          <cell r="V85">
            <v>0</v>
          </cell>
          <cell r="X85">
            <v>0</v>
          </cell>
          <cell r="Y85">
            <v>0</v>
          </cell>
          <cell r="AC85">
            <v>0</v>
          </cell>
          <cell r="AI85">
            <v>0</v>
          </cell>
          <cell r="AJ85">
            <v>0</v>
          </cell>
          <cell r="AP85">
            <v>87</v>
          </cell>
          <cell r="AQ85">
            <v>0</v>
          </cell>
          <cell r="AR85">
            <v>87</v>
          </cell>
          <cell r="AS85">
            <v>0</v>
          </cell>
          <cell r="AT85">
            <v>-87</v>
          </cell>
          <cell r="AU85">
            <v>0</v>
          </cell>
          <cell r="AV85">
            <v>0</v>
          </cell>
          <cell r="AW85">
            <v>0</v>
          </cell>
          <cell r="AX85">
            <v>87</v>
          </cell>
        </row>
        <row r="86">
          <cell r="C86">
            <v>443</v>
          </cell>
          <cell r="D86">
            <v>1959</v>
          </cell>
          <cell r="E86">
            <v>-1516</v>
          </cell>
          <cell r="N86">
            <v>0</v>
          </cell>
          <cell r="P86">
            <v>0</v>
          </cell>
          <cell r="Q86">
            <v>0</v>
          </cell>
          <cell r="S86">
            <v>0</v>
          </cell>
          <cell r="U86">
            <v>0</v>
          </cell>
          <cell r="V86">
            <v>0</v>
          </cell>
          <cell r="X86">
            <v>0</v>
          </cell>
          <cell r="Y86">
            <v>0</v>
          </cell>
          <cell r="AC86">
            <v>0</v>
          </cell>
          <cell r="AD86">
            <v>0</v>
          </cell>
          <cell r="AE86">
            <v>0</v>
          </cell>
          <cell r="AF86">
            <v>0</v>
          </cell>
          <cell r="AI86">
            <v>0</v>
          </cell>
          <cell r="AJ86">
            <v>0</v>
          </cell>
          <cell r="AP86">
            <v>443</v>
          </cell>
          <cell r="AQ86">
            <v>1959</v>
          </cell>
          <cell r="AR86">
            <v>-1516</v>
          </cell>
          <cell r="AS86">
            <v>0</v>
          </cell>
          <cell r="AT86">
            <v>-443</v>
          </cell>
          <cell r="AU86">
            <v>0</v>
          </cell>
          <cell r="AV86">
            <v>0</v>
          </cell>
          <cell r="AW86">
            <v>1959</v>
          </cell>
          <cell r="AX86">
            <v>-1516</v>
          </cell>
        </row>
        <row r="87">
          <cell r="C87">
            <v>30</v>
          </cell>
          <cell r="D87">
            <v>481</v>
          </cell>
          <cell r="E87">
            <v>-451</v>
          </cell>
          <cell r="N87">
            <v>0</v>
          </cell>
          <cell r="P87">
            <v>0</v>
          </cell>
          <cell r="Q87">
            <v>0</v>
          </cell>
          <cell r="S87">
            <v>0</v>
          </cell>
          <cell r="U87">
            <v>0</v>
          </cell>
          <cell r="V87">
            <v>0</v>
          </cell>
          <cell r="X87">
            <v>0</v>
          </cell>
          <cell r="Y87">
            <v>0</v>
          </cell>
          <cell r="Z87">
            <v>0</v>
          </cell>
          <cell r="AA87">
            <v>0</v>
          </cell>
          <cell r="AC87">
            <v>0</v>
          </cell>
          <cell r="AD87">
            <v>0</v>
          </cell>
          <cell r="AE87">
            <v>0</v>
          </cell>
          <cell r="AF87">
            <v>0</v>
          </cell>
          <cell r="AI87">
            <v>0</v>
          </cell>
          <cell r="AJ87">
            <v>0</v>
          </cell>
          <cell r="AP87">
            <v>29</v>
          </cell>
          <cell r="AQ87">
            <v>481</v>
          </cell>
          <cell r="AR87">
            <v>-452</v>
          </cell>
          <cell r="AS87">
            <v>-1</v>
          </cell>
          <cell r="AT87">
            <v>-30</v>
          </cell>
          <cell r="AU87">
            <v>0</v>
          </cell>
          <cell r="AV87">
            <v>0</v>
          </cell>
          <cell r="AW87">
            <v>481</v>
          </cell>
          <cell r="AX87">
            <v>-452</v>
          </cell>
        </row>
        <row r="88">
          <cell r="C88">
            <v>37</v>
          </cell>
          <cell r="D88">
            <v>12</v>
          </cell>
          <cell r="E88">
            <v>25</v>
          </cell>
          <cell r="N88">
            <v>182.13333333333333</v>
          </cell>
          <cell r="O88">
            <v>51</v>
          </cell>
          <cell r="P88">
            <v>-131.13333333333333</v>
          </cell>
          <cell r="Q88">
            <v>189.6</v>
          </cell>
          <cell r="S88">
            <v>-189.6</v>
          </cell>
          <cell r="T88">
            <v>169.93333333333331</v>
          </cell>
          <cell r="U88">
            <v>176</v>
          </cell>
          <cell r="V88">
            <v>-6.0666666666666913</v>
          </cell>
          <cell r="X88">
            <v>-169.93333333333331</v>
          </cell>
          <cell r="Y88">
            <v>389.93333333333328</v>
          </cell>
          <cell r="Z88">
            <v>0</v>
          </cell>
          <cell r="AB88">
            <v>0</v>
          </cell>
          <cell r="AC88">
            <v>-389.93333333333328</v>
          </cell>
          <cell r="AD88">
            <v>152</v>
          </cell>
          <cell r="AE88">
            <v>135</v>
          </cell>
          <cell r="AF88">
            <v>17</v>
          </cell>
          <cell r="AG88">
            <v>44</v>
          </cell>
          <cell r="AH88">
            <v>15</v>
          </cell>
          <cell r="AI88">
            <v>29</v>
          </cell>
          <cell r="AJ88">
            <v>-108</v>
          </cell>
          <cell r="AP88">
            <v>1008.5999999999999</v>
          </cell>
          <cell r="AQ88">
            <v>301.13333333333333</v>
          </cell>
          <cell r="AR88">
            <v>707.46666666666658</v>
          </cell>
          <cell r="AS88">
            <v>65</v>
          </cell>
          <cell r="AT88">
            <v>-943.59999999999991</v>
          </cell>
          <cell r="AU88">
            <v>176</v>
          </cell>
          <cell r="AV88">
            <v>46</v>
          </cell>
          <cell r="AW88">
            <v>125.13333333333333</v>
          </cell>
          <cell r="AX88">
            <v>661.46666666666658</v>
          </cell>
        </row>
        <row r="89">
          <cell r="C89">
            <v>15694.2</v>
          </cell>
          <cell r="D89">
            <v>15922</v>
          </cell>
          <cell r="E89">
            <v>6484.2000000000007</v>
          </cell>
          <cell r="N89">
            <v>24505.873393939397</v>
          </cell>
          <cell r="O89">
            <v>6622</v>
          </cell>
          <cell r="P89">
            <v>-17883.873393939397</v>
          </cell>
          <cell r="Q89">
            <v>152969.19663636363</v>
          </cell>
          <cell r="R89">
            <v>83057</v>
          </cell>
          <cell r="S89">
            <v>-69912.196636363631</v>
          </cell>
          <cell r="T89">
            <v>235075.1445454545</v>
          </cell>
          <cell r="U89">
            <v>124019.34756097561</v>
          </cell>
          <cell r="V89">
            <v>111055.79698447893</v>
          </cell>
          <cell r="W89">
            <v>101508</v>
          </cell>
          <cell r="X89">
            <v>-133567.1445454545</v>
          </cell>
          <cell r="Y89">
            <v>195563.08121212121</v>
          </cell>
          <cell r="Z89">
            <v>96838.750161952048</v>
          </cell>
          <cell r="AA89">
            <v>98334.397716835825</v>
          </cell>
          <cell r="AB89">
            <v>81399</v>
          </cell>
          <cell r="AC89">
            <v>-114164.08121212121</v>
          </cell>
          <cell r="AD89">
            <v>43600.770848484841</v>
          </cell>
          <cell r="AE89">
            <v>36069.144424242433</v>
          </cell>
          <cell r="AF89">
            <v>7531.626424242424</v>
          </cell>
          <cell r="AG89">
            <v>9686</v>
          </cell>
          <cell r="AH89">
            <v>6496</v>
          </cell>
          <cell r="AI89">
            <v>2061</v>
          </cell>
          <cell r="AJ89">
            <v>-33914.770848484841</v>
          </cell>
          <cell r="AK89">
            <v>0</v>
          </cell>
          <cell r="AN89">
            <v>0</v>
          </cell>
          <cell r="AP89">
            <v>662270.89087878785</v>
          </cell>
          <cell r="AQ89" t="e">
            <v>#REF!</v>
          </cell>
          <cell r="AR89" t="e">
            <v>#REF!</v>
          </cell>
          <cell r="AS89">
            <v>278189</v>
          </cell>
          <cell r="AT89">
            <v>-384081.89087878785</v>
          </cell>
          <cell r="AU89">
            <v>220065.09772292766</v>
          </cell>
          <cell r="AV89">
            <v>315017</v>
          </cell>
          <cell r="AW89">
            <v>28492.291575757579</v>
          </cell>
          <cell r="AX89" t="e">
            <v>#REF!</v>
          </cell>
        </row>
        <row r="90">
          <cell r="C90">
            <v>11114.2</v>
          </cell>
          <cell r="D90">
            <v>4630</v>
          </cell>
          <cell r="E90">
            <v>6484.2000000000007</v>
          </cell>
          <cell r="N90">
            <v>24505.873393939397</v>
          </cell>
          <cell r="O90">
            <v>6622</v>
          </cell>
          <cell r="P90">
            <v>-17883.873393939397</v>
          </cell>
          <cell r="Q90">
            <v>68417.196636363631</v>
          </cell>
          <cell r="R90">
            <v>21655</v>
          </cell>
          <cell r="S90">
            <v>-46762.196636363631</v>
          </cell>
          <cell r="T90">
            <v>32515.144545454503</v>
          </cell>
          <cell r="U90">
            <v>15213</v>
          </cell>
          <cell r="V90">
            <v>17302.144545454546</v>
          </cell>
          <cell r="W90">
            <v>7876</v>
          </cell>
          <cell r="X90">
            <v>-24639.144545454503</v>
          </cell>
          <cell r="Y90">
            <v>22514.081212121207</v>
          </cell>
          <cell r="Z90">
            <v>10081</v>
          </cell>
          <cell r="AA90">
            <v>12043.147878787873</v>
          </cell>
          <cell r="AB90">
            <v>5098</v>
          </cell>
          <cell r="AC90">
            <v>-17416.081212121207</v>
          </cell>
          <cell r="AD90">
            <v>43600.770848484841</v>
          </cell>
          <cell r="AE90">
            <v>36069.144424242433</v>
          </cell>
          <cell r="AF90">
            <v>7531.626424242424</v>
          </cell>
          <cell r="AG90">
            <v>9686</v>
          </cell>
          <cell r="AH90">
            <v>6496</v>
          </cell>
          <cell r="AI90">
            <v>2061</v>
          </cell>
          <cell r="AJ90">
            <v>-33914.770848484841</v>
          </cell>
          <cell r="AN90">
            <v>0</v>
          </cell>
          <cell r="AP90">
            <v>197528.89087878785</v>
          </cell>
          <cell r="AQ90" t="e">
            <v>#REF!</v>
          </cell>
          <cell r="AR90" t="e">
            <v>#REF!</v>
          </cell>
          <cell r="AS90">
            <v>46854</v>
          </cell>
          <cell r="AT90">
            <v>-150674.89087878785</v>
          </cell>
          <cell r="AU90">
            <v>24501</v>
          </cell>
          <cell r="AV90">
            <v>50420</v>
          </cell>
          <cell r="AW90">
            <v>28491.291575757579</v>
          </cell>
          <cell r="AX90" t="e">
            <v>#REF!</v>
          </cell>
        </row>
        <row r="91">
          <cell r="C91">
            <v>772.2</v>
          </cell>
          <cell r="D91">
            <v>310</v>
          </cell>
          <cell r="E91">
            <v>462.20000000000005</v>
          </cell>
          <cell r="N91">
            <v>6080.522727272727</v>
          </cell>
          <cell r="O91">
            <v>1501</v>
          </cell>
          <cell r="P91">
            <v>-4579.522727272727</v>
          </cell>
          <cell r="Q91">
            <v>13664.68090909091</v>
          </cell>
          <cell r="R91">
            <v>3466</v>
          </cell>
          <cell r="S91">
            <v>-10198.68090909091</v>
          </cell>
          <cell r="T91">
            <v>5058.1772727272728</v>
          </cell>
          <cell r="U91">
            <v>2344</v>
          </cell>
          <cell r="V91">
            <v>2714.1772727272732</v>
          </cell>
          <cell r="W91">
            <v>1353</v>
          </cell>
          <cell r="X91">
            <v>-3705.1772727272728</v>
          </cell>
          <cell r="Y91">
            <v>4136.5072727272727</v>
          </cell>
          <cell r="Z91">
            <v>1812</v>
          </cell>
          <cell r="AA91">
            <v>2324.5072727272727</v>
          </cell>
          <cell r="AB91">
            <v>1097</v>
          </cell>
          <cell r="AC91">
            <v>-3039.5072727272727</v>
          </cell>
          <cell r="AD91">
            <v>12207.066363636362</v>
          </cell>
          <cell r="AE91">
            <v>11101.045454545454</v>
          </cell>
          <cell r="AF91">
            <v>1106.0209090909086</v>
          </cell>
          <cell r="AG91">
            <v>2881</v>
          </cell>
          <cell r="AH91">
            <v>1984</v>
          </cell>
          <cell r="AI91">
            <v>306</v>
          </cell>
          <cell r="AJ91">
            <v>-9326.0663636363624</v>
          </cell>
          <cell r="AN91">
            <v>0</v>
          </cell>
          <cell r="AP91">
            <v>41584.133636363636</v>
          </cell>
          <cell r="AQ91">
            <v>662423.89087878785</v>
          </cell>
          <cell r="AR91">
            <v>262732.38929868524</v>
          </cell>
          <cell r="AS91">
            <v>9401</v>
          </cell>
        </row>
        <row r="92">
          <cell r="C92">
            <v>-1308</v>
          </cell>
          <cell r="N92">
            <v>11268</v>
          </cell>
          <cell r="P92">
            <v>-11268</v>
          </cell>
          <cell r="Q92">
            <v>24661</v>
          </cell>
          <cell r="S92">
            <v>-24661</v>
          </cell>
          <cell r="T92">
            <v>1183</v>
          </cell>
          <cell r="X92">
            <v>-1183</v>
          </cell>
          <cell r="Y92">
            <v>3527.9775757575753</v>
          </cell>
          <cell r="AB92">
            <v>432</v>
          </cell>
          <cell r="AC92">
            <v>-3095.9775757575753</v>
          </cell>
          <cell r="AD92">
            <v>2635</v>
          </cell>
          <cell r="AE92">
            <v>2635</v>
          </cell>
          <cell r="AF92">
            <v>0</v>
          </cell>
          <cell r="AI92">
            <v>0</v>
          </cell>
          <cell r="AJ92" t="e">
            <v>#REF!</v>
          </cell>
          <cell r="AN92" t="e">
            <v>#REF!</v>
          </cell>
          <cell r="AO92">
            <v>1616</v>
          </cell>
          <cell r="AP92" t="e">
            <v>#REF!</v>
          </cell>
          <cell r="AS92">
            <v>2048</v>
          </cell>
        </row>
        <row r="93">
          <cell r="C93">
            <v>0</v>
          </cell>
          <cell r="N93">
            <v>5092</v>
          </cell>
          <cell r="P93">
            <v>-5092</v>
          </cell>
          <cell r="Q93">
            <v>8742</v>
          </cell>
          <cell r="S93">
            <v>-8742</v>
          </cell>
          <cell r="T93">
            <v>0</v>
          </cell>
          <cell r="W93">
            <v>0</v>
          </cell>
          <cell r="X93">
            <v>0</v>
          </cell>
          <cell r="Y93">
            <v>0</v>
          </cell>
          <cell r="AB93">
            <v>432</v>
          </cell>
          <cell r="AC93">
            <v>432</v>
          </cell>
          <cell r="AD93">
            <v>2635</v>
          </cell>
          <cell r="AE93">
            <v>2635</v>
          </cell>
          <cell r="AF93">
            <v>0</v>
          </cell>
          <cell r="AI93">
            <v>0</v>
          </cell>
          <cell r="AJ93">
            <v>-2635</v>
          </cell>
          <cell r="AN93" t="e">
            <v>#REF!</v>
          </cell>
          <cell r="AP93" t="e">
            <v>#REF!</v>
          </cell>
          <cell r="AS93">
            <v>432</v>
          </cell>
        </row>
        <row r="95">
          <cell r="C95">
            <v>-1308</v>
          </cell>
          <cell r="N95">
            <v>6176</v>
          </cell>
          <cell r="P95">
            <v>-6176</v>
          </cell>
          <cell r="Q95">
            <v>15919</v>
          </cell>
          <cell r="R95">
            <v>0</v>
          </cell>
          <cell r="S95">
            <v>-15919</v>
          </cell>
          <cell r="T95">
            <v>0</v>
          </cell>
          <cell r="X95">
            <v>0</v>
          </cell>
          <cell r="Y95">
            <v>0</v>
          </cell>
          <cell r="AC95">
            <v>0</v>
          </cell>
          <cell r="AD95">
            <v>0</v>
          </cell>
          <cell r="AE95">
            <v>0</v>
          </cell>
          <cell r="AF95">
            <v>0</v>
          </cell>
          <cell r="AI95">
            <v>0</v>
          </cell>
          <cell r="AJ95">
            <v>0</v>
          </cell>
          <cell r="AN95" t="e">
            <v>#REF!</v>
          </cell>
          <cell r="AP95" t="e">
            <v>#REF!</v>
          </cell>
          <cell r="AS95">
            <v>0</v>
          </cell>
        </row>
        <row r="96">
          <cell r="P96">
            <v>0</v>
          </cell>
          <cell r="S96">
            <v>0</v>
          </cell>
          <cell r="X96">
            <v>0</v>
          </cell>
          <cell r="AC96">
            <v>0</v>
          </cell>
          <cell r="AF96">
            <v>0</v>
          </cell>
          <cell r="AI96">
            <v>0</v>
          </cell>
          <cell r="AJ96">
            <v>0</v>
          </cell>
          <cell r="AN96" t="e">
            <v>#REF!</v>
          </cell>
          <cell r="AP96" t="e">
            <v>#REF!</v>
          </cell>
          <cell r="AS96">
            <v>0</v>
          </cell>
        </row>
        <row r="97">
          <cell r="P97">
            <v>0</v>
          </cell>
          <cell r="S97">
            <v>0</v>
          </cell>
          <cell r="X97">
            <v>0</v>
          </cell>
          <cell r="AC97">
            <v>0</v>
          </cell>
          <cell r="AF97">
            <v>0</v>
          </cell>
          <cell r="AI97">
            <v>0</v>
          </cell>
          <cell r="AJ97">
            <v>0</v>
          </cell>
          <cell r="AN97" t="e">
            <v>#REF!</v>
          </cell>
          <cell r="AP97" t="e">
            <v>#REF!</v>
          </cell>
          <cell r="AS97">
            <v>0</v>
          </cell>
        </row>
        <row r="98">
          <cell r="P98">
            <v>0</v>
          </cell>
          <cell r="S98">
            <v>0</v>
          </cell>
          <cell r="X98">
            <v>0</v>
          </cell>
          <cell r="AC98">
            <v>0</v>
          </cell>
          <cell r="AF98">
            <v>0</v>
          </cell>
          <cell r="AI98">
            <v>0</v>
          </cell>
          <cell r="AJ98">
            <v>0</v>
          </cell>
          <cell r="AN98" t="e">
            <v>#REF!</v>
          </cell>
          <cell r="AP98" t="e">
            <v>#REF!</v>
          </cell>
          <cell r="AS98">
            <v>0</v>
          </cell>
        </row>
        <row r="99">
          <cell r="P99">
            <v>0</v>
          </cell>
          <cell r="S99">
            <v>0</v>
          </cell>
          <cell r="X99">
            <v>0</v>
          </cell>
          <cell r="AC99">
            <v>0</v>
          </cell>
          <cell r="AI99">
            <v>0</v>
          </cell>
          <cell r="AJ99">
            <v>0</v>
          </cell>
          <cell r="AN99" t="e">
            <v>#REF!</v>
          </cell>
          <cell r="AP99" t="e">
            <v>#REF!</v>
          </cell>
          <cell r="AS99">
            <v>0</v>
          </cell>
        </row>
        <row r="100">
          <cell r="C100">
            <v>-1308</v>
          </cell>
          <cell r="N100">
            <v>0.19200000000000017</v>
          </cell>
          <cell r="P100">
            <v>-0.19200000000000017</v>
          </cell>
          <cell r="Q100">
            <v>-0.32000000000000028</v>
          </cell>
          <cell r="R100">
            <v>31</v>
          </cell>
          <cell r="S100">
            <v>31.32</v>
          </cell>
          <cell r="T100">
            <v>-0.3360000000000003</v>
          </cell>
          <cell r="W100">
            <v>2</v>
          </cell>
          <cell r="X100">
            <v>2.3360000000000003</v>
          </cell>
          <cell r="Y100">
            <v>0.28000000000000114</v>
          </cell>
          <cell r="AB100">
            <v>10</v>
          </cell>
          <cell r="AC100">
            <v>9.7199999999999989</v>
          </cell>
          <cell r="AD100">
            <v>0.35200000000000031</v>
          </cell>
          <cell r="AE100">
            <v>0.35200000000000031</v>
          </cell>
          <cell r="AF100">
            <v>0</v>
          </cell>
          <cell r="AG100">
            <v>128</v>
          </cell>
          <cell r="AH100">
            <v>128</v>
          </cell>
          <cell r="AI100">
            <v>0</v>
          </cell>
          <cell r="AJ100">
            <v>127.648</v>
          </cell>
          <cell r="AN100" t="e">
            <v>#REF!</v>
          </cell>
          <cell r="AP100" t="e">
            <v>#REF!</v>
          </cell>
          <cell r="AS100">
            <v>140</v>
          </cell>
        </row>
        <row r="101">
          <cell r="C101">
            <v>-1308</v>
          </cell>
          <cell r="N101">
            <v>0</v>
          </cell>
          <cell r="P101">
            <v>0</v>
          </cell>
          <cell r="Q101">
            <v>0</v>
          </cell>
          <cell r="R101">
            <v>0</v>
          </cell>
          <cell r="S101">
            <v>0</v>
          </cell>
          <cell r="T101">
            <v>0</v>
          </cell>
          <cell r="X101">
            <v>0</v>
          </cell>
          <cell r="Y101">
            <v>0</v>
          </cell>
          <cell r="AC101">
            <v>0</v>
          </cell>
          <cell r="AD101">
            <v>0</v>
          </cell>
          <cell r="AE101">
            <v>0</v>
          </cell>
          <cell r="AF101">
            <v>0</v>
          </cell>
          <cell r="AI101">
            <v>0</v>
          </cell>
          <cell r="AJ101">
            <v>0</v>
          </cell>
          <cell r="AN101" t="e">
            <v>#REF!</v>
          </cell>
          <cell r="AP101" t="e">
            <v>#REF!</v>
          </cell>
          <cell r="AS101">
            <v>0</v>
          </cell>
        </row>
        <row r="102">
          <cell r="C102">
            <v>0</v>
          </cell>
          <cell r="N102">
            <v>0</v>
          </cell>
          <cell r="P102">
            <v>0</v>
          </cell>
          <cell r="Q102">
            <v>0</v>
          </cell>
          <cell r="S102">
            <v>0</v>
          </cell>
          <cell r="T102">
            <v>0</v>
          </cell>
          <cell r="X102">
            <v>0</v>
          </cell>
          <cell r="Y102">
            <v>0</v>
          </cell>
          <cell r="AC102">
            <v>0</v>
          </cell>
          <cell r="AD102">
            <v>0</v>
          </cell>
          <cell r="AE102">
            <v>0</v>
          </cell>
          <cell r="AF102">
            <v>0</v>
          </cell>
          <cell r="AI102">
            <v>0</v>
          </cell>
          <cell r="AJ102">
            <v>0</v>
          </cell>
          <cell r="AN102" t="e">
            <v>#REF!</v>
          </cell>
          <cell r="AP102" t="e">
            <v>#REF!</v>
          </cell>
          <cell r="AS102">
            <v>0</v>
          </cell>
        </row>
        <row r="103">
          <cell r="C103">
            <v>0</v>
          </cell>
          <cell r="N103">
            <v>0.19200000000000017</v>
          </cell>
          <cell r="P103">
            <v>-0.19200000000000017</v>
          </cell>
          <cell r="Q103">
            <v>-0.32000000000000028</v>
          </cell>
          <cell r="R103">
            <v>31</v>
          </cell>
          <cell r="S103">
            <v>31.32</v>
          </cell>
          <cell r="T103">
            <v>-0.3360000000000003</v>
          </cell>
          <cell r="W103">
            <v>2</v>
          </cell>
          <cell r="X103">
            <v>2.3360000000000003</v>
          </cell>
          <cell r="Y103">
            <v>0.28000000000000114</v>
          </cell>
          <cell r="AB103">
            <v>10</v>
          </cell>
          <cell r="AC103">
            <v>9.7199999999999989</v>
          </cell>
          <cell r="AD103">
            <v>0.35200000000000031</v>
          </cell>
          <cell r="AE103">
            <v>0.35200000000000031</v>
          </cell>
          <cell r="AF103">
            <v>0</v>
          </cell>
          <cell r="AG103">
            <v>128</v>
          </cell>
          <cell r="AH103">
            <v>128</v>
          </cell>
          <cell r="AI103">
            <v>0</v>
          </cell>
          <cell r="AJ103">
            <v>127.648</v>
          </cell>
          <cell r="AN103">
            <v>3701.768</v>
          </cell>
          <cell r="AP103">
            <v>3702</v>
          </cell>
          <cell r="AS103">
            <v>140</v>
          </cell>
        </row>
        <row r="104">
          <cell r="C104">
            <v>0</v>
          </cell>
          <cell r="N104">
            <v>0.20800000000000018</v>
          </cell>
          <cell r="P104">
            <v>-0.20800000000000018</v>
          </cell>
          <cell r="Q104">
            <v>234.404</v>
          </cell>
          <cell r="R104">
            <v>154</v>
          </cell>
          <cell r="S104">
            <v>-80.403999999999996</v>
          </cell>
          <cell r="T104">
            <v>-0.42800000000000082</v>
          </cell>
          <cell r="W104">
            <v>79</v>
          </cell>
          <cell r="X104">
            <v>79.427999999999997</v>
          </cell>
          <cell r="Y104">
            <v>6.799999999999784E-2</v>
          </cell>
          <cell r="AB104">
            <v>86</v>
          </cell>
          <cell r="AC104">
            <v>85.932000000000002</v>
          </cell>
          <cell r="AD104">
            <v>0.28399999999999892</v>
          </cell>
          <cell r="AE104">
            <v>0.28399999999999892</v>
          </cell>
          <cell r="AF104">
            <v>0</v>
          </cell>
          <cell r="AG104">
            <v>30</v>
          </cell>
          <cell r="AH104">
            <v>30</v>
          </cell>
          <cell r="AI104">
            <v>0</v>
          </cell>
          <cell r="AJ104">
            <v>29.716000000000001</v>
          </cell>
          <cell r="AN104" t="e">
            <v>#REF!</v>
          </cell>
          <cell r="AP104" t="e">
            <v>#REF!</v>
          </cell>
          <cell r="AS104">
            <v>195</v>
          </cell>
        </row>
        <row r="105">
          <cell r="C105">
            <v>0</v>
          </cell>
          <cell r="N105">
            <v>0</v>
          </cell>
          <cell r="P105">
            <v>0</v>
          </cell>
          <cell r="Q105">
            <v>233.64000000000001</v>
          </cell>
          <cell r="R105">
            <v>0</v>
          </cell>
          <cell r="S105">
            <v>-233.64000000000001</v>
          </cell>
          <cell r="T105">
            <v>0</v>
          </cell>
          <cell r="W105">
            <v>0</v>
          </cell>
          <cell r="X105">
            <v>0</v>
          </cell>
          <cell r="Y105">
            <v>0</v>
          </cell>
          <cell r="AB105">
            <v>0</v>
          </cell>
          <cell r="AC105">
            <v>0</v>
          </cell>
          <cell r="AD105">
            <v>0</v>
          </cell>
          <cell r="AE105">
            <v>0</v>
          </cell>
          <cell r="AF105">
            <v>0</v>
          </cell>
          <cell r="AI105">
            <v>0</v>
          </cell>
          <cell r="AJ105">
            <v>0</v>
          </cell>
          <cell r="AN105" t="e">
            <v>#REF!</v>
          </cell>
          <cell r="AP105" t="e">
            <v>#REF!</v>
          </cell>
          <cell r="AS105">
            <v>0</v>
          </cell>
        </row>
        <row r="106">
          <cell r="C106">
            <v>0</v>
          </cell>
          <cell r="N106">
            <v>0.20800000000000018</v>
          </cell>
          <cell r="P106">
            <v>-0.20800000000000018</v>
          </cell>
          <cell r="Q106">
            <v>-0.23600000000000065</v>
          </cell>
          <cell r="R106">
            <v>154</v>
          </cell>
          <cell r="S106">
            <v>154.23599999999999</v>
          </cell>
          <cell r="T106">
            <v>-0.42800000000000082</v>
          </cell>
          <cell r="W106">
            <v>79</v>
          </cell>
          <cell r="X106">
            <v>79.427999999999997</v>
          </cell>
          <cell r="Y106">
            <v>6.799999999999784E-2</v>
          </cell>
          <cell r="AB106">
            <v>86</v>
          </cell>
          <cell r="AC106">
            <v>85.932000000000002</v>
          </cell>
          <cell r="AD106">
            <v>0.28399999999999892</v>
          </cell>
          <cell r="AE106">
            <v>0.28399999999999892</v>
          </cell>
          <cell r="AF106">
            <v>0</v>
          </cell>
          <cell r="AG106">
            <v>30</v>
          </cell>
          <cell r="AH106">
            <v>30</v>
          </cell>
          <cell r="AI106">
            <v>0</v>
          </cell>
          <cell r="AJ106">
            <v>29.716000000000001</v>
          </cell>
          <cell r="AN106" t="e">
            <v>#REF!</v>
          </cell>
          <cell r="AP106" t="e">
            <v>#REF!</v>
          </cell>
          <cell r="AS106">
            <v>195</v>
          </cell>
        </row>
        <row r="107">
          <cell r="C107">
            <v>0</v>
          </cell>
          <cell r="N107">
            <v>0</v>
          </cell>
          <cell r="P107">
            <v>0</v>
          </cell>
          <cell r="Q107">
            <v>526.04999999999995</v>
          </cell>
          <cell r="R107">
            <v>800</v>
          </cell>
          <cell r="S107">
            <v>273.95000000000005</v>
          </cell>
          <cell r="T107">
            <v>0</v>
          </cell>
          <cell r="X107">
            <v>0</v>
          </cell>
          <cell r="Y107">
            <v>0</v>
          </cell>
          <cell r="AC107">
            <v>0</v>
          </cell>
          <cell r="AD107">
            <v>0</v>
          </cell>
          <cell r="AE107">
            <v>0</v>
          </cell>
          <cell r="AF107">
            <v>0</v>
          </cell>
          <cell r="AI107">
            <v>0</v>
          </cell>
          <cell r="AJ107">
            <v>0</v>
          </cell>
          <cell r="AN107" t="e">
            <v>#REF!</v>
          </cell>
          <cell r="AP107" t="e">
            <v>#REF!</v>
          </cell>
          <cell r="AQ107" t="e">
            <v>#REF!</v>
          </cell>
          <cell r="AR107" t="e">
            <v>#REF!</v>
          </cell>
          <cell r="AS107">
            <v>0</v>
          </cell>
        </row>
        <row r="108">
          <cell r="C108">
            <v>0</v>
          </cell>
          <cell r="N108">
            <v>0</v>
          </cell>
          <cell r="P108">
            <v>0</v>
          </cell>
          <cell r="Q108">
            <v>526.04999999999995</v>
          </cell>
          <cell r="R108">
            <v>800</v>
          </cell>
          <cell r="S108">
            <v>273.95000000000005</v>
          </cell>
          <cell r="T108">
            <v>0</v>
          </cell>
          <cell r="X108">
            <v>0</v>
          </cell>
          <cell r="Y108">
            <v>0</v>
          </cell>
          <cell r="AC108">
            <v>0</v>
          </cell>
          <cell r="AD108">
            <v>0</v>
          </cell>
          <cell r="AE108">
            <v>0</v>
          </cell>
          <cell r="AF108">
            <v>0</v>
          </cell>
          <cell r="AI108">
            <v>0</v>
          </cell>
          <cell r="AJ108">
            <v>0</v>
          </cell>
          <cell r="AN108" t="e">
            <v>#REF!</v>
          </cell>
          <cell r="AP108" t="e">
            <v>#REF!</v>
          </cell>
          <cell r="AS108">
            <v>0</v>
          </cell>
        </row>
        <row r="109">
          <cell r="C109">
            <v>0</v>
          </cell>
          <cell r="N109">
            <v>0</v>
          </cell>
          <cell r="P109">
            <v>0</v>
          </cell>
          <cell r="Q109">
            <v>0</v>
          </cell>
          <cell r="S109">
            <v>0</v>
          </cell>
          <cell r="T109">
            <v>0</v>
          </cell>
          <cell r="X109">
            <v>0</v>
          </cell>
          <cell r="Y109">
            <v>0</v>
          </cell>
          <cell r="AC109">
            <v>0</v>
          </cell>
          <cell r="AD109">
            <v>0</v>
          </cell>
          <cell r="AE109">
            <v>0</v>
          </cell>
          <cell r="AF109">
            <v>0</v>
          </cell>
          <cell r="AI109">
            <v>0</v>
          </cell>
          <cell r="AJ109">
            <v>0</v>
          </cell>
          <cell r="AN109" t="e">
            <v>#REF!</v>
          </cell>
          <cell r="AP109" t="e">
            <v>#REF!</v>
          </cell>
          <cell r="AQ109">
            <v>0</v>
          </cell>
          <cell r="AR109">
            <v>0</v>
          </cell>
          <cell r="AS109">
            <v>0</v>
          </cell>
        </row>
        <row r="110">
          <cell r="C110">
            <v>0</v>
          </cell>
          <cell r="N110">
            <v>0</v>
          </cell>
          <cell r="P110">
            <v>0</v>
          </cell>
          <cell r="Q110">
            <v>0</v>
          </cell>
          <cell r="S110">
            <v>0</v>
          </cell>
          <cell r="T110">
            <v>0</v>
          </cell>
          <cell r="X110">
            <v>0</v>
          </cell>
          <cell r="Y110">
            <v>0</v>
          </cell>
          <cell r="AC110">
            <v>0</v>
          </cell>
          <cell r="AD110">
            <v>0</v>
          </cell>
          <cell r="AE110">
            <v>0</v>
          </cell>
          <cell r="AF110">
            <v>0</v>
          </cell>
          <cell r="AI110">
            <v>0</v>
          </cell>
          <cell r="AJ110">
            <v>0</v>
          </cell>
          <cell r="AN110" t="e">
            <v>#REF!</v>
          </cell>
          <cell r="AP110" t="e">
            <v>#REF!</v>
          </cell>
          <cell r="AS110">
            <v>0</v>
          </cell>
        </row>
        <row r="111">
          <cell r="C111">
            <v>200</v>
          </cell>
          <cell r="N111">
            <v>0</v>
          </cell>
          <cell r="P111">
            <v>0</v>
          </cell>
          <cell r="Q111">
            <v>0</v>
          </cell>
          <cell r="R111">
            <v>928</v>
          </cell>
          <cell r="S111">
            <v>928</v>
          </cell>
          <cell r="T111">
            <v>0</v>
          </cell>
          <cell r="W111">
            <v>366</v>
          </cell>
          <cell r="X111">
            <v>366</v>
          </cell>
          <cell r="Y111">
            <v>0</v>
          </cell>
          <cell r="AB111">
            <v>251</v>
          </cell>
          <cell r="AC111">
            <v>251</v>
          </cell>
          <cell r="AD111">
            <v>0</v>
          </cell>
          <cell r="AE111">
            <v>0</v>
          </cell>
          <cell r="AF111">
            <v>0</v>
          </cell>
          <cell r="AG111">
            <v>535</v>
          </cell>
          <cell r="AH111">
            <v>535</v>
          </cell>
          <cell r="AI111">
            <v>0</v>
          </cell>
          <cell r="AJ111">
            <v>535</v>
          </cell>
          <cell r="AN111" t="e">
            <v>#REF!</v>
          </cell>
          <cell r="AP111" t="e">
            <v>#REF!</v>
          </cell>
          <cell r="AS111">
            <v>1152</v>
          </cell>
        </row>
        <row r="112">
          <cell r="C112">
            <v>0</v>
          </cell>
          <cell r="N112">
            <v>0</v>
          </cell>
          <cell r="P112">
            <v>0</v>
          </cell>
          <cell r="Q112">
            <v>0</v>
          </cell>
          <cell r="R112">
            <v>8</v>
          </cell>
          <cell r="S112">
            <v>8</v>
          </cell>
          <cell r="T112">
            <v>0</v>
          </cell>
          <cell r="W112">
            <v>57</v>
          </cell>
          <cell r="X112">
            <v>57</v>
          </cell>
          <cell r="Y112">
            <v>0</v>
          </cell>
          <cell r="AB112">
            <v>7</v>
          </cell>
          <cell r="AC112">
            <v>7</v>
          </cell>
          <cell r="AD112">
            <v>0</v>
          </cell>
          <cell r="AE112">
            <v>0</v>
          </cell>
          <cell r="AF112">
            <v>0</v>
          </cell>
          <cell r="AI112">
            <v>0</v>
          </cell>
          <cell r="AJ112">
            <v>0</v>
          </cell>
          <cell r="AN112">
            <v>19</v>
          </cell>
          <cell r="AP112">
            <v>19</v>
          </cell>
          <cell r="AS112">
            <v>64</v>
          </cell>
        </row>
        <row r="113">
          <cell r="C113">
            <v>7060</v>
          </cell>
          <cell r="N113">
            <v>0</v>
          </cell>
          <cell r="P113">
            <v>0</v>
          </cell>
          <cell r="Q113">
            <v>0</v>
          </cell>
          <cell r="S113">
            <v>0</v>
          </cell>
          <cell r="T113">
            <v>0</v>
          </cell>
          <cell r="X113">
            <v>0</v>
          </cell>
          <cell r="Y113">
            <v>0</v>
          </cell>
          <cell r="AC113">
            <v>0</v>
          </cell>
          <cell r="AD113">
            <v>0</v>
          </cell>
          <cell r="AE113">
            <v>0</v>
          </cell>
          <cell r="AF113">
            <v>0</v>
          </cell>
          <cell r="AI113">
            <v>0</v>
          </cell>
          <cell r="AJ113">
            <v>0</v>
          </cell>
          <cell r="AN113" t="e">
            <v>#REF!</v>
          </cell>
          <cell r="AP113" t="e">
            <v>#REF!</v>
          </cell>
          <cell r="AS113">
            <v>0</v>
          </cell>
        </row>
        <row r="114">
          <cell r="C114">
            <v>0</v>
          </cell>
          <cell r="P114">
            <v>0</v>
          </cell>
          <cell r="S114">
            <v>0</v>
          </cell>
          <cell r="X114">
            <v>0</v>
          </cell>
          <cell r="AC114">
            <v>0</v>
          </cell>
          <cell r="AF114">
            <v>0</v>
          </cell>
          <cell r="AI114">
            <v>0</v>
          </cell>
          <cell r="AJ114">
            <v>0</v>
          </cell>
          <cell r="AP114">
            <v>0</v>
          </cell>
          <cell r="AS114">
            <v>0</v>
          </cell>
        </row>
        <row r="115">
          <cell r="C115">
            <v>3500</v>
          </cell>
          <cell r="P115">
            <v>0</v>
          </cell>
          <cell r="S115">
            <v>0</v>
          </cell>
          <cell r="X115">
            <v>0</v>
          </cell>
          <cell r="AC115">
            <v>0</v>
          </cell>
          <cell r="AF115">
            <v>0</v>
          </cell>
          <cell r="AI115">
            <v>0</v>
          </cell>
          <cell r="AJ115">
            <v>0</v>
          </cell>
          <cell r="AP115">
            <v>3500</v>
          </cell>
          <cell r="AS115">
            <v>0</v>
          </cell>
        </row>
        <row r="116">
          <cell r="C116">
            <v>0</v>
          </cell>
        </row>
        <row r="119">
          <cell r="P119">
            <v>0</v>
          </cell>
          <cell r="S119">
            <v>0</v>
          </cell>
          <cell r="X119">
            <v>0</v>
          </cell>
          <cell r="AC119">
            <v>0</v>
          </cell>
          <cell r="AE119" t="e">
            <v>#REF!</v>
          </cell>
          <cell r="AF119" t="e">
            <v>#REF!</v>
          </cell>
          <cell r="AI119">
            <v>0</v>
          </cell>
          <cell r="AJ119">
            <v>0</v>
          </cell>
          <cell r="AN119" t="e">
            <v>#REF!</v>
          </cell>
          <cell r="AP119">
            <v>36465</v>
          </cell>
          <cell r="AQ119" t="e">
            <v>#REF!</v>
          </cell>
          <cell r="AS119">
            <v>0</v>
          </cell>
        </row>
        <row r="120">
          <cell r="C120">
            <v>0</v>
          </cell>
          <cell r="P120">
            <v>0</v>
          </cell>
          <cell r="S120">
            <v>0</v>
          </cell>
          <cell r="X120">
            <v>0</v>
          </cell>
          <cell r="AC120">
            <v>0</v>
          </cell>
          <cell r="AJ120">
            <v>0</v>
          </cell>
          <cell r="AN120" t="e">
            <v>#REF!</v>
          </cell>
          <cell r="AP120" t="e">
            <v>#REF!</v>
          </cell>
          <cell r="AS120">
            <v>0</v>
          </cell>
        </row>
        <row r="121">
          <cell r="C121">
            <v>11853</v>
          </cell>
          <cell r="D121">
            <v>0</v>
          </cell>
          <cell r="E121">
            <v>0</v>
          </cell>
          <cell r="N121">
            <v>0.40000000000000036</v>
          </cell>
          <cell r="O121">
            <v>0</v>
          </cell>
          <cell r="P121">
            <v>-0.40000000000000036</v>
          </cell>
          <cell r="Q121">
            <v>0</v>
          </cell>
          <cell r="R121">
            <v>1921</v>
          </cell>
          <cell r="S121">
            <v>1921</v>
          </cell>
          <cell r="T121">
            <v>-0.76400000000000112</v>
          </cell>
          <cell r="U121">
            <v>0</v>
          </cell>
          <cell r="V121">
            <v>0</v>
          </cell>
          <cell r="W121">
            <v>504</v>
          </cell>
          <cell r="X121">
            <v>504.76400000000001</v>
          </cell>
          <cell r="Y121">
            <v>0.34799999999999898</v>
          </cell>
          <cell r="Z121">
            <v>0</v>
          </cell>
          <cell r="AA121">
            <v>0</v>
          </cell>
          <cell r="AB121">
            <v>354</v>
          </cell>
          <cell r="AC121">
            <v>353.65199999999999</v>
          </cell>
          <cell r="AD121">
            <v>0.63599999999999923</v>
          </cell>
          <cell r="AE121">
            <v>0.63599999999999923</v>
          </cell>
          <cell r="AF121">
            <v>0</v>
          </cell>
          <cell r="AG121">
            <v>693</v>
          </cell>
          <cell r="AH121">
            <v>693</v>
          </cell>
          <cell r="AI121">
            <v>0</v>
          </cell>
          <cell r="AJ121">
            <v>692.36400000000003</v>
          </cell>
          <cell r="AN121" t="e">
            <v>#REF!</v>
          </cell>
          <cell r="AP121" t="e">
            <v>#REF!</v>
          </cell>
          <cell r="AU121">
            <v>0</v>
          </cell>
          <cell r="AV121">
            <v>0</v>
          </cell>
          <cell r="AW121">
            <v>0</v>
          </cell>
          <cell r="AX121">
            <v>0</v>
          </cell>
        </row>
        <row r="122">
          <cell r="C122">
            <v>9452</v>
          </cell>
          <cell r="D122">
            <v>0</v>
          </cell>
          <cell r="E122">
            <v>0</v>
          </cell>
          <cell r="N122">
            <v>6176.4</v>
          </cell>
          <cell r="P122">
            <v>-6176.4</v>
          </cell>
          <cell r="Q122">
            <v>16679.134000000002</v>
          </cell>
          <cell r="T122">
            <v>-0.76400000000000112</v>
          </cell>
          <cell r="U122">
            <v>0</v>
          </cell>
          <cell r="V122">
            <v>0</v>
          </cell>
          <cell r="X122">
            <v>0.76400000000000112</v>
          </cell>
          <cell r="Y122">
            <v>0.34799999999999898</v>
          </cell>
          <cell r="Z122">
            <v>0</v>
          </cell>
          <cell r="AA122">
            <v>0</v>
          </cell>
          <cell r="AC122">
            <v>-0.34799999999999898</v>
          </cell>
          <cell r="AJ122">
            <v>0</v>
          </cell>
          <cell r="AN122" t="e">
            <v>#REF!</v>
          </cell>
          <cell r="AP122" t="e">
            <v>#REF!</v>
          </cell>
        </row>
        <row r="123">
          <cell r="P123">
            <v>0</v>
          </cell>
          <cell r="X123">
            <v>0</v>
          </cell>
          <cell r="AC123">
            <v>0</v>
          </cell>
          <cell r="AJ123">
            <v>0</v>
          </cell>
          <cell r="AP123" t="e">
            <v>#REF!</v>
          </cell>
        </row>
        <row r="124">
          <cell r="P124">
            <v>0</v>
          </cell>
          <cell r="X124">
            <v>0</v>
          </cell>
          <cell r="AC124">
            <v>0</v>
          </cell>
          <cell r="AJ124">
            <v>0</v>
          </cell>
          <cell r="AP124" t="e">
            <v>#REF!</v>
          </cell>
        </row>
        <row r="125">
          <cell r="P125">
            <v>0</v>
          </cell>
          <cell r="X125">
            <v>0</v>
          </cell>
          <cell r="AC125">
            <v>0</v>
          </cell>
          <cell r="AJ125">
            <v>0</v>
          </cell>
          <cell r="AP125" t="e">
            <v>#REF!</v>
          </cell>
          <cell r="AQ125" t="e">
            <v>#REF!</v>
          </cell>
          <cell r="AR125" t="e">
            <v>#REF!</v>
          </cell>
        </row>
        <row r="126">
          <cell r="P126">
            <v>0</v>
          </cell>
          <cell r="X126">
            <v>0</v>
          </cell>
          <cell r="AC126">
            <v>0</v>
          </cell>
          <cell r="AJ126">
            <v>0</v>
          </cell>
        </row>
        <row r="127">
          <cell r="P127">
            <v>0</v>
          </cell>
          <cell r="X127">
            <v>0</v>
          </cell>
          <cell r="AC127">
            <v>0</v>
          </cell>
          <cell r="AJ127">
            <v>0</v>
          </cell>
          <cell r="AP127" t="e">
            <v>#REF!</v>
          </cell>
          <cell r="AU127">
            <v>0</v>
          </cell>
        </row>
        <row r="128">
          <cell r="P128">
            <v>0</v>
          </cell>
          <cell r="X128">
            <v>0</v>
          </cell>
          <cell r="AC128">
            <v>0</v>
          </cell>
          <cell r="AJ128">
            <v>0</v>
          </cell>
        </row>
        <row r="129">
          <cell r="P129">
            <v>0</v>
          </cell>
          <cell r="X129">
            <v>0</v>
          </cell>
          <cell r="AC129">
            <v>0</v>
          </cell>
          <cell r="AJ129">
            <v>0</v>
          </cell>
        </row>
        <row r="130">
          <cell r="P130">
            <v>0</v>
          </cell>
          <cell r="X130">
            <v>0</v>
          </cell>
          <cell r="AC130">
            <v>0</v>
          </cell>
          <cell r="AJ130">
            <v>0</v>
          </cell>
          <cell r="AP130" t="e">
            <v>#REF!</v>
          </cell>
          <cell r="AR130" t="e">
            <v>#REF!</v>
          </cell>
          <cell r="AU130">
            <v>0</v>
          </cell>
          <cell r="AW130">
            <v>0</v>
          </cell>
        </row>
        <row r="131">
          <cell r="P131">
            <v>0</v>
          </cell>
          <cell r="X131">
            <v>0</v>
          </cell>
          <cell r="AC131">
            <v>0</v>
          </cell>
          <cell r="AJ131">
            <v>0</v>
          </cell>
          <cell r="AP131" t="e">
            <v>#REF!</v>
          </cell>
          <cell r="AU131">
            <v>0</v>
          </cell>
        </row>
        <row r="132">
          <cell r="P132">
            <v>0</v>
          </cell>
          <cell r="X132">
            <v>0</v>
          </cell>
          <cell r="AC132">
            <v>0</v>
          </cell>
          <cell r="AJ132">
            <v>0</v>
          </cell>
          <cell r="AP132" t="e">
            <v>#REF!</v>
          </cell>
          <cell r="AU132" t="e">
            <v>#DIV/0!</v>
          </cell>
        </row>
        <row r="133">
          <cell r="P133">
            <v>0</v>
          </cell>
          <cell r="X133">
            <v>0</v>
          </cell>
          <cell r="AC133">
            <v>0</v>
          </cell>
          <cell r="AJ133">
            <v>0</v>
          </cell>
          <cell r="AP133" t="e">
            <v>#REF!</v>
          </cell>
          <cell r="AU133" t="e">
            <v>#DIV/0!</v>
          </cell>
        </row>
        <row r="134">
          <cell r="P134">
            <v>0</v>
          </cell>
          <cell r="X134">
            <v>0</v>
          </cell>
          <cell r="AC134">
            <v>0</v>
          </cell>
          <cell r="AJ134">
            <v>0</v>
          </cell>
          <cell r="AP134">
            <v>0</v>
          </cell>
          <cell r="AU134">
            <v>0</v>
          </cell>
        </row>
        <row r="135">
          <cell r="P135">
            <v>0</v>
          </cell>
          <cell r="X135">
            <v>0</v>
          </cell>
          <cell r="AC135">
            <v>0</v>
          </cell>
          <cell r="AJ135">
            <v>0</v>
          </cell>
        </row>
        <row r="136">
          <cell r="P136">
            <v>0</v>
          </cell>
          <cell r="X136">
            <v>0</v>
          </cell>
          <cell r="AC136">
            <v>0</v>
          </cell>
          <cell r="AJ136">
            <v>0</v>
          </cell>
          <cell r="AP136">
            <v>36.19</v>
          </cell>
          <cell r="AU136" t="e">
            <v>#DIV/0!</v>
          </cell>
        </row>
        <row r="137">
          <cell r="P137">
            <v>0</v>
          </cell>
          <cell r="X137">
            <v>0</v>
          </cell>
          <cell r="AC137">
            <v>0</v>
          </cell>
          <cell r="AJ137">
            <v>0</v>
          </cell>
        </row>
        <row r="138">
          <cell r="P138">
            <v>0</v>
          </cell>
          <cell r="X138">
            <v>0</v>
          </cell>
          <cell r="AC138">
            <v>0</v>
          </cell>
          <cell r="AJ138">
            <v>0</v>
          </cell>
          <cell r="AN138">
            <v>0</v>
          </cell>
          <cell r="AP138" t="e">
            <v>#REF!</v>
          </cell>
          <cell r="AU138" t="e">
            <v>#DIV/0!</v>
          </cell>
        </row>
        <row r="139">
          <cell r="P139">
            <v>0</v>
          </cell>
          <cell r="X139">
            <v>0</v>
          </cell>
          <cell r="AC139">
            <v>0</v>
          </cell>
          <cell r="AJ139">
            <v>0</v>
          </cell>
          <cell r="AP139">
            <v>180931</v>
          </cell>
          <cell r="AQ139">
            <v>180931</v>
          </cell>
        </row>
        <row r="140">
          <cell r="C140" t="str">
            <v>коп/кВтг</v>
          </cell>
          <cell r="P140">
            <v>0</v>
          </cell>
          <cell r="X140">
            <v>0</v>
          </cell>
          <cell r="AC140">
            <v>0</v>
          </cell>
          <cell r="AJ140">
            <v>0</v>
          </cell>
        </row>
        <row r="141">
          <cell r="P141">
            <v>0</v>
          </cell>
          <cell r="X141">
            <v>0</v>
          </cell>
          <cell r="AC141">
            <v>0</v>
          </cell>
          <cell r="AJ141">
            <v>0</v>
          </cell>
          <cell r="AN141">
            <v>0</v>
          </cell>
          <cell r="AP141">
            <v>0</v>
          </cell>
        </row>
        <row r="142">
          <cell r="P142">
            <v>0</v>
          </cell>
          <cell r="Q142">
            <v>0</v>
          </cell>
          <cell r="X142">
            <v>0</v>
          </cell>
          <cell r="AC142">
            <v>0</v>
          </cell>
          <cell r="AJ142">
            <v>0</v>
          </cell>
          <cell r="AP142">
            <v>2601</v>
          </cell>
        </row>
        <row r="143">
          <cell r="P143">
            <v>0</v>
          </cell>
          <cell r="X143">
            <v>0</v>
          </cell>
          <cell r="AC143">
            <v>0</v>
          </cell>
          <cell r="AJ143">
            <v>0</v>
          </cell>
          <cell r="AN143">
            <v>0</v>
          </cell>
          <cell r="AP143" t="e">
            <v>#REF!</v>
          </cell>
          <cell r="AQ143">
            <v>180931</v>
          </cell>
          <cell r="AR143" t="e">
            <v>#REF!</v>
          </cell>
          <cell r="AU143">
            <v>0</v>
          </cell>
        </row>
        <row r="144">
          <cell r="P144">
            <v>0</v>
          </cell>
          <cell r="X144">
            <v>0</v>
          </cell>
          <cell r="AC144">
            <v>0</v>
          </cell>
          <cell r="AJ144">
            <v>0</v>
          </cell>
          <cell r="AP144">
            <v>0</v>
          </cell>
        </row>
        <row r="145">
          <cell r="P145">
            <v>0</v>
          </cell>
          <cell r="X145">
            <v>0</v>
          </cell>
          <cell r="AC145">
            <v>0</v>
          </cell>
          <cell r="AJ145">
            <v>0</v>
          </cell>
          <cell r="AP145" t="e">
            <v>#REF!</v>
          </cell>
          <cell r="AQ145">
            <v>180931</v>
          </cell>
          <cell r="AR145" t="e">
            <v>#REF!</v>
          </cell>
        </row>
        <row r="146">
          <cell r="P146">
            <v>0</v>
          </cell>
          <cell r="X146">
            <v>0</v>
          </cell>
          <cell r="AC146">
            <v>0</v>
          </cell>
          <cell r="AJ146">
            <v>0</v>
          </cell>
          <cell r="AU146">
            <v>24501</v>
          </cell>
          <cell r="AV146">
            <v>50420</v>
          </cell>
          <cell r="AW146">
            <v>28491.291575757579</v>
          </cell>
          <cell r="AX146" t="e">
            <v>#REF!</v>
          </cell>
        </row>
        <row r="147">
          <cell r="P147">
            <v>0</v>
          </cell>
          <cell r="X147">
            <v>0</v>
          </cell>
          <cell r="AC147">
            <v>0</v>
          </cell>
          <cell r="AJ147">
            <v>0</v>
          </cell>
          <cell r="AP147" t="e">
            <v>#REF!</v>
          </cell>
          <cell r="AQ147" t="e">
            <v>#REF!</v>
          </cell>
          <cell r="AR147" t="e">
            <v>#REF!</v>
          </cell>
        </row>
        <row r="148">
          <cell r="P148">
            <v>0</v>
          </cell>
          <cell r="X148">
            <v>0</v>
          </cell>
          <cell r="AC148">
            <v>0</v>
          </cell>
          <cell r="AJ148">
            <v>0</v>
          </cell>
        </row>
        <row r="149">
          <cell r="C149">
            <v>0</v>
          </cell>
          <cell r="N149">
            <v>0</v>
          </cell>
          <cell r="P149">
            <v>0</v>
          </cell>
          <cell r="Q149">
            <v>0</v>
          </cell>
          <cell r="T149">
            <v>0</v>
          </cell>
          <cell r="X149">
            <v>0</v>
          </cell>
          <cell r="Y149">
            <v>0</v>
          </cell>
          <cell r="AC149">
            <v>0</v>
          </cell>
          <cell r="AJ149">
            <v>0</v>
          </cell>
          <cell r="AN149">
            <v>0</v>
          </cell>
        </row>
        <row r="151">
          <cell r="C151">
            <v>916.24199999999996</v>
          </cell>
          <cell r="N151">
            <v>1295.5</v>
          </cell>
          <cell r="P151">
            <v>-1295.5</v>
          </cell>
          <cell r="Q151">
            <v>2567.7454545454548</v>
          </cell>
          <cell r="S151">
            <v>-2567.7454545454548</v>
          </cell>
          <cell r="T151">
            <v>1558.3090909090909</v>
          </cell>
          <cell r="W151">
            <v>1510</v>
          </cell>
          <cell r="X151">
            <v>-48.309090909090855</v>
          </cell>
          <cell r="Y151">
            <v>1196.7</v>
          </cell>
          <cell r="AC151">
            <v>-1196.7</v>
          </cell>
          <cell r="AD151">
            <v>1791.7636363636364</v>
          </cell>
          <cell r="AE151">
            <v>1791.7636363636364</v>
          </cell>
          <cell r="AF151">
            <v>0</v>
          </cell>
          <cell r="AG151">
            <v>1946</v>
          </cell>
          <cell r="AH151">
            <v>938</v>
          </cell>
          <cell r="AI151">
            <v>0</v>
          </cell>
          <cell r="AJ151">
            <v>154.23636363636365</v>
          </cell>
          <cell r="AN151">
            <v>197</v>
          </cell>
          <cell r="AP151">
            <v>9542.2601818181811</v>
          </cell>
        </row>
        <row r="152">
          <cell r="C152">
            <v>916.24199999999996</v>
          </cell>
        </row>
        <row r="153">
          <cell r="N153">
            <v>1437.3333333333333</v>
          </cell>
          <cell r="O153">
            <v>272</v>
          </cell>
          <cell r="P153">
            <v>-1165.3333333333333</v>
          </cell>
          <cell r="Q153">
            <v>5429.2727272727279</v>
          </cell>
          <cell r="R153">
            <v>1487</v>
          </cell>
          <cell r="S153">
            <v>-3942.2727272727279</v>
          </cell>
          <cell r="T153">
            <v>2975.1818181818185</v>
          </cell>
          <cell r="U153">
            <v>1435</v>
          </cell>
          <cell r="V153">
            <v>1540.1818181818185</v>
          </cell>
          <cell r="W153">
            <v>831</v>
          </cell>
          <cell r="X153">
            <v>-2144.1818181818185</v>
          </cell>
          <cell r="Y153">
            <v>1952.2727272727273</v>
          </cell>
          <cell r="Z153">
            <v>874</v>
          </cell>
          <cell r="AA153">
            <v>1078.2727272727273</v>
          </cell>
          <cell r="AB153">
            <v>596</v>
          </cell>
          <cell r="AC153">
            <v>-1356.2727272727273</v>
          </cell>
          <cell r="AD153">
            <v>2181.181818181818</v>
          </cell>
          <cell r="AE153">
            <v>2181</v>
          </cell>
          <cell r="AF153">
            <v>0.18181818181824383</v>
          </cell>
          <cell r="AG153">
            <v>437</v>
          </cell>
          <cell r="AH153">
            <v>265</v>
          </cell>
          <cell r="AI153">
            <v>0</v>
          </cell>
          <cell r="AJ153">
            <v>-1744.181818181818</v>
          </cell>
          <cell r="AN153">
            <v>0</v>
          </cell>
        </row>
        <row r="154">
          <cell r="N154">
            <v>0</v>
          </cell>
          <cell r="P154">
            <v>0</v>
          </cell>
          <cell r="Q154">
            <v>0</v>
          </cell>
          <cell r="S154">
            <v>0</v>
          </cell>
          <cell r="T154">
            <v>70</v>
          </cell>
          <cell r="X154">
            <v>-70</v>
          </cell>
          <cell r="Y154">
            <v>24</v>
          </cell>
          <cell r="AC154">
            <v>-24</v>
          </cell>
          <cell r="AJ154">
            <v>0</v>
          </cell>
          <cell r="AP154" t="e">
            <v>#REF!</v>
          </cell>
        </row>
        <row r="155">
          <cell r="N155">
            <v>0</v>
          </cell>
          <cell r="P155">
            <v>0</v>
          </cell>
          <cell r="Q155">
            <v>0</v>
          </cell>
          <cell r="S155">
            <v>0</v>
          </cell>
          <cell r="T155">
            <v>0</v>
          </cell>
          <cell r="X155">
            <v>0</v>
          </cell>
          <cell r="Y155">
            <v>0</v>
          </cell>
          <cell r="AC155">
            <v>0</v>
          </cell>
          <cell r="AJ155">
            <v>0</v>
          </cell>
          <cell r="AP155" t="e">
            <v>#REF!</v>
          </cell>
        </row>
        <row r="156">
          <cell r="C156" t="e">
            <v>#REF!</v>
          </cell>
          <cell r="N156">
            <v>681</v>
          </cell>
          <cell r="P156">
            <v>-681</v>
          </cell>
          <cell r="Q156">
            <v>1041.8333333333333</v>
          </cell>
          <cell r="S156">
            <v>-1041.8333333333333</v>
          </cell>
          <cell r="T156">
            <v>213</v>
          </cell>
          <cell r="X156">
            <v>-213</v>
          </cell>
          <cell r="Y156">
            <v>1171.0035872727274</v>
          </cell>
          <cell r="AC156">
            <v>-1171.0035872727274</v>
          </cell>
          <cell r="AJ156">
            <v>0</v>
          </cell>
          <cell r="AP156" t="e">
            <v>#REF!</v>
          </cell>
        </row>
        <row r="157">
          <cell r="C157" t="e">
            <v>#REF!</v>
          </cell>
          <cell r="N157">
            <v>47</v>
          </cell>
          <cell r="P157">
            <v>-47</v>
          </cell>
          <cell r="Q157">
            <v>140</v>
          </cell>
          <cell r="S157">
            <v>-140</v>
          </cell>
          <cell r="T157">
            <v>105</v>
          </cell>
          <cell r="X157">
            <v>-105</v>
          </cell>
          <cell r="Y157">
            <v>190</v>
          </cell>
          <cell r="AC157">
            <v>-190</v>
          </cell>
          <cell r="AJ157">
            <v>0</v>
          </cell>
          <cell r="AP157" t="e">
            <v>#REF!</v>
          </cell>
        </row>
        <row r="158">
          <cell r="C158" t="e">
            <v>#REF!</v>
          </cell>
          <cell r="N158">
            <v>1248.5</v>
          </cell>
          <cell r="P158">
            <v>-1248.5</v>
          </cell>
          <cell r="Q158">
            <v>140</v>
          </cell>
          <cell r="S158">
            <v>-140</v>
          </cell>
          <cell r="T158" t="str">
            <v xml:space="preserve">                   КОРИГУВАННЯ   ПЛАНУ   НА   СЕРПЕНЬ  1998 р</v>
          </cell>
          <cell r="X158" t="e">
            <v>#VALUE!</v>
          </cell>
          <cell r="Y158">
            <v>1006.7</v>
          </cell>
          <cell r="AC158">
            <v>-1006.7</v>
          </cell>
          <cell r="AJ158">
            <v>0</v>
          </cell>
          <cell r="AP158" t="e">
            <v>#REF!</v>
          </cell>
        </row>
        <row r="159">
          <cell r="C159" t="e">
            <v>#REF!</v>
          </cell>
          <cell r="N159">
            <v>1295.5</v>
          </cell>
          <cell r="P159">
            <v>-1295.5</v>
          </cell>
          <cell r="Q159">
            <v>280</v>
          </cell>
          <cell r="S159">
            <v>-280</v>
          </cell>
          <cell r="X159">
            <v>0</v>
          </cell>
          <cell r="Y159">
            <v>1196.7</v>
          </cell>
          <cell r="AC159">
            <v>-1196.7</v>
          </cell>
          <cell r="AJ159">
            <v>0</v>
          </cell>
        </row>
        <row r="160">
          <cell r="N160">
            <v>0</v>
          </cell>
          <cell r="P160">
            <v>0</v>
          </cell>
          <cell r="Q160">
            <v>2287.7454545454548</v>
          </cell>
          <cell r="S160">
            <v>-2287.7454545454548</v>
          </cell>
          <cell r="X160">
            <v>0</v>
          </cell>
          <cell r="Y160">
            <v>0</v>
          </cell>
          <cell r="AC160">
            <v>0</v>
          </cell>
          <cell r="AJ160">
            <v>0</v>
          </cell>
          <cell r="AP160" t="e">
            <v>#REF!</v>
          </cell>
        </row>
        <row r="161">
          <cell r="C161" t="e">
            <v>#REF!</v>
          </cell>
          <cell r="N161" t="e">
            <v>#REF!</v>
          </cell>
          <cell r="P161" t="e">
            <v>#REF!</v>
          </cell>
          <cell r="Q161">
            <v>776</v>
          </cell>
          <cell r="S161">
            <v>-776</v>
          </cell>
          <cell r="X161">
            <v>0</v>
          </cell>
          <cell r="Y161" t="e">
            <v>#REF!</v>
          </cell>
          <cell r="AC161" t="e">
            <v>#REF!</v>
          </cell>
          <cell r="AJ161">
            <v>0</v>
          </cell>
          <cell r="AP161" t="e">
            <v>#REF!</v>
          </cell>
        </row>
        <row r="162">
          <cell r="C162">
            <v>-1308</v>
          </cell>
          <cell r="N162">
            <v>11268</v>
          </cell>
          <cell r="O162">
            <v>0</v>
          </cell>
          <cell r="P162">
            <v>-11268</v>
          </cell>
          <cell r="Q162">
            <v>1739.5839999999998</v>
          </cell>
          <cell r="R162">
            <v>800</v>
          </cell>
          <cell r="S162">
            <v>-939.58399999999983</v>
          </cell>
          <cell r="T162">
            <v>1183</v>
          </cell>
          <cell r="U162">
            <v>0</v>
          </cell>
          <cell r="V162">
            <v>0</v>
          </cell>
          <cell r="W162">
            <v>0</v>
          </cell>
          <cell r="X162">
            <v>-1183</v>
          </cell>
          <cell r="Y162">
            <v>3527.9775757575753</v>
          </cell>
          <cell r="Z162">
            <v>0</v>
          </cell>
          <cell r="AA162">
            <v>0</v>
          </cell>
          <cell r="AB162">
            <v>432</v>
          </cell>
          <cell r="AC162">
            <v>-3095.9775757575753</v>
          </cell>
          <cell r="AD162" t="e">
            <v>#REF!</v>
          </cell>
          <cell r="AE162">
            <v>2635</v>
          </cell>
          <cell r="AF162">
            <v>0</v>
          </cell>
          <cell r="AG162">
            <v>0</v>
          </cell>
          <cell r="AH162">
            <v>0</v>
          </cell>
          <cell r="AI162">
            <v>0</v>
          </cell>
          <cell r="AJ162" t="e">
            <v>#REF!</v>
          </cell>
          <cell r="AK162">
            <v>0</v>
          </cell>
          <cell r="AL162">
            <v>0</v>
          </cell>
          <cell r="AM162">
            <v>0</v>
          </cell>
          <cell r="AN162" t="e">
            <v>#REF!</v>
          </cell>
          <cell r="AO162">
            <v>1616</v>
          </cell>
          <cell r="AP162" t="e">
            <v>#REF!</v>
          </cell>
          <cell r="AS162">
            <v>2048</v>
          </cell>
        </row>
        <row r="163">
          <cell r="C163">
            <v>0</v>
          </cell>
          <cell r="N163">
            <v>0.20800000000000018</v>
          </cell>
          <cell r="O163">
            <v>0</v>
          </cell>
          <cell r="P163">
            <v>-0.20800000000000018</v>
          </cell>
          <cell r="Q163">
            <v>-0.23600000000000065</v>
          </cell>
          <cell r="R163">
            <v>154</v>
          </cell>
          <cell r="S163">
            <v>154.23599999999999</v>
          </cell>
          <cell r="T163">
            <v>-0.42800000000000082</v>
          </cell>
          <cell r="U163">
            <v>0</v>
          </cell>
          <cell r="V163">
            <v>0</v>
          </cell>
          <cell r="W163">
            <v>79</v>
          </cell>
          <cell r="X163">
            <v>79.427999999999997</v>
          </cell>
          <cell r="Y163">
            <v>6.799999999999784E-2</v>
          </cell>
          <cell r="Z163">
            <v>0</v>
          </cell>
          <cell r="AA163">
            <v>0</v>
          </cell>
          <cell r="AB163">
            <v>86</v>
          </cell>
          <cell r="AC163">
            <v>85.932000000000002</v>
          </cell>
          <cell r="AD163">
            <v>0.28399999999999892</v>
          </cell>
          <cell r="AE163">
            <v>0.28399999999999892</v>
          </cell>
          <cell r="AF163">
            <v>0</v>
          </cell>
          <cell r="AG163">
            <v>30</v>
          </cell>
          <cell r="AH163">
            <v>30</v>
          </cell>
          <cell r="AI163">
            <v>0</v>
          </cell>
          <cell r="AJ163">
            <v>29.716000000000001</v>
          </cell>
          <cell r="AK163">
            <v>0</v>
          </cell>
          <cell r="AL163">
            <v>0</v>
          </cell>
          <cell r="AM163">
            <v>0</v>
          </cell>
          <cell r="AN163" t="e">
            <v>#REF!</v>
          </cell>
          <cell r="AO163">
            <v>0</v>
          </cell>
          <cell r="AP163" t="e">
            <v>#REF!</v>
          </cell>
          <cell r="AS163">
            <v>195</v>
          </cell>
        </row>
        <row r="164">
          <cell r="C164">
            <v>1334.2</v>
          </cell>
          <cell r="N164">
            <v>8907.5227272727279</v>
          </cell>
          <cell r="O164">
            <v>2062</v>
          </cell>
          <cell r="P164">
            <v>-6845.5227272727279</v>
          </cell>
          <cell r="Q164">
            <v>18788.680909090908</v>
          </cell>
          <cell r="R164">
            <v>5523</v>
          </cell>
          <cell r="S164">
            <v>-13265.680909090908</v>
          </cell>
          <cell r="T164">
            <v>6953.1772727272728</v>
          </cell>
          <cell r="U164">
            <v>3221</v>
          </cell>
          <cell r="V164">
            <v>3732.1772727272732</v>
          </cell>
          <cell r="W164">
            <v>2210</v>
          </cell>
          <cell r="X164">
            <v>-4743.1772727272728</v>
          </cell>
          <cell r="Y164">
            <v>5686.5072727272727</v>
          </cell>
          <cell r="Z164">
            <v>2495</v>
          </cell>
          <cell r="AA164">
            <v>3191.5072727272727</v>
          </cell>
          <cell r="AB164">
            <v>1749</v>
          </cell>
          <cell r="AC164">
            <v>-3937.5072727272727</v>
          </cell>
          <cell r="AD164">
            <v>16785.066363636361</v>
          </cell>
          <cell r="AE164">
            <v>15260.045454545454</v>
          </cell>
          <cell r="AF164">
            <v>1525.0209090909086</v>
          </cell>
          <cell r="AG164">
            <v>4464</v>
          </cell>
          <cell r="AH164">
            <v>3202</v>
          </cell>
          <cell r="AI164">
            <v>427</v>
          </cell>
          <cell r="AJ164">
            <v>-12321.066363636361</v>
          </cell>
          <cell r="AK164">
            <v>0</v>
          </cell>
          <cell r="AL164">
            <v>0</v>
          </cell>
          <cell r="AM164">
            <v>0</v>
          </cell>
          <cell r="AN164" t="e">
            <v>#REF!</v>
          </cell>
          <cell r="AO164">
            <v>0</v>
          </cell>
          <cell r="AP164" t="e">
            <v>#REF!</v>
          </cell>
          <cell r="AS164">
            <v>13703</v>
          </cell>
        </row>
        <row r="165">
          <cell r="C165">
            <v>37</v>
          </cell>
          <cell r="N165">
            <v>182.13333333333333</v>
          </cell>
          <cell r="O165">
            <v>51</v>
          </cell>
          <cell r="P165">
            <v>-131.13333333333333</v>
          </cell>
          <cell r="Q165">
            <v>338.73333333333335</v>
          </cell>
          <cell r="R165">
            <v>62</v>
          </cell>
          <cell r="S165">
            <v>-276.73333333333335</v>
          </cell>
          <cell r="T165">
            <v>6969.3333333333339</v>
          </cell>
          <cell r="U165">
            <v>3406</v>
          </cell>
          <cell r="V165">
            <v>3563.3333333333339</v>
          </cell>
          <cell r="W165">
            <v>2464</v>
          </cell>
          <cell r="X165">
            <v>-4505.3333333333339</v>
          </cell>
          <cell r="Y165">
            <v>521.46666666666658</v>
          </cell>
          <cell r="Z165">
            <v>57</v>
          </cell>
          <cell r="AA165">
            <v>74.533333333333331</v>
          </cell>
          <cell r="AB165">
            <v>27</v>
          </cell>
          <cell r="AC165">
            <v>-494.46666666666658</v>
          </cell>
          <cell r="AD165">
            <v>157.30000000000001</v>
          </cell>
          <cell r="AE165">
            <v>139</v>
          </cell>
          <cell r="AF165">
            <v>18.3</v>
          </cell>
          <cell r="AG165">
            <v>44</v>
          </cell>
          <cell r="AH165">
            <v>15</v>
          </cell>
          <cell r="AI165">
            <v>29</v>
          </cell>
          <cell r="AJ165">
            <v>-113.30000000000001</v>
          </cell>
          <cell r="AK165">
            <v>0</v>
          </cell>
          <cell r="AL165">
            <v>0</v>
          </cell>
          <cell r="AM165">
            <v>0</v>
          </cell>
          <cell r="AN165">
            <v>19</v>
          </cell>
          <cell r="AO165">
            <v>0</v>
          </cell>
          <cell r="AP165">
            <v>8111.6666666666679</v>
          </cell>
          <cell r="AS165">
            <v>2610</v>
          </cell>
        </row>
        <row r="166">
          <cell r="C166">
            <v>4759.7580000000007</v>
          </cell>
          <cell r="N166">
            <v>10466.242666666667</v>
          </cell>
          <cell r="Q166">
            <v>64050.961666666662</v>
          </cell>
          <cell r="T166">
            <v>14053.934666666624</v>
          </cell>
          <cell r="Y166">
            <v>8714.5757575757561</v>
          </cell>
          <cell r="AE166">
            <v>15854.354000000003</v>
          </cell>
          <cell r="AG166">
            <v>2466</v>
          </cell>
          <cell r="AH166">
            <v>2561</v>
          </cell>
          <cell r="AN166" t="e">
            <v>#REF!</v>
          </cell>
          <cell r="AP166" t="e">
            <v>#REF!</v>
          </cell>
        </row>
        <row r="167">
          <cell r="C167" t="e">
            <v>#REF!</v>
          </cell>
          <cell r="N167">
            <v>5092</v>
          </cell>
        </row>
        <row r="168">
          <cell r="C168" t="e">
            <v>#REF!</v>
          </cell>
        </row>
        <row r="169">
          <cell r="C169" t="e">
            <v>#REF!</v>
          </cell>
        </row>
        <row r="170">
          <cell r="AV170">
            <v>1507.2</v>
          </cell>
        </row>
        <row r="173">
          <cell r="C173" t="str">
            <v>АПАРАТ ВСЬОГО</v>
          </cell>
          <cell r="D173" t="str">
            <v>АПАРАТ ЕЛЕКТРО</v>
          </cell>
          <cell r="E173" t="str">
            <v>АПАРАТ ТЕПЛО</v>
          </cell>
          <cell r="N173" t="str">
            <v>ККМ</v>
          </cell>
          <cell r="Q173" t="str">
            <v>КТМ</v>
          </cell>
          <cell r="U173">
            <v>250</v>
          </cell>
          <cell r="Y173" t="str">
            <v>ТЕЦ-6 ВСЬОГО</v>
          </cell>
          <cell r="Z173" t="str">
            <v>Е/Е</v>
          </cell>
          <cell r="AA173" t="str">
            <v xml:space="preserve"> Т/Е</v>
          </cell>
          <cell r="AN173" t="str">
            <v>ДОП.ВИР. СТ.ОРГ.</v>
          </cell>
          <cell r="AP173" t="str">
            <v>АК КЕ ВСЬОГО</v>
          </cell>
          <cell r="AQ173" t="str">
            <v>Е/Е</v>
          </cell>
          <cell r="AR173" t="str">
            <v xml:space="preserve"> Т/Е</v>
          </cell>
          <cell r="AU173" t="str">
            <v>очикуваемАК КЕ ВСЬОГО</v>
          </cell>
          <cell r="AV173" t="str">
            <v>Е/Е</v>
          </cell>
          <cell r="AW173" t="str">
            <v xml:space="preserve"> Т/Е</v>
          </cell>
        </row>
        <row r="174">
          <cell r="C174">
            <v>1.895</v>
          </cell>
          <cell r="N174">
            <v>1.847</v>
          </cell>
          <cell r="Q174">
            <v>1.895</v>
          </cell>
          <cell r="U174">
            <v>1.895</v>
          </cell>
          <cell r="V174">
            <v>1.895</v>
          </cell>
          <cell r="Y174">
            <v>1.895</v>
          </cell>
          <cell r="Z174">
            <v>1.895</v>
          </cell>
          <cell r="AA174">
            <v>1.895</v>
          </cell>
          <cell r="AN174">
            <v>1.895</v>
          </cell>
          <cell r="AP174">
            <v>1.895</v>
          </cell>
          <cell r="AQ174">
            <v>1.895</v>
          </cell>
          <cell r="AU174">
            <v>1.905</v>
          </cell>
          <cell r="AV174">
            <v>1.895</v>
          </cell>
        </row>
        <row r="176">
          <cell r="Q176">
            <v>132.19999999999999</v>
          </cell>
          <cell r="Y176">
            <v>68.7</v>
          </cell>
          <cell r="AP176">
            <v>200.89999999999998</v>
          </cell>
          <cell r="AU176">
            <v>251.12700000000001</v>
          </cell>
        </row>
        <row r="177">
          <cell r="Q177">
            <v>150.5</v>
          </cell>
          <cell r="U177">
            <v>150.5</v>
          </cell>
          <cell r="Y177">
            <v>78.3</v>
          </cell>
          <cell r="AP177">
            <v>228.8</v>
          </cell>
          <cell r="AU177">
            <v>288.28500000000003</v>
          </cell>
        </row>
        <row r="178">
          <cell r="N178">
            <v>0</v>
          </cell>
          <cell r="Q178">
            <v>82.5</v>
          </cell>
          <cell r="U178">
            <v>82.5</v>
          </cell>
          <cell r="Y178">
            <v>82.5</v>
          </cell>
          <cell r="AP178">
            <v>82.5</v>
          </cell>
          <cell r="AU178">
            <v>66</v>
          </cell>
        </row>
        <row r="179">
          <cell r="N179">
            <v>0</v>
          </cell>
          <cell r="Q179">
            <v>156.34</v>
          </cell>
          <cell r="U179">
            <v>156.34</v>
          </cell>
          <cell r="Y179">
            <v>156.34</v>
          </cell>
          <cell r="AP179">
            <v>156.34</v>
          </cell>
          <cell r="AU179">
            <v>125.73</v>
          </cell>
        </row>
        <row r="180">
          <cell r="Q180">
            <v>20668</v>
          </cell>
          <cell r="U180">
            <v>0</v>
          </cell>
          <cell r="Y180">
            <v>10741</v>
          </cell>
          <cell r="AP180">
            <v>31409</v>
          </cell>
          <cell r="AU180">
            <v>31574</v>
          </cell>
        </row>
        <row r="181">
          <cell r="AP181">
            <v>31409</v>
          </cell>
          <cell r="AU181" t="e">
            <v>#REF!</v>
          </cell>
        </row>
        <row r="182">
          <cell r="Q182">
            <v>0</v>
          </cell>
          <cell r="U182">
            <v>0</v>
          </cell>
          <cell r="Y182">
            <v>52.1</v>
          </cell>
          <cell r="AP182">
            <v>52.1</v>
          </cell>
          <cell r="AU182">
            <v>67.933000000000007</v>
          </cell>
        </row>
        <row r="183">
          <cell r="Q183">
            <v>0</v>
          </cell>
          <cell r="U183">
            <v>0</v>
          </cell>
          <cell r="Y183">
            <v>71.3</v>
          </cell>
          <cell r="AP183">
            <v>71.3</v>
          </cell>
          <cell r="AU183">
            <v>91.201999999999998</v>
          </cell>
        </row>
        <row r="184">
          <cell r="C184">
            <v>75</v>
          </cell>
          <cell r="N184">
            <v>75</v>
          </cell>
          <cell r="AN184">
            <v>0</v>
          </cell>
          <cell r="AP184">
            <v>98.96042216358839</v>
          </cell>
          <cell r="AU184">
            <v>98.96042216358839</v>
          </cell>
        </row>
        <row r="185">
          <cell r="Q185">
            <v>187.53</v>
          </cell>
          <cell r="U185">
            <v>0</v>
          </cell>
          <cell r="Y185">
            <v>187.53</v>
          </cell>
          <cell r="AP185">
            <v>187.53</v>
          </cell>
          <cell r="AU185">
            <v>187.53</v>
          </cell>
        </row>
        <row r="186">
          <cell r="Q186">
            <v>0</v>
          </cell>
          <cell r="T186">
            <v>0</v>
          </cell>
          <cell r="Y186">
            <v>9770</v>
          </cell>
          <cell r="AP186">
            <v>9770</v>
          </cell>
          <cell r="AU186">
            <v>12739</v>
          </cell>
        </row>
        <row r="187">
          <cell r="AP187">
            <v>9770</v>
          </cell>
          <cell r="AU187" t="e">
            <v>#REF!</v>
          </cell>
        </row>
        <row r="188">
          <cell r="Q188">
            <v>150.5</v>
          </cell>
          <cell r="T188">
            <v>0</v>
          </cell>
          <cell r="U188">
            <v>51.4</v>
          </cell>
          <cell r="V188">
            <v>-51.4</v>
          </cell>
          <cell r="Y188">
            <v>149.6</v>
          </cell>
          <cell r="Z188">
            <v>52.7</v>
          </cell>
          <cell r="AA188">
            <v>96.899999999999991</v>
          </cell>
          <cell r="AP188">
            <v>300.10000000000002</v>
          </cell>
          <cell r="AQ188">
            <v>104.1</v>
          </cell>
          <cell r="AR188">
            <v>196</v>
          </cell>
          <cell r="AU188">
            <v>379.48700000000002</v>
          </cell>
          <cell r="AV188">
            <v>83.676000000000002</v>
          </cell>
          <cell r="AW188">
            <v>295.81100000000004</v>
          </cell>
        </row>
        <row r="189">
          <cell r="Q189">
            <v>20668</v>
          </cell>
          <cell r="T189">
            <v>0</v>
          </cell>
          <cell r="U189" t="e">
            <v>#DIV/0!</v>
          </cell>
          <cell r="V189" t="e">
            <v>#DIV/0!</v>
          </cell>
          <cell r="Y189">
            <v>20511</v>
          </cell>
          <cell r="Z189">
            <v>7225</v>
          </cell>
          <cell r="AA189">
            <v>13286</v>
          </cell>
          <cell r="AP189" t="e">
            <v>#DIV/0!</v>
          </cell>
          <cell r="AQ189" t="e">
            <v>#DIV/0!</v>
          </cell>
          <cell r="AR189" t="e">
            <v>#DIV/0!</v>
          </cell>
          <cell r="AU189">
            <v>44313</v>
          </cell>
          <cell r="AV189">
            <v>9770.9133329995493</v>
          </cell>
          <cell r="AW189">
            <v>34542.086667000447</v>
          </cell>
        </row>
        <row r="190">
          <cell r="Q190">
            <v>137.33000000000001</v>
          </cell>
          <cell r="T190" t="e">
            <v>#DIV/0!</v>
          </cell>
          <cell r="U190" t="e">
            <v>#DIV/0!</v>
          </cell>
          <cell r="V190" t="e">
            <v>#DIV/0!</v>
          </cell>
          <cell r="Y190">
            <v>137.11000000000001</v>
          </cell>
          <cell r="Z190">
            <v>137.1</v>
          </cell>
          <cell r="AA190">
            <v>137.11000000000001</v>
          </cell>
          <cell r="AN190">
            <v>0</v>
          </cell>
          <cell r="AP190" t="e">
            <v>#DIV/0!</v>
          </cell>
          <cell r="AQ190" t="e">
            <v>#DIV/0!</v>
          </cell>
          <cell r="AR190" t="e">
            <v>#DIV/0!</v>
          </cell>
          <cell r="AU190">
            <v>116.77</v>
          </cell>
          <cell r="AV190">
            <v>116.77</v>
          </cell>
          <cell r="AW190">
            <v>116.77</v>
          </cell>
        </row>
        <row r="191">
          <cell r="AP191">
            <v>0</v>
          </cell>
          <cell r="AQ191">
            <v>0</v>
          </cell>
          <cell r="AR191">
            <v>0</v>
          </cell>
          <cell r="AU191">
            <v>0</v>
          </cell>
          <cell r="AV191">
            <v>0</v>
          </cell>
          <cell r="AW191">
            <v>0</v>
          </cell>
        </row>
        <row r="192">
          <cell r="T192" t="e">
            <v>#DIV/0!</v>
          </cell>
          <cell r="Y192">
            <v>20511</v>
          </cell>
          <cell r="AP192" t="e">
            <v>#DIV/0!</v>
          </cell>
          <cell r="AQ192" t="e">
            <v>#DIV/0!</v>
          </cell>
          <cell r="AR192" t="e">
            <v>#DIV/0!</v>
          </cell>
          <cell r="AU192">
            <v>44313</v>
          </cell>
          <cell r="AV192">
            <v>9770.9133329995493</v>
          </cell>
          <cell r="AW192">
            <v>34542.086667000447</v>
          </cell>
        </row>
        <row r="195">
          <cell r="T195" t="str">
            <v>ТЕЦ-5 ВСЬОГО</v>
          </cell>
          <cell r="U195" t="str">
            <v>Е/Е</v>
          </cell>
          <cell r="V195" t="str">
            <v xml:space="preserve"> Т/Е</v>
          </cell>
          <cell r="Y195" t="str">
            <v>ТЕЦ-6 ВСЬОГО</v>
          </cell>
          <cell r="Z195" t="str">
            <v>Е/Е</v>
          </cell>
          <cell r="AA195" t="str">
            <v xml:space="preserve"> Т/Е</v>
          </cell>
          <cell r="AP195" t="str">
            <v>АК КЕ ВСЬОГО</v>
          </cell>
          <cell r="AQ195" t="str">
            <v>Е/Е</v>
          </cell>
          <cell r="AR195" t="str">
            <v xml:space="preserve"> Т/Е</v>
          </cell>
        </row>
        <row r="196">
          <cell r="U196">
            <v>291.85000000000002</v>
          </cell>
          <cell r="V196">
            <v>750</v>
          </cell>
          <cell r="Z196">
            <v>268.14999999999998</v>
          </cell>
          <cell r="AA196">
            <v>590</v>
          </cell>
        </row>
        <row r="197">
          <cell r="U197">
            <v>176.1</v>
          </cell>
          <cell r="V197">
            <v>163.6</v>
          </cell>
          <cell r="Z197">
            <v>196.5</v>
          </cell>
          <cell r="AA197">
            <v>164.2</v>
          </cell>
        </row>
        <row r="198">
          <cell r="U198">
            <v>306.60000000000002</v>
          </cell>
          <cell r="V198">
            <v>112.8</v>
          </cell>
          <cell r="Z198">
            <v>301.89999999999998</v>
          </cell>
          <cell r="AA198">
            <v>116.3</v>
          </cell>
        </row>
        <row r="199">
          <cell r="U199">
            <v>130.50000000000003</v>
          </cell>
          <cell r="V199">
            <v>-50.8</v>
          </cell>
          <cell r="Z199">
            <v>105.39999999999998</v>
          </cell>
          <cell r="AA199">
            <v>-47.899999999999991</v>
          </cell>
        </row>
        <row r="200">
          <cell r="U200" t="e">
            <v>#DIV/0!</v>
          </cell>
          <cell r="V200" t="e">
            <v>#DIV/0!</v>
          </cell>
          <cell r="Z200">
            <v>137.1</v>
          </cell>
          <cell r="AA200">
            <v>137.11000000000001</v>
          </cell>
        </row>
        <row r="201">
          <cell r="U201" t="e">
            <v>#DIV/0!</v>
          </cell>
          <cell r="V201" t="e">
            <v>#DIV/0!</v>
          </cell>
          <cell r="Z201">
            <v>14.450339999999997</v>
          </cell>
          <cell r="AA201">
            <v>-6.5675689999999998</v>
          </cell>
        </row>
        <row r="202">
          <cell r="U202" t="e">
            <v>#DIV/0!</v>
          </cell>
          <cell r="V202" t="e">
            <v>#DIV/0!</v>
          </cell>
          <cell r="Z202">
            <v>3874.858670999999</v>
          </cell>
          <cell r="AA202">
            <v>-3874.86571</v>
          </cell>
          <cell r="AQ202" t="e">
            <v>#DIV/0!</v>
          </cell>
          <cell r="AR202" t="e">
            <v>#DIV/0!</v>
          </cell>
        </row>
        <row r="204">
          <cell r="AV204">
            <v>1507.2</v>
          </cell>
        </row>
        <row r="218">
          <cell r="Y218" t="str">
            <v>ЗАТВЕРДЖУЮ</v>
          </cell>
        </row>
        <row r="219">
          <cell r="Y219" t="str">
            <v>ГОЛОВА ПРАЛІННЯ АК КЕ</v>
          </cell>
        </row>
        <row r="220">
          <cell r="Z220" t="str">
            <v>І.В.ПЛАЧКОВ</v>
          </cell>
        </row>
        <row r="221">
          <cell r="C221" t="str">
            <v>ПОТРЕБА   В КОШТАХ НА  1 КВАРТАЛ 1998 року</v>
          </cell>
        </row>
        <row r="222">
          <cell r="C222" t="str">
            <v>ПО ФІЛІАЛАХ АК КИЇВЕНЕРГО</v>
          </cell>
        </row>
        <row r="224">
          <cell r="C224" t="str">
            <v>ВИКОН.ДИР.</v>
          </cell>
          <cell r="D224" t="str">
            <v>АПАРАТ ЕЛЕКТРО</v>
          </cell>
          <cell r="E224" t="str">
            <v>АПАРАТ ТЕПЛО</v>
          </cell>
          <cell r="N224" t="str">
            <v>ККМ</v>
          </cell>
          <cell r="Q224" t="str">
            <v>КТМ</v>
          </cell>
          <cell r="T224" t="str">
            <v>ТЕЦ-5 ВСЬОГО</v>
          </cell>
          <cell r="U224" t="str">
            <v>Е/Е</v>
          </cell>
          <cell r="V224" t="str">
            <v xml:space="preserve"> Т/Е</v>
          </cell>
          <cell r="Y224" t="str">
            <v>ТЕЦ-6 ВСЬОГО</v>
          </cell>
          <cell r="Z224" t="str">
            <v>Е/Е</v>
          </cell>
          <cell r="AA224" t="str">
            <v xml:space="preserve"> Т/Е</v>
          </cell>
          <cell r="AN224" t="str">
            <v>ДОП.ВИР. СТ.ОРГ.</v>
          </cell>
          <cell r="AP224" t="str">
            <v>АК КЕ ВСЬОГО</v>
          </cell>
          <cell r="AQ224" t="str">
            <v>Е/Е</v>
          </cell>
          <cell r="AR224" t="str">
            <v xml:space="preserve"> Т/Е</v>
          </cell>
          <cell r="AU224" t="str">
            <v>СТАНЦІї ЕЛЕКТРО</v>
          </cell>
          <cell r="AV224" t="str">
            <v>СТАНЦІІ ТЕПЛОВІ</v>
          </cell>
          <cell r="AW224" t="str">
            <v>МЕРЕЖІ ЕЛЕКТРО</v>
          </cell>
          <cell r="AX224" t="str">
            <v>МЕРЕЖІ ТЕПЛОВІ</v>
          </cell>
        </row>
        <row r="227">
          <cell r="C227" t="e">
            <v>#REF!</v>
          </cell>
          <cell r="N227" t="e">
            <v>#REF!</v>
          </cell>
          <cell r="Q227">
            <v>69193.196636363631</v>
          </cell>
          <cell r="T227">
            <v>32514.380545454504</v>
          </cell>
          <cell r="Y227" t="e">
            <v>#REF!</v>
          </cell>
          <cell r="AN227" t="e">
            <v>#REF!</v>
          </cell>
          <cell r="AP227" t="e">
            <v>#REF!</v>
          </cell>
          <cell r="AQ227" t="e">
            <v>#REF!</v>
          </cell>
        </row>
        <row r="228">
          <cell r="C228" t="e">
            <v>#REF!</v>
          </cell>
          <cell r="N228" t="e">
            <v>#REF!</v>
          </cell>
          <cell r="Q228">
            <v>27763.491727272722</v>
          </cell>
          <cell r="T228">
            <v>16841.725272727232</v>
          </cell>
          <cell r="Y228" t="e">
            <v>#REF!</v>
          </cell>
          <cell r="AP228" t="e">
            <v>#REF!</v>
          </cell>
          <cell r="AQ228" t="e">
            <v>#REF!</v>
          </cell>
        </row>
        <row r="230">
          <cell r="C230">
            <v>1334.2</v>
          </cell>
          <cell r="N230">
            <v>8907.5227272727279</v>
          </cell>
          <cell r="Q230">
            <v>18788.680909090908</v>
          </cell>
          <cell r="T230">
            <v>6953.1772727272728</v>
          </cell>
          <cell r="Y230">
            <v>5686.5072727272727</v>
          </cell>
          <cell r="AN230" t="e">
            <v>#REF!</v>
          </cell>
          <cell r="AP230" t="e">
            <v>#REF!</v>
          </cell>
          <cell r="AQ230" t="e">
            <v>#REF!</v>
          </cell>
        </row>
        <row r="231">
          <cell r="C231">
            <v>416.54545454545456</v>
          </cell>
          <cell r="N231">
            <v>2827</v>
          </cell>
          <cell r="Q231">
            <v>5124</v>
          </cell>
          <cell r="T231">
            <v>1895</v>
          </cell>
          <cell r="Y231">
            <v>1550</v>
          </cell>
          <cell r="AP231" t="e">
            <v>#REF!</v>
          </cell>
          <cell r="AQ231" t="e">
            <v>#REF!</v>
          </cell>
        </row>
        <row r="232">
          <cell r="AQ232" t="e">
            <v>#REF!</v>
          </cell>
        </row>
        <row r="233">
          <cell r="C233">
            <v>0</v>
          </cell>
          <cell r="N233">
            <v>0</v>
          </cell>
          <cell r="Q233">
            <v>149.13333333333333</v>
          </cell>
          <cell r="T233">
            <v>6799.4000000000005</v>
          </cell>
          <cell r="Y233">
            <v>131.53333333333333</v>
          </cell>
          <cell r="AP233">
            <v>7084.0666666666675</v>
          </cell>
          <cell r="AQ233" t="e">
            <v>#REF!</v>
          </cell>
        </row>
        <row r="234">
          <cell r="C234">
            <v>0</v>
          </cell>
          <cell r="N234">
            <v>0</v>
          </cell>
          <cell r="Q234">
            <v>0</v>
          </cell>
          <cell r="T234">
            <v>0</v>
          </cell>
          <cell r="Y234">
            <v>0</v>
          </cell>
          <cell r="AP234">
            <v>19</v>
          </cell>
          <cell r="AQ234" t="e">
            <v>#REF!</v>
          </cell>
        </row>
        <row r="235">
          <cell r="C235">
            <v>561</v>
          </cell>
          <cell r="N235">
            <v>0</v>
          </cell>
          <cell r="Q235">
            <v>526.04999999999995</v>
          </cell>
          <cell r="T235">
            <v>0</v>
          </cell>
          <cell r="Y235">
            <v>0</v>
          </cell>
          <cell r="AP235" t="e">
            <v>#REF!</v>
          </cell>
          <cell r="AQ235" t="e">
            <v>#REF!</v>
          </cell>
        </row>
        <row r="236">
          <cell r="AQ236" t="e">
            <v>#REF!</v>
          </cell>
        </row>
        <row r="237">
          <cell r="C237">
            <v>-1308</v>
          </cell>
          <cell r="N237">
            <v>11268</v>
          </cell>
          <cell r="Q237">
            <v>1739.5839999999998</v>
          </cell>
          <cell r="T237">
            <v>1183</v>
          </cell>
          <cell r="Y237">
            <v>3527.9775757575753</v>
          </cell>
          <cell r="AP237" t="e">
            <v>#REF!</v>
          </cell>
          <cell r="AQ237" t="e">
            <v>#REF!</v>
          </cell>
        </row>
        <row r="238">
          <cell r="C238">
            <v>916.24199999999996</v>
          </cell>
          <cell r="N238">
            <v>0</v>
          </cell>
          <cell r="Q238">
            <v>0</v>
          </cell>
          <cell r="T238">
            <v>0</v>
          </cell>
          <cell r="Y238">
            <v>0</v>
          </cell>
          <cell r="AP238">
            <v>0</v>
          </cell>
          <cell r="AQ238" t="e">
            <v>#REF!</v>
          </cell>
        </row>
        <row r="239">
          <cell r="AQ239" t="e">
            <v>#REF!</v>
          </cell>
        </row>
        <row r="240">
          <cell r="C240" t="e">
            <v>#REF!</v>
          </cell>
          <cell r="N240" t="e">
            <v>#REF!</v>
          </cell>
          <cell r="Q240">
            <v>776</v>
          </cell>
          <cell r="T240">
            <v>0</v>
          </cell>
          <cell r="Y240" t="e">
            <v>#REF!</v>
          </cell>
          <cell r="AP240" t="e">
            <v>#REF!</v>
          </cell>
          <cell r="AQ240" t="e">
            <v>#REF!</v>
          </cell>
        </row>
        <row r="241">
          <cell r="AQ241" t="e">
            <v>#REF!</v>
          </cell>
        </row>
        <row r="242">
          <cell r="AQ242" t="e">
            <v>#REF!</v>
          </cell>
        </row>
        <row r="243">
          <cell r="C243">
            <v>1252</v>
          </cell>
          <cell r="N243">
            <v>3387</v>
          </cell>
          <cell r="Q243">
            <v>6353</v>
          </cell>
          <cell r="T243">
            <v>929.25866666666661</v>
          </cell>
          <cell r="Y243">
            <v>737.22533333333331</v>
          </cell>
          <cell r="AP243">
            <v>16015.366500142667</v>
          </cell>
          <cell r="AQ243" t="e">
            <v>#REF!</v>
          </cell>
        </row>
        <row r="244">
          <cell r="C244">
            <v>521</v>
          </cell>
          <cell r="N244">
            <v>59</v>
          </cell>
          <cell r="Q244">
            <v>921</v>
          </cell>
          <cell r="T244">
            <v>372.62666666666667</v>
          </cell>
          <cell r="Y244">
            <v>389.78399999999999</v>
          </cell>
          <cell r="AP244">
            <v>2426.6078749021572</v>
          </cell>
          <cell r="AQ244" t="e">
            <v>#REF!</v>
          </cell>
        </row>
        <row r="245">
          <cell r="AQ245" t="e">
            <v>#REF!</v>
          </cell>
        </row>
        <row r="246">
          <cell r="C246">
            <v>4</v>
          </cell>
          <cell r="N246">
            <v>1</v>
          </cell>
          <cell r="Q246">
            <v>0</v>
          </cell>
          <cell r="T246">
            <v>138.19266666666664</v>
          </cell>
          <cell r="Y246">
            <v>-46.472000000000008</v>
          </cell>
          <cell r="AP246">
            <v>96.720666666666631</v>
          </cell>
          <cell r="AQ246" t="e">
            <v>#REF!</v>
          </cell>
        </row>
        <row r="247">
          <cell r="C247">
            <v>53</v>
          </cell>
          <cell r="N247">
            <v>317.95266666666669</v>
          </cell>
          <cell r="Q247">
            <v>14676.890666666668</v>
          </cell>
          <cell r="T247">
            <v>0</v>
          </cell>
          <cell r="Y247">
            <v>0</v>
          </cell>
          <cell r="AP247">
            <v>17860.515333333333</v>
          </cell>
          <cell r="AQ247" t="e">
            <v>#REF!</v>
          </cell>
        </row>
        <row r="248">
          <cell r="C248">
            <v>0</v>
          </cell>
          <cell r="N248">
            <v>0</v>
          </cell>
          <cell r="Q248">
            <v>0</v>
          </cell>
          <cell r="T248">
            <v>0</v>
          </cell>
          <cell r="Y248">
            <v>0</v>
          </cell>
          <cell r="AP248">
            <v>658.33066666666662</v>
          </cell>
          <cell r="AQ248" t="e">
            <v>#REF!</v>
          </cell>
        </row>
        <row r="249">
          <cell r="C249">
            <v>3706</v>
          </cell>
          <cell r="N249">
            <v>0</v>
          </cell>
          <cell r="Q249">
            <v>0</v>
          </cell>
          <cell r="T249">
            <v>0</v>
          </cell>
          <cell r="Y249">
            <v>18</v>
          </cell>
          <cell r="AP249">
            <v>3724</v>
          </cell>
          <cell r="AQ249" t="e">
            <v>#REF!</v>
          </cell>
        </row>
        <row r="250">
          <cell r="C250">
            <v>0</v>
          </cell>
          <cell r="N250">
            <v>0.20800000000000018</v>
          </cell>
          <cell r="Q250">
            <v>0.76399999999998158</v>
          </cell>
          <cell r="T250">
            <v>-0.42800000000000082</v>
          </cell>
          <cell r="Y250">
            <v>6.799999999999784E-2</v>
          </cell>
          <cell r="AP250" t="e">
            <v>#REF!</v>
          </cell>
          <cell r="AQ250" t="e">
            <v>#REF!</v>
          </cell>
        </row>
        <row r="251">
          <cell r="C251">
            <v>0</v>
          </cell>
          <cell r="N251">
            <v>0.19200000000000017</v>
          </cell>
          <cell r="Q251">
            <v>-0.32000000000000028</v>
          </cell>
          <cell r="T251">
            <v>-0.3360000000000003</v>
          </cell>
          <cell r="Y251">
            <v>0.28000000000000114</v>
          </cell>
          <cell r="AP251" t="e">
            <v>#REF!</v>
          </cell>
          <cell r="AQ251" t="e">
            <v>#REF!</v>
          </cell>
        </row>
        <row r="252">
          <cell r="C252" t="e">
            <v>#REF!</v>
          </cell>
          <cell r="N252" t="e">
            <v>#REF!</v>
          </cell>
          <cell r="Q252">
            <v>24721.41372727272</v>
          </cell>
          <cell r="T252">
            <v>15659.489272727227</v>
          </cell>
          <cell r="Y252" t="e">
            <v>#REF!</v>
          </cell>
          <cell r="AP252" t="e">
            <v>#REF!</v>
          </cell>
          <cell r="AQ252" t="e">
            <v>#REF!</v>
          </cell>
        </row>
        <row r="253">
          <cell r="Q253">
            <v>541</v>
          </cell>
          <cell r="T253">
            <v>480</v>
          </cell>
          <cell r="Y253">
            <v>44</v>
          </cell>
          <cell r="AP253">
            <v>524</v>
          </cell>
          <cell r="AQ253" t="e">
            <v>#REF!</v>
          </cell>
        </row>
        <row r="293">
          <cell r="T293" t="str">
            <v>Собівартість</v>
          </cell>
        </row>
        <row r="294">
          <cell r="V294">
            <v>-25</v>
          </cell>
        </row>
        <row r="295">
          <cell r="V295">
            <v>-1.375</v>
          </cell>
        </row>
        <row r="296">
          <cell r="V296">
            <v>-8</v>
          </cell>
        </row>
        <row r="297">
          <cell r="V297">
            <v>-2.1590909090909096</v>
          </cell>
        </row>
        <row r="303">
          <cell r="T303" t="str">
            <v>ФМЗ ( з відрахуван)</v>
          </cell>
          <cell r="V303">
            <v>25</v>
          </cell>
        </row>
      </sheetData>
      <sheetData sheetId="41" refreshError="1">
        <row r="16">
          <cell r="AP16" t="str">
            <v>ЗАТВЕРДЖУЮ</v>
          </cell>
        </row>
        <row r="17">
          <cell r="C17" t="str">
            <v>І.В.ПЛАЧКОВ</v>
          </cell>
          <cell r="AP17" t="str">
            <v>ГОЛОВА ПРАЛІННЯ АК КЕ</v>
          </cell>
        </row>
        <row r="22">
          <cell r="AV22" t="str">
            <v>І.В.ПЛАЧКОВ</v>
          </cell>
        </row>
        <row r="29">
          <cell r="N29" t="str">
            <v>+</v>
          </cell>
          <cell r="Q29" t="str">
            <v>+</v>
          </cell>
          <cell r="T29" t="str">
            <v>+</v>
          </cell>
          <cell r="Y29" t="str">
            <v>+</v>
          </cell>
          <cell r="AD29" t="str">
            <v>+</v>
          </cell>
          <cell r="AE29" t="str">
            <v>+</v>
          </cell>
          <cell r="AF29" t="str">
            <v>+</v>
          </cell>
        </row>
        <row r="30">
          <cell r="C30" t="str">
            <v>ВИКОН.ДИР.ПЛАН</v>
          </cell>
          <cell r="D30" t="str">
            <v>Е/Е</v>
          </cell>
          <cell r="E30" t="str">
            <v xml:space="preserve"> Т/Е</v>
          </cell>
          <cell r="N30" t="str">
            <v xml:space="preserve">ККМ ПЛАН </v>
          </cell>
          <cell r="O30" t="str">
            <v>ЗВІТ</v>
          </cell>
          <cell r="P30" t="str">
            <v>ВІДХ.</v>
          </cell>
          <cell r="Q30" t="str">
            <v>КТМ ПЛАН</v>
          </cell>
          <cell r="R30" t="str">
            <v>ЗВІТ</v>
          </cell>
          <cell r="S30" t="str">
            <v>ВІДХ.</v>
          </cell>
          <cell r="T30" t="str">
            <v>ТЕЦ-5   ПЛАН</v>
          </cell>
          <cell r="U30" t="str">
            <v>Е/Е</v>
          </cell>
          <cell r="V30" t="str">
            <v xml:space="preserve"> Т/Е</v>
          </cell>
          <cell r="W30" t="str">
            <v>ЗВІТ</v>
          </cell>
          <cell r="X30" t="str">
            <v>ВІДХ.</v>
          </cell>
          <cell r="Y30" t="str">
            <v>ТЕЦ-6  ПЛАН</v>
          </cell>
          <cell r="Z30" t="str">
            <v>Е/Е</v>
          </cell>
          <cell r="AA30" t="str">
            <v xml:space="preserve"> Т/Е</v>
          </cell>
          <cell r="AB30" t="str">
            <v>ЗВІТ</v>
          </cell>
          <cell r="AC30" t="str">
            <v>ВІДХ.</v>
          </cell>
          <cell r="AD30" t="str">
            <v>ТРМ ВСЬОГО ПЛАН</v>
          </cell>
          <cell r="AE30" t="str">
            <v>ТРМ АК ПЛАН</v>
          </cell>
          <cell r="AF30" t="str">
            <v>ТРМ СТОР  ПЛАН</v>
          </cell>
          <cell r="AG30" t="str">
            <v>ТРМ ВСЬОГО ЗВІТ</v>
          </cell>
          <cell r="AH30" t="str">
            <v>ТРМ АК ЗВІТ</v>
          </cell>
          <cell r="AI30" t="str">
            <v>ТРМ СТОР  ЗВІТ</v>
          </cell>
          <cell r="AJ30" t="str">
            <v>відх всього</v>
          </cell>
          <cell r="AK30" t="str">
            <v>Е/Е</v>
          </cell>
          <cell r="AL30" t="str">
            <v xml:space="preserve"> Т/Е</v>
          </cell>
          <cell r="AN30" t="str">
            <v>ДОП.ВИР. ПЛАН</v>
          </cell>
          <cell r="AO30" t="str">
            <v>ЗВІТ</v>
          </cell>
          <cell r="AP30" t="str">
            <v>АК КЕ  ПЛАН</v>
          </cell>
          <cell r="AQ30" t="str">
            <v xml:space="preserve"> Е/Е</v>
          </cell>
          <cell r="AR30" t="str">
            <v xml:space="preserve"> Т/Е</v>
          </cell>
          <cell r="AS30" t="str">
            <v>ЗВІТ</v>
          </cell>
          <cell r="AT30" t="str">
            <v>відх</v>
          </cell>
          <cell r="AU30" t="str">
            <v>СТАНЦІї ЕЛЕКТРО</v>
          </cell>
          <cell r="AV30" t="str">
            <v>СТАНЦІІ ТЕПЛОВІ</v>
          </cell>
          <cell r="AW30" t="str">
            <v>МЕРЕЖІ ЕЛЕКТРО</v>
          </cell>
          <cell r="AX30" t="str">
            <v>МЕРЕЖІ ТЕПЛОВІ</v>
          </cell>
        </row>
        <row r="31">
          <cell r="U31">
            <v>330</v>
          </cell>
          <cell r="Z31">
            <v>298</v>
          </cell>
          <cell r="AQ31">
            <v>628</v>
          </cell>
        </row>
        <row r="32">
          <cell r="U32">
            <v>291.85000000000002</v>
          </cell>
          <cell r="Z32">
            <v>268.14999999999998</v>
          </cell>
          <cell r="AQ32">
            <v>560</v>
          </cell>
        </row>
        <row r="33">
          <cell r="AQ33">
            <v>0</v>
          </cell>
        </row>
        <row r="34">
          <cell r="AQ34">
            <v>0</v>
          </cell>
        </row>
        <row r="35">
          <cell r="AQ35">
            <v>32</v>
          </cell>
        </row>
        <row r="36">
          <cell r="AQ36">
            <v>0</v>
          </cell>
        </row>
        <row r="37">
          <cell r="AQ37">
            <v>500</v>
          </cell>
        </row>
        <row r="38">
          <cell r="N38">
            <v>0</v>
          </cell>
          <cell r="AQ38">
            <v>468</v>
          </cell>
        </row>
        <row r="39">
          <cell r="C39">
            <v>22720.2</v>
          </cell>
          <cell r="N39">
            <v>34558.056727272728</v>
          </cell>
          <cell r="O39">
            <v>6571</v>
          </cell>
          <cell r="P39">
            <v>-27987.056727272728</v>
          </cell>
          <cell r="Q39">
            <v>91572.222696969693</v>
          </cell>
          <cell r="R39">
            <v>23576</v>
          </cell>
          <cell r="S39">
            <v>-67996.222696969693</v>
          </cell>
          <cell r="T39">
            <v>30972.740242424297</v>
          </cell>
          <cell r="W39">
            <v>8380</v>
          </cell>
          <cell r="X39">
            <v>-22592.740242424297</v>
          </cell>
          <cell r="Y39">
            <v>19357.834060606037</v>
          </cell>
          <cell r="Z39">
            <v>7534</v>
          </cell>
          <cell r="AA39">
            <v>11433.552727272716</v>
          </cell>
          <cell r="AB39">
            <v>5452</v>
          </cell>
          <cell r="AC39">
            <v>-13905.834060606037</v>
          </cell>
          <cell r="AD39">
            <v>45046.924424242425</v>
          </cell>
          <cell r="AE39">
            <v>36955.447090909096</v>
          </cell>
          <cell r="AF39">
            <v>8091.4773333333314</v>
          </cell>
          <cell r="AG39">
            <v>8513</v>
          </cell>
          <cell r="AH39">
            <v>6481</v>
          </cell>
          <cell r="AI39">
            <v>2032</v>
          </cell>
          <cell r="AJ39">
            <v>-36533.924424242425</v>
          </cell>
          <cell r="AN39" t="e">
            <v>#REF!</v>
          </cell>
        </row>
        <row r="40">
          <cell r="C40">
            <v>6661.2000000000007</v>
          </cell>
        </row>
        <row r="41">
          <cell r="C41">
            <v>1334.2</v>
          </cell>
          <cell r="D41">
            <v>443</v>
          </cell>
          <cell r="E41">
            <v>691.2</v>
          </cell>
          <cell r="N41">
            <v>9853.7727272727279</v>
          </cell>
          <cell r="Q41">
            <v>20350.500909090908</v>
          </cell>
          <cell r="T41">
            <v>7594.1272727272735</v>
          </cell>
          <cell r="U41">
            <v>3221</v>
          </cell>
          <cell r="V41">
            <v>4373.1272727272735</v>
          </cell>
          <cell r="Y41">
            <v>6222.3672727272733</v>
          </cell>
          <cell r="Z41">
            <v>2495</v>
          </cell>
          <cell r="AA41">
            <v>3727.3672727272728</v>
          </cell>
          <cell r="AE41">
            <v>16792.954545454544</v>
          </cell>
          <cell r="AG41">
            <v>4464</v>
          </cell>
          <cell r="AH41">
            <v>3202</v>
          </cell>
          <cell r="AN41" t="e">
            <v>#REF!</v>
          </cell>
          <cell r="AR41">
            <v>8100.4945454545468</v>
          </cell>
        </row>
        <row r="42">
          <cell r="Q42">
            <v>970</v>
          </cell>
          <cell r="V42">
            <v>750</v>
          </cell>
          <cell r="AA42">
            <v>590</v>
          </cell>
          <cell r="AR42">
            <v>2095</v>
          </cell>
        </row>
        <row r="46">
          <cell r="C46">
            <v>743</v>
          </cell>
          <cell r="D46">
            <v>327</v>
          </cell>
          <cell r="E46">
            <v>416</v>
          </cell>
          <cell r="N46">
            <v>4075.404</v>
          </cell>
          <cell r="O46">
            <v>1204</v>
          </cell>
          <cell r="P46">
            <v>-2871.404</v>
          </cell>
          <cell r="Q46">
            <v>8700.9493333333339</v>
          </cell>
          <cell r="R46">
            <v>2125</v>
          </cell>
          <cell r="S46">
            <v>-6575.9493333333339</v>
          </cell>
          <cell r="T46">
            <v>2326.0213333333331</v>
          </cell>
          <cell r="U46">
            <v>834</v>
          </cell>
          <cell r="V46">
            <v>1492.0213333333331</v>
          </cell>
          <cell r="W46">
            <v>431</v>
          </cell>
          <cell r="X46">
            <v>-1895.0213333333331</v>
          </cell>
          <cell r="Y46">
            <v>1936.060666666667</v>
          </cell>
          <cell r="Z46">
            <v>784</v>
          </cell>
          <cell r="AA46">
            <v>1152.060666666667</v>
          </cell>
          <cell r="AB46">
            <v>400</v>
          </cell>
          <cell r="AC46">
            <v>-1536.060666666667</v>
          </cell>
          <cell r="AD46">
            <v>4870.058</v>
          </cell>
          <cell r="AE46">
            <v>4160.93</v>
          </cell>
          <cell r="AF46">
            <v>709.1279999999997</v>
          </cell>
          <cell r="AG46">
            <v>1087</v>
          </cell>
          <cell r="AH46">
            <v>292</v>
          </cell>
          <cell r="AI46">
            <v>134</v>
          </cell>
          <cell r="AJ46">
            <v>-3783.058</v>
          </cell>
          <cell r="AN46">
            <v>0</v>
          </cell>
          <cell r="AP46">
            <v>22196.085333333336</v>
          </cell>
          <cell r="AQ46">
            <v>6199.0039999999999</v>
          </cell>
          <cell r="AR46">
            <v>15997.081333333335</v>
          </cell>
          <cell r="AS46">
            <v>4452</v>
          </cell>
          <cell r="AT46">
            <v>-17744.085333333336</v>
          </cell>
          <cell r="AU46">
            <v>1618</v>
          </cell>
          <cell r="AV46">
            <v>5602</v>
          </cell>
          <cell r="AW46">
            <v>4581.0039999999999</v>
          </cell>
          <cell r="AX46">
            <v>10395.081333333335</v>
          </cell>
        </row>
        <row r="47">
          <cell r="C47">
            <v>1122</v>
          </cell>
          <cell r="E47">
            <v>1122</v>
          </cell>
          <cell r="N47">
            <v>3754</v>
          </cell>
          <cell r="Q47">
            <v>7041</v>
          </cell>
          <cell r="T47">
            <v>1022.2586666666666</v>
          </cell>
          <cell r="U47">
            <v>428</v>
          </cell>
          <cell r="V47">
            <v>594.25866666666661</v>
          </cell>
          <cell r="Y47">
            <v>827.22533333333331</v>
          </cell>
          <cell r="Z47">
            <v>325</v>
          </cell>
          <cell r="AA47">
            <v>502.22533333333331</v>
          </cell>
          <cell r="AC47">
            <v>-827.22533333333331</v>
          </cell>
          <cell r="AD47">
            <v>4184.1707200000001</v>
          </cell>
          <cell r="AE47">
            <v>3776.8825001426667</v>
          </cell>
          <cell r="AP47">
            <v>17543.366500142667</v>
          </cell>
        </row>
        <row r="48">
          <cell r="C48">
            <v>2</v>
          </cell>
          <cell r="E48">
            <v>2</v>
          </cell>
          <cell r="N48">
            <v>1</v>
          </cell>
          <cell r="Q48">
            <v>0</v>
          </cell>
          <cell r="T48">
            <v>143.19266666666664</v>
          </cell>
          <cell r="U48">
            <v>51</v>
          </cell>
          <cell r="V48">
            <v>92.192666666666639</v>
          </cell>
          <cell r="Y48">
            <v>-46.472000000000008</v>
          </cell>
          <cell r="Z48">
            <v>-136</v>
          </cell>
          <cell r="AA48">
            <v>89.527999999999992</v>
          </cell>
          <cell r="AC48">
            <v>46.472000000000008</v>
          </cell>
          <cell r="AD48">
            <v>0</v>
          </cell>
          <cell r="AE48">
            <v>0</v>
          </cell>
          <cell r="AP48">
            <v>99.720666666666631</v>
          </cell>
        </row>
        <row r="49">
          <cell r="C49">
            <v>521</v>
          </cell>
          <cell r="E49">
            <v>521</v>
          </cell>
          <cell r="N49">
            <v>79</v>
          </cell>
          <cell r="Q49">
            <v>942</v>
          </cell>
          <cell r="T49">
            <v>442.62666666666667</v>
          </cell>
          <cell r="U49">
            <v>186</v>
          </cell>
          <cell r="V49">
            <v>256.62666666666667</v>
          </cell>
          <cell r="Y49">
            <v>414.78399999999999</v>
          </cell>
          <cell r="Z49">
            <v>187</v>
          </cell>
          <cell r="AA49">
            <v>227.78399999999999</v>
          </cell>
          <cell r="AC49">
            <v>-414.78399999999999</v>
          </cell>
          <cell r="AD49">
            <v>209.34026666666668</v>
          </cell>
          <cell r="AE49">
            <v>178.19720823549071</v>
          </cell>
          <cell r="AP49">
            <v>2577.6078749021572</v>
          </cell>
        </row>
        <row r="50">
          <cell r="C50">
            <v>2</v>
          </cell>
          <cell r="D50">
            <v>2</v>
          </cell>
          <cell r="E50">
            <v>0</v>
          </cell>
          <cell r="N50">
            <v>436.59066666666666</v>
          </cell>
          <cell r="O50">
            <v>121</v>
          </cell>
          <cell r="P50">
            <v>-315.59066666666666</v>
          </cell>
          <cell r="Q50">
            <v>4420.8346666666666</v>
          </cell>
          <cell r="R50">
            <v>1386</v>
          </cell>
          <cell r="S50">
            <v>-3034.8346666666666</v>
          </cell>
          <cell r="T50">
            <v>9010.4773333333324</v>
          </cell>
          <cell r="U50">
            <v>3806</v>
          </cell>
          <cell r="V50">
            <v>5204.4773333333324</v>
          </cell>
          <cell r="W50">
            <v>2636</v>
          </cell>
          <cell r="X50">
            <v>-6374.4773333333324</v>
          </cell>
          <cell r="Y50">
            <v>1206.6406666666667</v>
          </cell>
          <cell r="Z50">
            <v>347</v>
          </cell>
          <cell r="AA50">
            <v>859.64066666666668</v>
          </cell>
          <cell r="AB50">
            <v>292</v>
          </cell>
          <cell r="AC50">
            <v>-914.64066666666668</v>
          </cell>
          <cell r="AD50">
            <v>1894.2906666666663</v>
          </cell>
          <cell r="AE50">
            <v>1362.72</v>
          </cell>
          <cell r="AF50">
            <v>531.57066666666628</v>
          </cell>
          <cell r="AG50">
            <v>288</v>
          </cell>
          <cell r="AH50">
            <v>601</v>
          </cell>
          <cell r="AI50">
            <v>56</v>
          </cell>
          <cell r="AJ50">
            <v>-1606.2906666666663</v>
          </cell>
          <cell r="AN50">
            <v>0</v>
          </cell>
          <cell r="AP50">
            <v>16400.663333333334</v>
          </cell>
          <cell r="AQ50">
            <v>4596.9906666666666</v>
          </cell>
          <cell r="AR50">
            <v>11803.672666666667</v>
          </cell>
          <cell r="AS50">
            <v>5036</v>
          </cell>
          <cell r="AT50">
            <v>-11364.663333333334</v>
          </cell>
          <cell r="AU50">
            <v>4153</v>
          </cell>
          <cell r="AV50">
            <v>7567</v>
          </cell>
          <cell r="AW50">
            <v>443.99066666666658</v>
          </cell>
          <cell r="AX50">
            <v>4236.6726666666673</v>
          </cell>
        </row>
        <row r="51">
          <cell r="C51">
            <v>0</v>
          </cell>
          <cell r="D51">
            <v>0</v>
          </cell>
          <cell r="E51">
            <v>0</v>
          </cell>
          <cell r="N51">
            <v>0</v>
          </cell>
          <cell r="P51">
            <v>0</v>
          </cell>
          <cell r="Q51">
            <v>162.79999999999998</v>
          </cell>
          <cell r="R51">
            <v>54</v>
          </cell>
          <cell r="S51">
            <v>-108.79999999999998</v>
          </cell>
          <cell r="T51">
            <v>7199.4000000000005</v>
          </cell>
          <cell r="U51">
            <v>3230</v>
          </cell>
          <cell r="V51">
            <v>3969.4000000000005</v>
          </cell>
          <cell r="W51">
            <v>2407</v>
          </cell>
          <cell r="X51">
            <v>-4792.4000000000005</v>
          </cell>
          <cell r="Y51">
            <v>144.86666666666667</v>
          </cell>
          <cell r="Z51">
            <v>57</v>
          </cell>
          <cell r="AA51">
            <v>87.866666666666674</v>
          </cell>
          <cell r="AB51">
            <v>20</v>
          </cell>
          <cell r="AC51">
            <v>-124.86666666666667</v>
          </cell>
          <cell r="AD51">
            <v>5.6</v>
          </cell>
          <cell r="AE51">
            <v>4</v>
          </cell>
          <cell r="AF51">
            <v>1.5999999999999996</v>
          </cell>
          <cell r="AI51">
            <v>0</v>
          </cell>
          <cell r="AJ51">
            <v>-5.6</v>
          </cell>
          <cell r="AP51">
            <v>7511.0666666666675</v>
          </cell>
          <cell r="AQ51">
            <v>3287</v>
          </cell>
          <cell r="AR51">
            <v>4224.0666666666675</v>
          </cell>
          <cell r="AS51">
            <v>2481</v>
          </cell>
          <cell r="AT51">
            <v>-5030.0666666666675</v>
          </cell>
          <cell r="AU51">
            <v>3287</v>
          </cell>
          <cell r="AV51">
            <v>4113</v>
          </cell>
          <cell r="AW51">
            <v>0</v>
          </cell>
          <cell r="AX51">
            <v>111.06666666666752</v>
          </cell>
        </row>
        <row r="52">
          <cell r="C52">
            <v>0</v>
          </cell>
          <cell r="D52">
            <v>0</v>
          </cell>
          <cell r="E52">
            <v>0</v>
          </cell>
          <cell r="N52">
            <v>0</v>
          </cell>
          <cell r="P52">
            <v>0</v>
          </cell>
          <cell r="Q52">
            <v>104052</v>
          </cell>
          <cell r="R52">
            <v>61402</v>
          </cell>
          <cell r="S52">
            <v>-42650</v>
          </cell>
          <cell r="T52">
            <v>227529</v>
          </cell>
          <cell r="U52">
            <v>108806.34756097561</v>
          </cell>
          <cell r="V52">
            <v>118722.65243902439</v>
          </cell>
          <cell r="W52">
            <v>93632</v>
          </cell>
          <cell r="X52">
            <v>-133897</v>
          </cell>
          <cell r="Y52">
            <v>197077</v>
          </cell>
          <cell r="Z52">
            <v>86757.750161952048</v>
          </cell>
          <cell r="AA52">
            <v>110319.24983804795</v>
          </cell>
          <cell r="AB52">
            <v>76301</v>
          </cell>
          <cell r="AC52">
            <v>-120776</v>
          </cell>
          <cell r="AD52">
            <v>0</v>
          </cell>
          <cell r="AE52">
            <v>0</v>
          </cell>
          <cell r="AF52">
            <v>0</v>
          </cell>
          <cell r="AI52">
            <v>0</v>
          </cell>
          <cell r="AJ52">
            <v>0</v>
          </cell>
          <cell r="AN52">
            <v>0</v>
          </cell>
          <cell r="AP52">
            <v>528659</v>
          </cell>
          <cell r="AQ52">
            <v>195565.09772292766</v>
          </cell>
          <cell r="AR52">
            <v>333093.90227707231</v>
          </cell>
          <cell r="AS52">
            <v>231335</v>
          </cell>
          <cell r="AT52">
            <v>-297324</v>
          </cell>
          <cell r="AU52">
            <v>195564.09772292766</v>
          </cell>
          <cell r="AV52">
            <v>333094</v>
          </cell>
          <cell r="AW52">
            <v>1</v>
          </cell>
          <cell r="AX52">
            <v>-9.772292769048363E-2</v>
          </cell>
        </row>
        <row r="53">
          <cell r="C53">
            <v>14</v>
          </cell>
          <cell r="D53">
            <v>0</v>
          </cell>
          <cell r="E53">
            <v>14</v>
          </cell>
          <cell r="N53">
            <v>0</v>
          </cell>
          <cell r="P53">
            <v>0</v>
          </cell>
          <cell r="Q53">
            <v>104052</v>
          </cell>
          <cell r="R53">
            <v>61402</v>
          </cell>
          <cell r="S53">
            <v>-42650</v>
          </cell>
          <cell r="T53">
            <v>227529</v>
          </cell>
          <cell r="U53">
            <v>108806.34756097561</v>
          </cell>
          <cell r="V53">
            <v>118722.65243902439</v>
          </cell>
          <cell r="W53">
            <v>93632</v>
          </cell>
          <cell r="X53">
            <v>-133897</v>
          </cell>
          <cell r="Y53">
            <v>197077</v>
          </cell>
          <cell r="Z53">
            <v>86757.750161952048</v>
          </cell>
          <cell r="AA53">
            <v>110319.24983804795</v>
          </cell>
          <cell r="AB53">
            <v>46301</v>
          </cell>
          <cell r="AC53">
            <v>-150776</v>
          </cell>
          <cell r="AD53">
            <v>0</v>
          </cell>
          <cell r="AE53">
            <v>0</v>
          </cell>
          <cell r="AF53">
            <v>0</v>
          </cell>
          <cell r="AI53">
            <v>0</v>
          </cell>
          <cell r="AJ53">
            <v>0</v>
          </cell>
          <cell r="AP53">
            <v>528672</v>
          </cell>
          <cell r="AQ53">
            <v>195564.09772292766</v>
          </cell>
          <cell r="AR53">
            <v>333107.90227707231</v>
          </cell>
          <cell r="AS53">
            <v>201335</v>
          </cell>
          <cell r="AT53">
            <v>-327337</v>
          </cell>
          <cell r="AU53">
            <v>195564.09772292766</v>
          </cell>
          <cell r="AV53">
            <v>333094</v>
          </cell>
          <cell r="AW53">
            <v>0</v>
          </cell>
          <cell r="AX53">
            <v>13.902277072309516</v>
          </cell>
        </row>
        <row r="54">
          <cell r="C54">
            <v>854</v>
          </cell>
          <cell r="D54">
            <v>0</v>
          </cell>
          <cell r="E54">
            <v>854</v>
          </cell>
          <cell r="N54">
            <v>0</v>
          </cell>
          <cell r="P54">
            <v>0</v>
          </cell>
          <cell r="Q54">
            <v>0</v>
          </cell>
          <cell r="S54">
            <v>0</v>
          </cell>
          <cell r="T54">
            <v>0</v>
          </cell>
          <cell r="U54">
            <v>0</v>
          </cell>
          <cell r="Y54">
            <v>0</v>
          </cell>
          <cell r="Z54">
            <v>0</v>
          </cell>
          <cell r="AA54">
            <v>0</v>
          </cell>
          <cell r="AD54">
            <v>0</v>
          </cell>
          <cell r="AE54">
            <v>0</v>
          </cell>
          <cell r="AS54">
            <v>0</v>
          </cell>
          <cell r="AT54">
            <v>0</v>
          </cell>
          <cell r="AV54">
            <v>0</v>
          </cell>
        </row>
        <row r="55">
          <cell r="C55">
            <v>53</v>
          </cell>
          <cell r="D55">
            <v>6</v>
          </cell>
          <cell r="E55">
            <v>47</v>
          </cell>
          <cell r="N55">
            <v>376.61933333333337</v>
          </cell>
          <cell r="O55">
            <v>140</v>
          </cell>
          <cell r="P55">
            <v>-236.61933333333337</v>
          </cell>
          <cell r="Q55">
            <v>17046.890666666666</v>
          </cell>
          <cell r="R55">
            <v>8493</v>
          </cell>
          <cell r="S55">
            <v>-8553.8906666666662</v>
          </cell>
          <cell r="T55">
            <v>0</v>
          </cell>
          <cell r="U55">
            <v>0</v>
          </cell>
          <cell r="V55">
            <v>0</v>
          </cell>
          <cell r="X55">
            <v>0</v>
          </cell>
          <cell r="Y55">
            <v>0</v>
          </cell>
          <cell r="Z55">
            <v>0</v>
          </cell>
          <cell r="AA55">
            <v>0</v>
          </cell>
          <cell r="AB55">
            <v>0</v>
          </cell>
          <cell r="AC55">
            <v>0</v>
          </cell>
          <cell r="AD55">
            <v>7968.5233333333344</v>
          </cell>
          <cell r="AE55">
            <v>3312.672</v>
          </cell>
          <cell r="AF55">
            <v>4655.851333333334</v>
          </cell>
          <cell r="AG55">
            <v>809</v>
          </cell>
          <cell r="AH55">
            <v>810</v>
          </cell>
          <cell r="AI55">
            <v>1225</v>
          </cell>
          <cell r="AJ55">
            <v>-7159.5233333333344</v>
          </cell>
          <cell r="AN55">
            <v>0</v>
          </cell>
          <cell r="AP55">
            <v>20789.181999999997</v>
          </cell>
          <cell r="AQ55">
            <v>382.61933333333337</v>
          </cell>
          <cell r="AR55">
            <v>20406.562666666665</v>
          </cell>
          <cell r="AS55">
            <v>9442</v>
          </cell>
          <cell r="AT55">
            <v>-11347.181999999997</v>
          </cell>
          <cell r="AU55">
            <v>0</v>
          </cell>
          <cell r="AV55">
            <v>5796</v>
          </cell>
          <cell r="AW55">
            <v>382.61933333333337</v>
          </cell>
          <cell r="AX55">
            <v>14610.562666666665</v>
          </cell>
        </row>
        <row r="56">
          <cell r="C56">
            <v>772.2</v>
          </cell>
          <cell r="D56">
            <v>310</v>
          </cell>
          <cell r="E56">
            <v>462.20000000000005</v>
          </cell>
          <cell r="N56">
            <v>6007.439393939394</v>
          </cell>
          <cell r="O56">
            <v>1303</v>
          </cell>
          <cell r="P56">
            <v>-4704.439393939394</v>
          </cell>
          <cell r="Q56">
            <v>10537.50090909091</v>
          </cell>
          <cell r="R56">
            <v>2369</v>
          </cell>
          <cell r="S56">
            <v>-8168.5009090909098</v>
          </cell>
          <cell r="T56">
            <v>3179.5818181818186</v>
          </cell>
          <cell r="U56">
            <v>1300</v>
          </cell>
          <cell r="V56">
            <v>1879.5818181818186</v>
          </cell>
          <cell r="W56">
            <v>745</v>
          </cell>
          <cell r="X56">
            <v>-2434.5818181818186</v>
          </cell>
          <cell r="Y56">
            <v>2968.9127272727274</v>
          </cell>
          <cell r="Z56">
            <v>1178</v>
          </cell>
          <cell r="AA56">
            <v>1790.9127272727274</v>
          </cell>
          <cell r="AB56">
            <v>662</v>
          </cell>
          <cell r="AC56">
            <v>-2306.9127272727274</v>
          </cell>
          <cell r="AD56">
            <v>11785.935454545453</v>
          </cell>
          <cell r="AE56">
            <v>10515.045454545454</v>
          </cell>
          <cell r="AF56">
            <v>1270.8899999999994</v>
          </cell>
          <cell r="AG56">
            <v>2563</v>
          </cell>
          <cell r="AH56">
            <v>1747</v>
          </cell>
          <cell r="AI56">
            <v>306</v>
          </cell>
          <cell r="AJ56">
            <v>-9222.9354545454535</v>
          </cell>
          <cell r="AN56">
            <v>0</v>
          </cell>
          <cell r="AP56">
            <v>34751.680303030305</v>
          </cell>
          <cell r="AQ56">
            <v>9304.257575757576</v>
          </cell>
          <cell r="AR56">
            <v>25447.422727272729</v>
          </cell>
          <cell r="AS56">
            <v>6826</v>
          </cell>
          <cell r="AT56">
            <v>-27925.680303030305</v>
          </cell>
          <cell r="AU56">
            <v>2478</v>
          </cell>
          <cell r="AV56">
            <v>7253</v>
          </cell>
          <cell r="AW56">
            <v>6826.257575757576</v>
          </cell>
          <cell r="AX56">
            <v>18194.422727272729</v>
          </cell>
        </row>
        <row r="57">
          <cell r="C57">
            <v>27</v>
          </cell>
          <cell r="D57">
            <v>16</v>
          </cell>
          <cell r="E57">
            <v>11</v>
          </cell>
          <cell r="N57">
            <v>332</v>
          </cell>
          <cell r="O57">
            <v>70</v>
          </cell>
          <cell r="P57">
            <v>-262</v>
          </cell>
          <cell r="Q57">
            <v>582</v>
          </cell>
          <cell r="R57">
            <v>129</v>
          </cell>
          <cell r="S57">
            <v>-453</v>
          </cell>
          <cell r="T57">
            <v>174</v>
          </cell>
          <cell r="U57">
            <v>71</v>
          </cell>
          <cell r="V57">
            <v>103</v>
          </cell>
          <cell r="W57">
            <v>39</v>
          </cell>
          <cell r="X57">
            <v>-135</v>
          </cell>
          <cell r="Y57">
            <v>160</v>
          </cell>
          <cell r="Z57">
            <v>65</v>
          </cell>
          <cell r="AA57">
            <v>95</v>
          </cell>
          <cell r="AB57">
            <v>35</v>
          </cell>
          <cell r="AC57">
            <v>-125</v>
          </cell>
          <cell r="AD57">
            <v>648</v>
          </cell>
          <cell r="AE57">
            <v>577</v>
          </cell>
          <cell r="AF57">
            <v>71</v>
          </cell>
          <cell r="AG57">
            <v>136</v>
          </cell>
          <cell r="AH57">
            <v>96</v>
          </cell>
          <cell r="AI57">
            <v>18</v>
          </cell>
          <cell r="AJ57">
            <v>-512</v>
          </cell>
          <cell r="AN57">
            <v>0</v>
          </cell>
          <cell r="AP57">
            <v>1895</v>
          </cell>
          <cell r="AQ57">
            <v>512</v>
          </cell>
          <cell r="AR57">
            <v>1383</v>
          </cell>
          <cell r="AS57">
            <v>369</v>
          </cell>
          <cell r="AT57">
            <v>-1526</v>
          </cell>
          <cell r="AU57">
            <v>136</v>
          </cell>
          <cell r="AV57">
            <v>311</v>
          </cell>
          <cell r="AW57">
            <v>376</v>
          </cell>
          <cell r="AX57">
            <v>1072</v>
          </cell>
        </row>
        <row r="58">
          <cell r="C58">
            <v>335</v>
          </cell>
          <cell r="D58">
            <v>117</v>
          </cell>
          <cell r="E58">
            <v>218</v>
          </cell>
          <cell r="N58">
            <v>1925</v>
          </cell>
          <cell r="O58">
            <v>417</v>
          </cell>
          <cell r="P58">
            <v>-1508</v>
          </cell>
          <cell r="Q58">
            <v>3373</v>
          </cell>
          <cell r="R58">
            <v>610</v>
          </cell>
          <cell r="S58">
            <v>-2763</v>
          </cell>
          <cell r="T58">
            <v>1017</v>
          </cell>
          <cell r="U58">
            <v>415</v>
          </cell>
          <cell r="V58">
            <v>602</v>
          </cell>
          <cell r="W58">
            <v>229</v>
          </cell>
          <cell r="X58">
            <v>-788</v>
          </cell>
          <cell r="Y58">
            <v>950</v>
          </cell>
          <cell r="Z58">
            <v>378</v>
          </cell>
          <cell r="AA58">
            <v>572</v>
          </cell>
          <cell r="AB58">
            <v>205</v>
          </cell>
          <cell r="AC58">
            <v>-745</v>
          </cell>
          <cell r="AD58">
            <v>3772</v>
          </cell>
          <cell r="AE58">
            <v>3362</v>
          </cell>
          <cell r="AF58">
            <v>410</v>
          </cell>
          <cell r="AG58">
            <v>793</v>
          </cell>
          <cell r="AH58">
            <v>559</v>
          </cell>
          <cell r="AI58">
            <v>103</v>
          </cell>
          <cell r="AJ58">
            <v>-2979</v>
          </cell>
          <cell r="AN58">
            <v>0</v>
          </cell>
          <cell r="AP58">
            <v>11209</v>
          </cell>
          <cell r="AQ58">
            <v>2996</v>
          </cell>
          <cell r="AR58">
            <v>8213</v>
          </cell>
          <cell r="AS58">
            <v>2021</v>
          </cell>
          <cell r="AT58">
            <v>-9188</v>
          </cell>
          <cell r="AU58">
            <v>0</v>
          </cell>
          <cell r="AV58">
            <v>0</v>
          </cell>
          <cell r="AW58">
            <v>0</v>
          </cell>
          <cell r="AX58">
            <v>0</v>
          </cell>
        </row>
        <row r="59">
          <cell r="C59">
            <v>0</v>
          </cell>
          <cell r="D59">
            <v>0</v>
          </cell>
          <cell r="E59">
            <v>0</v>
          </cell>
          <cell r="N59">
            <v>0</v>
          </cell>
          <cell r="P59">
            <v>0</v>
          </cell>
          <cell r="Q59">
            <v>0</v>
          </cell>
          <cell r="S59">
            <v>0</v>
          </cell>
          <cell r="T59">
            <v>0</v>
          </cell>
          <cell r="U59">
            <v>0</v>
          </cell>
          <cell r="V59">
            <v>0</v>
          </cell>
          <cell r="X59">
            <v>0</v>
          </cell>
          <cell r="Y59">
            <v>0</v>
          </cell>
          <cell r="Z59">
            <v>0</v>
          </cell>
          <cell r="AA59">
            <v>0</v>
          </cell>
          <cell r="AC59">
            <v>0</v>
          </cell>
          <cell r="AD59">
            <v>0</v>
          </cell>
          <cell r="AE59">
            <v>0</v>
          </cell>
          <cell r="AF59">
            <v>0</v>
          </cell>
          <cell r="AI59">
            <v>0</v>
          </cell>
          <cell r="AJ59">
            <v>0</v>
          </cell>
          <cell r="AP59">
            <v>0</v>
          </cell>
          <cell r="AQ59">
            <v>0</v>
          </cell>
          <cell r="AR59">
            <v>0</v>
          </cell>
          <cell r="AS59">
            <v>0</v>
          </cell>
          <cell r="AT59">
            <v>0</v>
          </cell>
          <cell r="AU59">
            <v>0</v>
          </cell>
          <cell r="AV59">
            <v>0</v>
          </cell>
          <cell r="AW59">
            <v>0</v>
          </cell>
          <cell r="AX59">
            <v>0</v>
          </cell>
        </row>
        <row r="60">
          <cell r="C60">
            <v>79</v>
          </cell>
          <cell r="D60">
            <v>85</v>
          </cell>
          <cell r="E60">
            <v>-6</v>
          </cell>
          <cell r="N60">
            <v>5562</v>
          </cell>
          <cell r="O60">
            <v>1794</v>
          </cell>
          <cell r="P60">
            <v>-3768</v>
          </cell>
          <cell r="Q60">
            <v>12022</v>
          </cell>
          <cell r="R60">
            <v>3886</v>
          </cell>
          <cell r="S60">
            <v>-8136</v>
          </cell>
          <cell r="T60">
            <v>6493</v>
          </cell>
          <cell r="U60">
            <v>2648</v>
          </cell>
          <cell r="V60">
            <v>3845</v>
          </cell>
          <cell r="W60">
            <v>2064</v>
          </cell>
          <cell r="X60">
            <v>-4429</v>
          </cell>
          <cell r="Y60">
            <v>6741.666666666667</v>
          </cell>
          <cell r="Z60">
            <v>2612</v>
          </cell>
          <cell r="AA60">
            <v>4129.666666666667</v>
          </cell>
          <cell r="AB60">
            <v>2209</v>
          </cell>
          <cell r="AC60">
            <v>-4532.666666666667</v>
          </cell>
          <cell r="AD60">
            <v>5807.666666666667</v>
          </cell>
          <cell r="AE60">
            <v>5605.3333333333339</v>
          </cell>
          <cell r="AF60">
            <v>202.33333333333303</v>
          </cell>
          <cell r="AG60">
            <v>1641</v>
          </cell>
          <cell r="AH60">
            <v>1265</v>
          </cell>
          <cell r="AI60">
            <v>155</v>
          </cell>
          <cell r="AJ60">
            <v>-4166.666666666667</v>
          </cell>
          <cell r="AN60">
            <v>0</v>
          </cell>
          <cell r="AP60">
            <v>36479</v>
          </cell>
          <cell r="AQ60">
            <v>10935</v>
          </cell>
          <cell r="AR60">
            <v>25544</v>
          </cell>
          <cell r="AS60">
            <v>11218</v>
          </cell>
          <cell r="AT60">
            <v>-25261</v>
          </cell>
          <cell r="AU60">
            <v>5260</v>
          </cell>
          <cell r="AV60">
            <v>12062</v>
          </cell>
          <cell r="AW60">
            <v>5675</v>
          </cell>
          <cell r="AX60">
            <v>13482</v>
          </cell>
        </row>
        <row r="61">
          <cell r="C61">
            <v>0</v>
          </cell>
          <cell r="D61">
            <v>0</v>
          </cell>
          <cell r="E61">
            <v>0</v>
          </cell>
          <cell r="N61">
            <v>0</v>
          </cell>
          <cell r="P61">
            <v>0</v>
          </cell>
          <cell r="Q61">
            <v>0</v>
          </cell>
          <cell r="S61">
            <v>0</v>
          </cell>
          <cell r="T61">
            <v>0</v>
          </cell>
          <cell r="U61">
            <v>0</v>
          </cell>
          <cell r="X61">
            <v>0</v>
          </cell>
          <cell r="Y61">
            <v>0</v>
          </cell>
          <cell r="Z61">
            <v>0</v>
          </cell>
          <cell r="AA61">
            <v>0</v>
          </cell>
          <cell r="AC61">
            <v>0</v>
          </cell>
          <cell r="AD61">
            <v>0</v>
          </cell>
          <cell r="AE61">
            <v>0</v>
          </cell>
          <cell r="AF61">
            <v>0</v>
          </cell>
          <cell r="AG61">
            <v>0</v>
          </cell>
          <cell r="AH61">
            <v>126</v>
          </cell>
          <cell r="AI61">
            <v>0</v>
          </cell>
          <cell r="AJ61">
            <v>0</v>
          </cell>
          <cell r="AP61">
            <v>0</v>
          </cell>
          <cell r="AS61">
            <v>126</v>
          </cell>
          <cell r="AT61">
            <v>126</v>
          </cell>
        </row>
        <row r="62">
          <cell r="C62">
            <v>84</v>
          </cell>
          <cell r="D62">
            <v>76</v>
          </cell>
          <cell r="E62">
            <v>8</v>
          </cell>
          <cell r="N62">
            <v>5562</v>
          </cell>
          <cell r="P62">
            <v>-5562</v>
          </cell>
          <cell r="Q62">
            <v>12022</v>
          </cell>
          <cell r="S62">
            <v>-12022</v>
          </cell>
          <cell r="T62">
            <v>1688.97</v>
          </cell>
          <cell r="U62">
            <v>53</v>
          </cell>
          <cell r="X62">
            <v>-1688.97</v>
          </cell>
          <cell r="Y62">
            <v>1810.26</v>
          </cell>
          <cell r="Z62">
            <v>65</v>
          </cell>
          <cell r="AA62">
            <v>1745.26</v>
          </cell>
          <cell r="AC62">
            <v>-1810.26</v>
          </cell>
          <cell r="AD62">
            <v>3089</v>
          </cell>
          <cell r="AE62">
            <v>3089</v>
          </cell>
          <cell r="AF62">
            <v>0</v>
          </cell>
          <cell r="AI62">
            <v>0</v>
          </cell>
          <cell r="AJ62">
            <v>-3089</v>
          </cell>
          <cell r="AP62">
            <v>24269.23</v>
          </cell>
          <cell r="AQ62">
            <v>5769</v>
          </cell>
          <cell r="AR62">
            <v>18500.23</v>
          </cell>
          <cell r="AS62">
            <v>0</v>
          </cell>
          <cell r="AT62">
            <v>-24269.23</v>
          </cell>
          <cell r="AV62">
            <v>5051</v>
          </cell>
        </row>
        <row r="63">
          <cell r="C63">
            <v>654</v>
          </cell>
          <cell r="D63">
            <v>0</v>
          </cell>
          <cell r="E63">
            <v>654</v>
          </cell>
          <cell r="N63">
            <v>0</v>
          </cell>
          <cell r="P63">
            <v>0</v>
          </cell>
          <cell r="Q63">
            <v>0</v>
          </cell>
          <cell r="S63">
            <v>0</v>
          </cell>
          <cell r="T63">
            <v>0</v>
          </cell>
          <cell r="U63">
            <v>0</v>
          </cell>
          <cell r="X63">
            <v>0</v>
          </cell>
          <cell r="Y63">
            <v>0</v>
          </cell>
          <cell r="Z63">
            <v>0</v>
          </cell>
          <cell r="AA63">
            <v>0</v>
          </cell>
          <cell r="AC63">
            <v>0</v>
          </cell>
          <cell r="AD63">
            <v>0</v>
          </cell>
          <cell r="AE63">
            <v>0</v>
          </cell>
          <cell r="AF63">
            <v>0</v>
          </cell>
          <cell r="AI63">
            <v>0</v>
          </cell>
          <cell r="AJ63">
            <v>0</v>
          </cell>
          <cell r="AP63">
            <v>654</v>
          </cell>
          <cell r="AQ63">
            <v>0</v>
          </cell>
          <cell r="AR63">
            <v>654</v>
          </cell>
          <cell r="AS63">
            <v>0</v>
          </cell>
          <cell r="AT63">
            <v>-654</v>
          </cell>
          <cell r="AV63">
            <v>0</v>
          </cell>
        </row>
        <row r="64">
          <cell r="C64">
            <v>0</v>
          </cell>
          <cell r="D64">
            <v>9</v>
          </cell>
          <cell r="E64">
            <v>-9</v>
          </cell>
          <cell r="N64">
            <v>0</v>
          </cell>
          <cell r="P64">
            <v>0</v>
          </cell>
          <cell r="Q64">
            <v>0</v>
          </cell>
          <cell r="S64">
            <v>0</v>
          </cell>
          <cell r="T64">
            <v>4804.03</v>
          </cell>
          <cell r="U64">
            <v>2595</v>
          </cell>
          <cell r="X64">
            <v>-4804.03</v>
          </cell>
          <cell r="Y64">
            <v>4931.4066666666668</v>
          </cell>
          <cell r="Z64">
            <v>2547</v>
          </cell>
          <cell r="AA64">
            <v>2384.4066666666668</v>
          </cell>
          <cell r="AC64">
            <v>-4931.4066666666668</v>
          </cell>
          <cell r="AD64">
            <v>2718.666666666667</v>
          </cell>
          <cell r="AE64">
            <v>2516.3333333333339</v>
          </cell>
          <cell r="AF64">
            <v>202.33333333333303</v>
          </cell>
          <cell r="AG64">
            <v>1641</v>
          </cell>
          <cell r="AH64">
            <v>1139</v>
          </cell>
          <cell r="AI64">
            <v>155</v>
          </cell>
          <cell r="AJ64">
            <v>-1077.666666666667</v>
          </cell>
          <cell r="AP64">
            <v>12258.77</v>
          </cell>
          <cell r="AS64">
            <v>1139</v>
          </cell>
          <cell r="AT64">
            <v>-11119.77</v>
          </cell>
        </row>
        <row r="65">
          <cell r="C65">
            <v>241</v>
          </cell>
          <cell r="D65">
            <v>63</v>
          </cell>
          <cell r="E65">
            <v>178</v>
          </cell>
          <cell r="N65">
            <v>7209</v>
          </cell>
          <cell r="O65">
            <v>1295</v>
          </cell>
          <cell r="P65">
            <v>-5914</v>
          </cell>
          <cell r="Q65">
            <v>16003.095454545455</v>
          </cell>
          <cell r="R65">
            <v>2254</v>
          </cell>
          <cell r="S65">
            <v>-13749.095454545455</v>
          </cell>
          <cell r="T65">
            <v>12363.25909090909</v>
          </cell>
          <cell r="U65">
            <v>5559</v>
          </cell>
          <cell r="V65">
            <v>6804.2590909090904</v>
          </cell>
          <cell r="W65">
            <v>1557</v>
          </cell>
          <cell r="X65">
            <v>-10806.25909090909</v>
          </cell>
          <cell r="Y65">
            <v>9028.7000000000007</v>
          </cell>
          <cell r="Z65">
            <v>4367</v>
          </cell>
          <cell r="AA65">
            <v>4661.7000000000007</v>
          </cell>
          <cell r="AB65">
            <v>1201</v>
          </cell>
          <cell r="AC65">
            <v>-7827.7000000000007</v>
          </cell>
          <cell r="AD65">
            <v>8711.9136363636353</v>
          </cell>
          <cell r="AE65">
            <v>8639.113636363636</v>
          </cell>
          <cell r="AF65">
            <v>72.799999999999272</v>
          </cell>
          <cell r="AG65">
            <v>1946</v>
          </cell>
          <cell r="AH65">
            <v>938</v>
          </cell>
          <cell r="AI65">
            <v>0</v>
          </cell>
          <cell r="AJ65">
            <v>-6765.9136363636353</v>
          </cell>
          <cell r="AP65">
            <v>53490.168181818182</v>
          </cell>
          <cell r="AQ65">
            <v>17168</v>
          </cell>
          <cell r="AR65">
            <v>36322.168181818182</v>
          </cell>
          <cell r="AS65">
            <v>7245</v>
          </cell>
          <cell r="AT65">
            <v>-46245.168181818182</v>
          </cell>
          <cell r="AU65">
            <v>9926</v>
          </cell>
          <cell r="AV65">
            <v>16907</v>
          </cell>
          <cell r="AW65">
            <v>7242</v>
          </cell>
          <cell r="AX65">
            <v>19415.168181818182</v>
          </cell>
        </row>
        <row r="66">
          <cell r="C66">
            <v>0</v>
          </cell>
          <cell r="D66">
            <v>0</v>
          </cell>
          <cell r="E66">
            <v>0</v>
          </cell>
          <cell r="N66">
            <v>700.33333333333326</v>
          </cell>
          <cell r="O66">
            <v>198</v>
          </cell>
          <cell r="P66">
            <v>-502.33333333333326</v>
          </cell>
          <cell r="Q66">
            <v>4264</v>
          </cell>
          <cell r="R66">
            <v>1097</v>
          </cell>
          <cell r="S66">
            <v>-3167</v>
          </cell>
          <cell r="T66">
            <v>2344.545454545455</v>
          </cell>
          <cell r="U66">
            <v>1044</v>
          </cell>
          <cell r="V66">
            <v>1300.545454545455</v>
          </cell>
          <cell r="W66">
            <v>608</v>
          </cell>
          <cell r="X66">
            <v>-1736.545454545455</v>
          </cell>
          <cell r="Y66">
            <v>1556.4545454545455</v>
          </cell>
          <cell r="Z66">
            <v>634</v>
          </cell>
          <cell r="AA66">
            <v>922.4545454545455</v>
          </cell>
          <cell r="AB66">
            <v>435</v>
          </cell>
          <cell r="AC66">
            <v>-1121.4545454545455</v>
          </cell>
          <cell r="AD66">
            <v>1701.0909090909092</v>
          </cell>
          <cell r="AE66">
            <v>1700.909090909091</v>
          </cell>
          <cell r="AF66">
            <v>0.18181818181824383</v>
          </cell>
          <cell r="AG66">
            <v>318</v>
          </cell>
          <cell r="AH66">
            <v>237</v>
          </cell>
          <cell r="AI66">
            <v>0</v>
          </cell>
          <cell r="AJ66">
            <v>-1383.0909090909092</v>
          </cell>
          <cell r="AP66">
            <v>10566.242424242424</v>
          </cell>
          <cell r="AQ66">
            <v>2378.333333333333</v>
          </cell>
          <cell r="AR66">
            <v>8187.909090909091</v>
          </cell>
          <cell r="AS66">
            <v>2575</v>
          </cell>
          <cell r="AT66">
            <v>-7991.242424242424</v>
          </cell>
        </row>
        <row r="67">
          <cell r="C67">
            <v>0</v>
          </cell>
          <cell r="D67">
            <v>0</v>
          </cell>
          <cell r="E67">
            <v>0</v>
          </cell>
          <cell r="N67">
            <v>41</v>
          </cell>
          <cell r="O67">
            <v>11</v>
          </cell>
          <cell r="P67">
            <v>-30</v>
          </cell>
          <cell r="Q67">
            <v>234</v>
          </cell>
          <cell r="R67">
            <v>60</v>
          </cell>
          <cell r="S67">
            <v>-174</v>
          </cell>
          <cell r="T67">
            <v>128</v>
          </cell>
          <cell r="U67">
            <v>57</v>
          </cell>
          <cell r="V67">
            <v>71</v>
          </cell>
          <cell r="W67">
            <v>33</v>
          </cell>
          <cell r="X67">
            <v>-95</v>
          </cell>
          <cell r="Y67">
            <v>85</v>
          </cell>
          <cell r="Z67">
            <v>35</v>
          </cell>
          <cell r="AA67">
            <v>50</v>
          </cell>
          <cell r="AB67">
            <v>24</v>
          </cell>
          <cell r="AC67">
            <v>-61</v>
          </cell>
          <cell r="AD67">
            <v>93</v>
          </cell>
          <cell r="AE67">
            <v>93</v>
          </cell>
          <cell r="AF67">
            <v>0</v>
          </cell>
          <cell r="AG67">
            <v>17</v>
          </cell>
          <cell r="AH67">
            <v>12</v>
          </cell>
          <cell r="AI67">
            <v>0</v>
          </cell>
          <cell r="AJ67">
            <v>-76</v>
          </cell>
          <cell r="AP67">
            <v>581</v>
          </cell>
          <cell r="AQ67">
            <v>133</v>
          </cell>
          <cell r="AR67">
            <v>448</v>
          </cell>
          <cell r="AS67">
            <v>140</v>
          </cell>
          <cell r="AT67">
            <v>-441</v>
          </cell>
        </row>
        <row r="68">
          <cell r="C68">
            <v>0</v>
          </cell>
          <cell r="D68">
            <v>0</v>
          </cell>
          <cell r="E68">
            <v>0</v>
          </cell>
          <cell r="N68">
            <v>226</v>
          </cell>
          <cell r="O68">
            <v>63</v>
          </cell>
          <cell r="P68">
            <v>-163</v>
          </cell>
          <cell r="Q68">
            <v>1360</v>
          </cell>
          <cell r="R68">
            <v>330</v>
          </cell>
          <cell r="S68">
            <v>-1030</v>
          </cell>
          <cell r="T68">
            <v>751</v>
          </cell>
          <cell r="U68">
            <v>334</v>
          </cell>
          <cell r="V68">
            <v>417</v>
          </cell>
          <cell r="W68">
            <v>190</v>
          </cell>
          <cell r="X68">
            <v>-561</v>
          </cell>
          <cell r="Y68">
            <v>502</v>
          </cell>
          <cell r="Z68">
            <v>205</v>
          </cell>
          <cell r="AA68">
            <v>297</v>
          </cell>
          <cell r="AB68">
            <v>137</v>
          </cell>
          <cell r="AC68">
            <v>-365</v>
          </cell>
          <cell r="AD68">
            <v>545</v>
          </cell>
          <cell r="AE68">
            <v>545</v>
          </cell>
          <cell r="AF68">
            <v>0</v>
          </cell>
          <cell r="AG68">
            <v>102</v>
          </cell>
          <cell r="AH68">
            <v>16</v>
          </cell>
          <cell r="AI68">
            <v>0</v>
          </cell>
          <cell r="AJ68">
            <v>-443</v>
          </cell>
          <cell r="AP68">
            <v>3384</v>
          </cell>
          <cell r="AQ68">
            <v>765</v>
          </cell>
          <cell r="AR68">
            <v>2619</v>
          </cell>
          <cell r="AS68">
            <v>620</v>
          </cell>
          <cell r="AT68">
            <v>-2764</v>
          </cell>
        </row>
        <row r="69">
          <cell r="C69">
            <v>0</v>
          </cell>
          <cell r="D69">
            <v>0</v>
          </cell>
          <cell r="E69">
            <v>0</v>
          </cell>
          <cell r="N69">
            <v>622</v>
          </cell>
          <cell r="P69">
            <v>-622</v>
          </cell>
          <cell r="Q69">
            <v>0</v>
          </cell>
          <cell r="S69">
            <v>0</v>
          </cell>
          <cell r="T69">
            <v>0</v>
          </cell>
          <cell r="U69">
            <v>0</v>
          </cell>
          <cell r="V69">
            <v>0</v>
          </cell>
          <cell r="X69">
            <v>0</v>
          </cell>
          <cell r="Y69">
            <v>0</v>
          </cell>
          <cell r="Z69">
            <v>0</v>
          </cell>
          <cell r="AA69">
            <v>0</v>
          </cell>
          <cell r="AC69">
            <v>0</v>
          </cell>
          <cell r="AD69">
            <v>0</v>
          </cell>
          <cell r="AE69">
            <v>0</v>
          </cell>
          <cell r="AF69">
            <v>0</v>
          </cell>
          <cell r="AI69">
            <v>0</v>
          </cell>
          <cell r="AJ69">
            <v>0</v>
          </cell>
          <cell r="AP69">
            <v>622</v>
          </cell>
          <cell r="AQ69">
            <v>622</v>
          </cell>
          <cell r="AR69">
            <v>0</v>
          </cell>
          <cell r="AS69">
            <v>0</v>
          </cell>
          <cell r="AT69">
            <v>-622</v>
          </cell>
        </row>
        <row r="70">
          <cell r="C70" t="e">
            <v>#REF!</v>
          </cell>
          <cell r="D70" t="e">
            <v>#REF!</v>
          </cell>
          <cell r="E70" t="e">
            <v>#REF!</v>
          </cell>
          <cell r="N70">
            <v>1182.5</v>
          </cell>
          <cell r="P70">
            <v>-1182.5</v>
          </cell>
          <cell r="Q70">
            <v>3616.6</v>
          </cell>
          <cell r="S70">
            <v>-3616.6</v>
          </cell>
          <cell r="T70">
            <v>4097</v>
          </cell>
          <cell r="U70">
            <v>0</v>
          </cell>
          <cell r="V70">
            <v>4097</v>
          </cell>
          <cell r="X70">
            <v>-4097</v>
          </cell>
          <cell r="Y70">
            <v>1266</v>
          </cell>
          <cell r="Z70">
            <v>170</v>
          </cell>
          <cell r="AA70">
            <v>1096</v>
          </cell>
          <cell r="AC70">
            <v>-1266</v>
          </cell>
          <cell r="AD70">
            <v>2080.7636363636366</v>
          </cell>
          <cell r="AE70">
            <v>2080.7636363636366</v>
          </cell>
          <cell r="AF70">
            <v>0</v>
          </cell>
          <cell r="AI70">
            <v>0</v>
          </cell>
          <cell r="AJ70">
            <v>-2080.7636363636366</v>
          </cell>
          <cell r="AP70" t="e">
            <v>#REF!</v>
          </cell>
          <cell r="AQ70" t="e">
            <v>#REF!</v>
          </cell>
          <cell r="AS70">
            <v>0</v>
          </cell>
          <cell r="AT70" t="e">
            <v>#REF!</v>
          </cell>
        </row>
        <row r="71">
          <cell r="C71" t="e">
            <v>#REF!</v>
          </cell>
          <cell r="D71" t="e">
            <v>#REF!</v>
          </cell>
          <cell r="E71" t="e">
            <v>#REF!</v>
          </cell>
          <cell r="N71">
            <v>0</v>
          </cell>
          <cell r="P71">
            <v>0</v>
          </cell>
          <cell r="Q71">
            <v>0</v>
          </cell>
          <cell r="S71">
            <v>0</v>
          </cell>
          <cell r="T71">
            <v>0</v>
          </cell>
          <cell r="U71">
            <v>0</v>
          </cell>
          <cell r="V71">
            <v>0</v>
          </cell>
          <cell r="X71">
            <v>0</v>
          </cell>
          <cell r="Y71">
            <v>0</v>
          </cell>
          <cell r="Z71">
            <v>0</v>
          </cell>
          <cell r="AA71">
            <v>0</v>
          </cell>
          <cell r="AC71">
            <v>0</v>
          </cell>
          <cell r="AD71">
            <v>0</v>
          </cell>
          <cell r="AE71">
            <v>0</v>
          </cell>
          <cell r="AF71">
            <v>0</v>
          </cell>
          <cell r="AI71">
            <v>0</v>
          </cell>
          <cell r="AJ71">
            <v>0</v>
          </cell>
          <cell r="AP71" t="e">
            <v>#REF!</v>
          </cell>
          <cell r="AQ71" t="e">
            <v>#REF!</v>
          </cell>
          <cell r="AS71">
            <v>0</v>
          </cell>
          <cell r="AT71" t="e">
            <v>#REF!</v>
          </cell>
        </row>
        <row r="72">
          <cell r="C72">
            <v>9368</v>
          </cell>
          <cell r="D72">
            <v>1252</v>
          </cell>
          <cell r="E72">
            <v>8116</v>
          </cell>
          <cell r="N72">
            <v>1060.6033333333335</v>
          </cell>
          <cell r="O72">
            <v>227</v>
          </cell>
          <cell r="P72">
            <v>-833.60333333333347</v>
          </cell>
          <cell r="Q72">
            <v>2731.3516666666665</v>
          </cell>
          <cell r="R72">
            <v>403</v>
          </cell>
          <cell r="S72">
            <v>-2328.3516666666665</v>
          </cell>
          <cell r="T72">
            <v>1044.2613333333334</v>
          </cell>
          <cell r="U72">
            <v>404</v>
          </cell>
          <cell r="V72">
            <v>640.26133333333337</v>
          </cell>
          <cell r="W72">
            <v>175</v>
          </cell>
          <cell r="X72">
            <v>-869.26133333333337</v>
          </cell>
          <cell r="Y72">
            <v>906.97866666666664</v>
          </cell>
          <cell r="Z72">
            <v>350</v>
          </cell>
          <cell r="AA72">
            <v>556.97866666666664</v>
          </cell>
          <cell r="AB72">
            <v>94</v>
          </cell>
          <cell r="AC72">
            <v>-812.97866666666664</v>
          </cell>
          <cell r="AD72">
            <v>2158.5673333333334</v>
          </cell>
          <cell r="AE72">
            <v>1794.3300000000002</v>
          </cell>
          <cell r="AF72">
            <v>364.23733333333325</v>
          </cell>
          <cell r="AG72">
            <v>379</v>
          </cell>
          <cell r="AH72">
            <v>173</v>
          </cell>
          <cell r="AI72">
            <v>35</v>
          </cell>
          <cell r="AJ72">
            <v>-1779.5673333333334</v>
          </cell>
          <cell r="AN72">
            <v>0</v>
          </cell>
          <cell r="AP72">
            <v>18135.655666666666</v>
          </cell>
          <cell r="AQ72" t="e">
            <v>#REF!</v>
          </cell>
          <cell r="AR72" t="e">
            <v>#REF!</v>
          </cell>
          <cell r="AS72">
            <v>181</v>
          </cell>
          <cell r="AT72">
            <v>-17954.655666666666</v>
          </cell>
          <cell r="AU72">
            <v>754</v>
          </cell>
          <cell r="AV72">
            <v>2092</v>
          </cell>
          <cell r="AW72">
            <v>2875.2033333333334</v>
          </cell>
          <cell r="AX72" t="e">
            <v>#REF!</v>
          </cell>
        </row>
        <row r="73">
          <cell r="C73">
            <v>3888</v>
          </cell>
          <cell r="D73">
            <v>70</v>
          </cell>
          <cell r="E73">
            <v>3818</v>
          </cell>
          <cell r="N73">
            <v>0</v>
          </cell>
          <cell r="P73">
            <v>0</v>
          </cell>
          <cell r="Q73">
            <v>0</v>
          </cell>
          <cell r="S73">
            <v>0</v>
          </cell>
          <cell r="T73">
            <v>0</v>
          </cell>
          <cell r="U73">
            <v>0</v>
          </cell>
          <cell r="V73">
            <v>0</v>
          </cell>
          <cell r="X73">
            <v>0</v>
          </cell>
          <cell r="Y73">
            <v>18</v>
          </cell>
          <cell r="Z73">
            <v>0</v>
          </cell>
          <cell r="AA73">
            <v>18</v>
          </cell>
          <cell r="AC73">
            <v>-18</v>
          </cell>
          <cell r="AD73">
            <v>0</v>
          </cell>
          <cell r="AE73">
            <v>0</v>
          </cell>
          <cell r="AF73">
            <v>0</v>
          </cell>
          <cell r="AI73">
            <v>0</v>
          </cell>
          <cell r="AJ73">
            <v>0</v>
          </cell>
          <cell r="AP73">
            <v>3906</v>
          </cell>
          <cell r="AQ73">
            <v>70</v>
          </cell>
          <cell r="AR73">
            <v>3836</v>
          </cell>
          <cell r="AS73">
            <v>0</v>
          </cell>
          <cell r="AT73">
            <v>-3906</v>
          </cell>
          <cell r="AU73">
            <v>0</v>
          </cell>
          <cell r="AV73">
            <v>18</v>
          </cell>
          <cell r="AW73">
            <v>70</v>
          </cell>
          <cell r="AX73">
            <v>3818</v>
          </cell>
        </row>
        <row r="74">
          <cell r="C74">
            <v>2936</v>
          </cell>
          <cell r="D74">
            <v>1182</v>
          </cell>
          <cell r="E74">
            <v>1754</v>
          </cell>
          <cell r="N74">
            <v>1060.6033333333335</v>
          </cell>
          <cell r="P74">
            <v>-1060.6033333333335</v>
          </cell>
          <cell r="Q74">
            <v>2630.3516666666665</v>
          </cell>
          <cell r="S74">
            <v>-2630.3516666666665</v>
          </cell>
          <cell r="T74">
            <v>1044.2613333333334</v>
          </cell>
          <cell r="U74">
            <v>404</v>
          </cell>
          <cell r="V74">
            <v>640.26133333333337</v>
          </cell>
          <cell r="X74">
            <v>-1044.2613333333334</v>
          </cell>
          <cell r="Y74">
            <v>888.97866666666664</v>
          </cell>
          <cell r="Z74">
            <v>350</v>
          </cell>
          <cell r="AA74">
            <v>538.97866666666664</v>
          </cell>
          <cell r="AC74">
            <v>-888.97866666666664</v>
          </cell>
          <cell r="AD74">
            <v>2158.5673333333334</v>
          </cell>
          <cell r="AE74">
            <v>1787.73</v>
          </cell>
          <cell r="AF74">
            <v>370.83733333333339</v>
          </cell>
          <cell r="AG74">
            <v>379</v>
          </cell>
          <cell r="AH74">
            <v>173</v>
          </cell>
          <cell r="AI74">
            <v>35</v>
          </cell>
          <cell r="AJ74">
            <v>-1779.5673333333334</v>
          </cell>
          <cell r="AN74">
            <v>0</v>
          </cell>
          <cell r="AP74">
            <v>11578.055666666665</v>
          </cell>
          <cell r="AQ74">
            <v>3559.2033333333334</v>
          </cell>
          <cell r="AR74">
            <v>8018.8523333333324</v>
          </cell>
          <cell r="AS74">
            <v>181</v>
          </cell>
          <cell r="AT74">
            <v>-11397.055666666665</v>
          </cell>
          <cell r="AU74">
            <v>754</v>
          </cell>
          <cell r="AV74">
            <v>2074</v>
          </cell>
          <cell r="AW74">
            <v>2805.2033333333334</v>
          </cell>
          <cell r="AX74">
            <v>5944.8523333333324</v>
          </cell>
        </row>
        <row r="75">
          <cell r="C75">
            <v>823</v>
          </cell>
          <cell r="D75">
            <v>299</v>
          </cell>
          <cell r="E75">
            <v>524</v>
          </cell>
          <cell r="N75">
            <v>687.60333333333324</v>
          </cell>
          <cell r="P75">
            <v>-687.60333333333324</v>
          </cell>
          <cell r="Q75">
            <v>1618.11</v>
          </cell>
          <cell r="S75">
            <v>-1618.11</v>
          </cell>
          <cell r="T75">
            <v>609.40800000000002</v>
          </cell>
          <cell r="U75">
            <v>248</v>
          </cell>
          <cell r="V75">
            <v>361.40800000000002</v>
          </cell>
          <cell r="X75">
            <v>-609.40800000000002</v>
          </cell>
          <cell r="Y75">
            <v>344.16200000000003</v>
          </cell>
          <cell r="Z75">
            <v>204</v>
          </cell>
          <cell r="AA75">
            <v>140.16200000000003</v>
          </cell>
          <cell r="AC75">
            <v>-344.16200000000003</v>
          </cell>
          <cell r="AD75">
            <v>1350.8340000000003</v>
          </cell>
          <cell r="AE75">
            <v>1168.48</v>
          </cell>
          <cell r="AF75">
            <v>182.35400000000027</v>
          </cell>
          <cell r="AJ75">
            <v>-1350.8340000000003</v>
          </cell>
          <cell r="AP75">
            <v>5650.7633333333342</v>
          </cell>
          <cell r="AQ75">
            <v>1663.2033333333334</v>
          </cell>
          <cell r="AR75">
            <v>3987.5600000000009</v>
          </cell>
          <cell r="AS75">
            <v>0</v>
          </cell>
          <cell r="AT75">
            <v>-5650.7633333333342</v>
          </cell>
          <cell r="AX75">
            <v>3987.5600000000009</v>
          </cell>
        </row>
        <row r="76">
          <cell r="C76">
            <v>0</v>
          </cell>
          <cell r="D76">
            <v>0</v>
          </cell>
          <cell r="E76">
            <v>0</v>
          </cell>
          <cell r="N76">
            <v>0</v>
          </cell>
          <cell r="P76">
            <v>0</v>
          </cell>
          <cell r="Q76">
            <v>0</v>
          </cell>
          <cell r="S76">
            <v>0</v>
          </cell>
          <cell r="T76">
            <v>0</v>
          </cell>
          <cell r="U76">
            <v>0</v>
          </cell>
          <cell r="V76">
            <v>0</v>
          </cell>
          <cell r="X76">
            <v>0</v>
          </cell>
          <cell r="Y76">
            <v>0</v>
          </cell>
          <cell r="Z76">
            <v>0</v>
          </cell>
          <cell r="AA76">
            <v>0</v>
          </cell>
          <cell r="AC76">
            <v>0</v>
          </cell>
          <cell r="AD76">
            <v>0</v>
          </cell>
          <cell r="AE76">
            <v>0</v>
          </cell>
          <cell r="AF76">
            <v>0</v>
          </cell>
          <cell r="AJ76">
            <v>0</v>
          </cell>
          <cell r="AP76">
            <v>658.33066666666662</v>
          </cell>
          <cell r="AQ76">
            <v>324</v>
          </cell>
          <cell r="AR76">
            <v>334.33066666666662</v>
          </cell>
          <cell r="AS76">
            <v>0</v>
          </cell>
          <cell r="AT76">
            <v>-658.33066666666662</v>
          </cell>
          <cell r="AX76">
            <v>334.33066666666662</v>
          </cell>
        </row>
        <row r="77">
          <cell r="C77">
            <v>338</v>
          </cell>
          <cell r="D77">
            <v>323</v>
          </cell>
          <cell r="E77">
            <v>15</v>
          </cell>
          <cell r="N77">
            <v>113.41666666666666</v>
          </cell>
          <cell r="Q77">
            <v>624.4666666666667</v>
          </cell>
          <cell r="T77">
            <v>191.26666666666668</v>
          </cell>
          <cell r="U77">
            <v>17</v>
          </cell>
          <cell r="V77">
            <v>174.26666666666668</v>
          </cell>
          <cell r="Y77">
            <v>168.01666666666671</v>
          </cell>
          <cell r="Z77">
            <v>46</v>
          </cell>
          <cell r="AA77">
            <v>122.01666666666671</v>
          </cell>
          <cell r="AD77">
            <v>391.68333333333339</v>
          </cell>
          <cell r="AE77">
            <v>316.25</v>
          </cell>
          <cell r="AF77">
            <v>75.433333333333394</v>
          </cell>
        </row>
        <row r="78">
          <cell r="C78">
            <v>482</v>
          </cell>
          <cell r="D78">
            <v>363</v>
          </cell>
          <cell r="E78">
            <v>119</v>
          </cell>
          <cell r="N78">
            <v>258.58333333333331</v>
          </cell>
          <cell r="Q78">
            <v>488.77500000000003</v>
          </cell>
          <cell r="T78">
            <v>242.58666666666667</v>
          </cell>
          <cell r="U78">
            <v>48</v>
          </cell>
          <cell r="V78">
            <v>194.58666666666667</v>
          </cell>
          <cell r="Y78">
            <v>376.8</v>
          </cell>
          <cell r="Z78">
            <v>69</v>
          </cell>
          <cell r="AA78">
            <v>307.8</v>
          </cell>
          <cell r="AD78">
            <v>412.05</v>
          </cell>
          <cell r="AE78">
            <v>299</v>
          </cell>
          <cell r="AF78">
            <v>113.05000000000001</v>
          </cell>
        </row>
        <row r="79">
          <cell r="C79">
            <v>1174</v>
          </cell>
          <cell r="D79">
            <v>85</v>
          </cell>
          <cell r="E79">
            <v>1089</v>
          </cell>
          <cell r="N79">
            <v>15.1</v>
          </cell>
          <cell r="P79">
            <v>-15.1</v>
          </cell>
          <cell r="Q79">
            <v>7.5</v>
          </cell>
          <cell r="S79">
            <v>-7.5</v>
          </cell>
          <cell r="T79">
            <v>0</v>
          </cell>
          <cell r="U79">
            <v>0</v>
          </cell>
          <cell r="V79">
            <v>0</v>
          </cell>
          <cell r="X79">
            <v>0</v>
          </cell>
          <cell r="Y79">
            <v>6.7</v>
          </cell>
          <cell r="Z79">
            <v>0</v>
          </cell>
          <cell r="AA79">
            <v>6.7</v>
          </cell>
          <cell r="AC79">
            <v>-6.7</v>
          </cell>
          <cell r="AD79">
            <v>38.799999999999997</v>
          </cell>
          <cell r="AE79">
            <v>34</v>
          </cell>
          <cell r="AF79">
            <v>4.7999999999999972</v>
          </cell>
          <cell r="AJ79">
            <v>-38.799999999999997</v>
          </cell>
          <cell r="AP79">
            <v>1240.3</v>
          </cell>
          <cell r="AQ79">
            <v>103.1</v>
          </cell>
          <cell r="AS79">
            <v>0</v>
          </cell>
          <cell r="AT79">
            <v>-1240.3</v>
          </cell>
        </row>
        <row r="80">
          <cell r="C80">
            <v>11620.2</v>
          </cell>
          <cell r="D80">
            <v>2178</v>
          </cell>
          <cell r="E80">
            <v>9442.2000000000007</v>
          </cell>
          <cell r="N80">
            <v>26984.656727272726</v>
          </cell>
          <cell r="O80">
            <v>6571</v>
          </cell>
          <cell r="P80">
            <v>-20413.656727272726</v>
          </cell>
          <cell r="Q80">
            <v>179469.62269696969</v>
          </cell>
          <cell r="R80">
            <v>83057</v>
          </cell>
          <cell r="S80">
            <v>-96412.622696969687</v>
          </cell>
          <cell r="T80">
            <v>263136.60090909095</v>
          </cell>
          <cell r="U80">
            <v>123843.34756097561</v>
          </cell>
          <cell r="V80">
            <v>139293.25334811531</v>
          </cell>
          <cell r="W80">
            <v>101508</v>
          </cell>
          <cell r="X80">
            <v>-161628.60090909095</v>
          </cell>
          <cell r="Y80">
            <v>220975.95939393938</v>
          </cell>
          <cell r="Z80">
            <v>96838.750161952048</v>
          </cell>
          <cell r="AA80">
            <v>124137.20923198733</v>
          </cell>
          <cell r="AB80">
            <v>81399</v>
          </cell>
          <cell r="AC80">
            <v>-139576.95939393938</v>
          </cell>
          <cell r="AD80">
            <v>47616.95509090909</v>
          </cell>
          <cell r="AE80">
            <v>39329.144424242433</v>
          </cell>
          <cell r="AF80">
            <v>8287.8106666666645</v>
          </cell>
          <cell r="AG80">
            <v>9642</v>
          </cell>
          <cell r="AH80">
            <v>6481</v>
          </cell>
          <cell r="AI80">
            <v>2032</v>
          </cell>
          <cell r="AJ80">
            <v>-37974.95509090909</v>
          </cell>
          <cell r="AL80">
            <v>0</v>
          </cell>
          <cell r="AN80">
            <v>0</v>
          </cell>
          <cell r="AP80">
            <v>744005.43481818191</v>
          </cell>
          <cell r="AQ80" t="e">
            <v>#REF!</v>
          </cell>
          <cell r="AR80" t="e">
            <v>#REF!</v>
          </cell>
          <cell r="AS80">
            <v>278125</v>
          </cell>
          <cell r="AT80">
            <v>-465880.43481818191</v>
          </cell>
          <cell r="AU80">
            <v>219889.09772292766</v>
          </cell>
          <cell r="AV80">
            <v>390684</v>
          </cell>
          <cell r="AW80">
            <v>28403.074909090912</v>
          </cell>
          <cell r="AX80" t="e">
            <v>#REF!</v>
          </cell>
        </row>
        <row r="81">
          <cell r="C81">
            <v>7732.2000000000007</v>
          </cell>
          <cell r="D81">
            <v>2108</v>
          </cell>
          <cell r="E81">
            <v>5624.2000000000007</v>
          </cell>
          <cell r="P81">
            <v>0</v>
          </cell>
          <cell r="S81">
            <v>0</v>
          </cell>
          <cell r="X81">
            <v>0</v>
          </cell>
          <cell r="AC81">
            <v>0</v>
          </cell>
          <cell r="AJ81">
            <v>0</v>
          </cell>
          <cell r="AP81">
            <v>215346.43481818191</v>
          </cell>
          <cell r="AQ81" t="e">
            <v>#REF!</v>
          </cell>
          <cell r="AR81" t="e">
            <v>#REF!</v>
          </cell>
          <cell r="AS81">
            <v>0</v>
          </cell>
          <cell r="AT81">
            <v>-215346.43481818191</v>
          </cell>
          <cell r="AU81">
            <v>24325</v>
          </cell>
          <cell r="AV81">
            <v>57590</v>
          </cell>
          <cell r="AW81">
            <v>28402.074909090912</v>
          </cell>
          <cell r="AX81" t="e">
            <v>#REF!</v>
          </cell>
        </row>
        <row r="82">
          <cell r="N82">
            <v>6707.772727272727</v>
          </cell>
          <cell r="O82">
            <v>1501</v>
          </cell>
          <cell r="P82">
            <v>-5206.772727272727</v>
          </cell>
          <cell r="Q82">
            <v>14801.50090909091</v>
          </cell>
          <cell r="R82">
            <v>3466</v>
          </cell>
          <cell r="S82">
            <v>-11335.50090909091</v>
          </cell>
          <cell r="T82">
            <v>5524.1272727272735</v>
          </cell>
          <cell r="U82">
            <v>2344</v>
          </cell>
          <cell r="V82">
            <v>3180.1272727272735</v>
          </cell>
          <cell r="W82">
            <v>1353</v>
          </cell>
          <cell r="X82">
            <v>-4171.1272727272735</v>
          </cell>
          <cell r="Y82">
            <v>4525.3672727272733</v>
          </cell>
          <cell r="Z82">
            <v>1812</v>
          </cell>
          <cell r="AA82">
            <v>2713.3672727272728</v>
          </cell>
          <cell r="AB82">
            <v>1097</v>
          </cell>
          <cell r="AC82">
            <v>-3428.3672727272733</v>
          </cell>
          <cell r="AD82">
            <v>13487.026363636363</v>
          </cell>
          <cell r="AE82">
            <v>12215.954545454544</v>
          </cell>
          <cell r="AF82">
            <v>1271.0718181818177</v>
          </cell>
          <cell r="AG82">
            <v>2881</v>
          </cell>
          <cell r="AH82">
            <v>1984</v>
          </cell>
          <cell r="AI82">
            <v>306</v>
          </cell>
          <cell r="AJ82">
            <v>-10606.026363636363</v>
          </cell>
          <cell r="AN82">
            <v>0</v>
          </cell>
          <cell r="AP82">
            <v>45317.922727272729</v>
          </cell>
          <cell r="AS82">
            <v>9401</v>
          </cell>
          <cell r="AT82">
            <v>-35916.922727272729</v>
          </cell>
        </row>
        <row r="83">
          <cell r="C83">
            <v>4580</v>
          </cell>
          <cell r="D83">
            <v>11292</v>
          </cell>
          <cell r="E83">
            <v>0</v>
          </cell>
          <cell r="P83">
            <v>0</v>
          </cell>
          <cell r="S83">
            <v>0</v>
          </cell>
          <cell r="X83">
            <v>0</v>
          </cell>
          <cell r="AC83">
            <v>0</v>
          </cell>
          <cell r="AJ83">
            <v>0</v>
          </cell>
          <cell r="AP83">
            <v>4580</v>
          </cell>
          <cell r="AQ83">
            <v>11292</v>
          </cell>
          <cell r="AR83">
            <v>0</v>
          </cell>
          <cell r="AS83">
            <v>0</v>
          </cell>
          <cell r="AT83">
            <v>-4580</v>
          </cell>
          <cell r="AU83">
            <v>0</v>
          </cell>
          <cell r="AV83">
            <v>0</v>
          </cell>
          <cell r="AW83">
            <v>0</v>
          </cell>
          <cell r="AX83">
            <v>0</v>
          </cell>
        </row>
        <row r="84">
          <cell r="C84">
            <v>16200.2</v>
          </cell>
          <cell r="D84">
            <v>13470</v>
          </cell>
          <cell r="E84">
            <v>9442.2000000000007</v>
          </cell>
          <cell r="N84">
            <v>26984.656727272726</v>
          </cell>
          <cell r="O84">
            <v>6571</v>
          </cell>
          <cell r="P84">
            <v>-20413.656727272726</v>
          </cell>
          <cell r="Q84">
            <v>179469.62269696969</v>
          </cell>
          <cell r="R84">
            <v>83057</v>
          </cell>
          <cell r="S84">
            <v>-96412.622696969687</v>
          </cell>
          <cell r="T84">
            <v>263136.60090909095</v>
          </cell>
          <cell r="U84">
            <v>123843.34756097561</v>
          </cell>
          <cell r="V84">
            <v>139293.25334811531</v>
          </cell>
          <cell r="W84">
            <v>101508</v>
          </cell>
          <cell r="X84">
            <v>-161628.60090909095</v>
          </cell>
          <cell r="Y84">
            <v>220975.95939393938</v>
          </cell>
          <cell r="Z84">
            <v>96838.750161952048</v>
          </cell>
          <cell r="AA84">
            <v>124137.20923198733</v>
          </cell>
          <cell r="AB84">
            <v>81399</v>
          </cell>
          <cell r="AC84">
            <v>-139576.95939393938</v>
          </cell>
          <cell r="AD84">
            <v>47616.95509090909</v>
          </cell>
          <cell r="AE84">
            <v>39329.144424242433</v>
          </cell>
          <cell r="AF84">
            <v>8287.8106666666645</v>
          </cell>
          <cell r="AG84">
            <v>9642</v>
          </cell>
          <cell r="AH84">
            <v>6481</v>
          </cell>
          <cell r="AI84">
            <v>2032</v>
          </cell>
          <cell r="AJ84">
            <v>-37974.95509090909</v>
          </cell>
          <cell r="AL84">
            <v>0</v>
          </cell>
          <cell r="AN84">
            <v>0</v>
          </cell>
          <cell r="AP84">
            <v>748585.43481818191</v>
          </cell>
          <cell r="AQ84" t="e">
            <v>#REF!</v>
          </cell>
          <cell r="AR84" t="e">
            <v>#REF!</v>
          </cell>
          <cell r="AS84">
            <v>278125</v>
          </cell>
          <cell r="AT84">
            <v>-470460.43481818191</v>
          </cell>
          <cell r="AU84">
            <v>219889.09772292766</v>
          </cell>
          <cell r="AV84">
            <v>390684</v>
          </cell>
          <cell r="AW84">
            <v>28403.074909090912</v>
          </cell>
          <cell r="AX84" t="e">
            <v>#REF!</v>
          </cell>
        </row>
        <row r="85">
          <cell r="C85">
            <v>98</v>
          </cell>
          <cell r="D85">
            <v>0</v>
          </cell>
          <cell r="E85">
            <v>98</v>
          </cell>
          <cell r="P85">
            <v>0</v>
          </cell>
          <cell r="S85">
            <v>0</v>
          </cell>
          <cell r="U85">
            <v>0</v>
          </cell>
          <cell r="V85">
            <v>0</v>
          </cell>
          <cell r="X85">
            <v>0</v>
          </cell>
          <cell r="AC85">
            <v>0</v>
          </cell>
          <cell r="AI85">
            <v>0</v>
          </cell>
          <cell r="AJ85">
            <v>0</v>
          </cell>
          <cell r="AP85">
            <v>97</v>
          </cell>
          <cell r="AQ85">
            <v>0</v>
          </cell>
          <cell r="AR85">
            <v>97</v>
          </cell>
          <cell r="AS85">
            <v>0</v>
          </cell>
          <cell r="AT85">
            <v>-97</v>
          </cell>
          <cell r="AU85">
            <v>0</v>
          </cell>
          <cell r="AV85">
            <v>0</v>
          </cell>
          <cell r="AW85">
            <v>0</v>
          </cell>
          <cell r="AX85">
            <v>97</v>
          </cell>
        </row>
        <row r="86">
          <cell r="C86">
            <v>443</v>
          </cell>
          <cell r="D86">
            <v>1959</v>
          </cell>
          <cell r="E86">
            <v>-1516</v>
          </cell>
          <cell r="N86">
            <v>0</v>
          </cell>
          <cell r="P86">
            <v>0</v>
          </cell>
          <cell r="Q86">
            <v>0</v>
          </cell>
          <cell r="S86">
            <v>0</v>
          </cell>
          <cell r="T86">
            <v>0</v>
          </cell>
          <cell r="U86">
            <v>0</v>
          </cell>
          <cell r="V86">
            <v>0</v>
          </cell>
          <cell r="X86">
            <v>0</v>
          </cell>
          <cell r="Y86">
            <v>0</v>
          </cell>
          <cell r="AC86">
            <v>0</v>
          </cell>
          <cell r="AD86">
            <v>0</v>
          </cell>
          <cell r="AE86">
            <v>0</v>
          </cell>
          <cell r="AI86">
            <v>0</v>
          </cell>
          <cell r="AJ86">
            <v>0</v>
          </cell>
          <cell r="AP86">
            <v>443</v>
          </cell>
          <cell r="AQ86">
            <v>1959</v>
          </cell>
          <cell r="AR86">
            <v>-1516</v>
          </cell>
          <cell r="AS86">
            <v>0</v>
          </cell>
          <cell r="AT86">
            <v>-443</v>
          </cell>
          <cell r="AU86">
            <v>0</v>
          </cell>
          <cell r="AV86">
            <v>0</v>
          </cell>
          <cell r="AW86">
            <v>1959</v>
          </cell>
          <cell r="AX86">
            <v>-1516</v>
          </cell>
        </row>
        <row r="87">
          <cell r="C87">
            <v>30</v>
          </cell>
          <cell r="D87">
            <v>481</v>
          </cell>
          <cell r="E87">
            <v>-451</v>
          </cell>
          <cell r="N87">
            <v>0</v>
          </cell>
          <cell r="P87">
            <v>0</v>
          </cell>
          <cell r="Q87">
            <v>0</v>
          </cell>
          <cell r="S87">
            <v>0</v>
          </cell>
          <cell r="T87">
            <v>0</v>
          </cell>
          <cell r="U87">
            <v>0</v>
          </cell>
          <cell r="V87">
            <v>0</v>
          </cell>
          <cell r="X87">
            <v>0</v>
          </cell>
          <cell r="Y87">
            <v>0</v>
          </cell>
          <cell r="Z87">
            <v>0</v>
          </cell>
          <cell r="AA87">
            <v>0</v>
          </cell>
          <cell r="AC87">
            <v>0</v>
          </cell>
          <cell r="AD87">
            <v>0</v>
          </cell>
          <cell r="AE87">
            <v>0</v>
          </cell>
          <cell r="AI87">
            <v>0</v>
          </cell>
          <cell r="AJ87">
            <v>0</v>
          </cell>
          <cell r="AP87">
            <v>29</v>
          </cell>
          <cell r="AQ87">
            <v>481</v>
          </cell>
          <cell r="AR87">
            <v>-452</v>
          </cell>
          <cell r="AS87">
            <v>-1</v>
          </cell>
          <cell r="AT87">
            <v>-30</v>
          </cell>
          <cell r="AU87">
            <v>0</v>
          </cell>
          <cell r="AV87">
            <v>0</v>
          </cell>
          <cell r="AW87">
            <v>481</v>
          </cell>
          <cell r="AX87">
            <v>-452</v>
          </cell>
        </row>
        <row r="88">
          <cell r="C88">
            <v>37</v>
          </cell>
          <cell r="D88">
            <v>12</v>
          </cell>
          <cell r="E88">
            <v>25</v>
          </cell>
          <cell r="N88">
            <v>131</v>
          </cell>
          <cell r="O88">
            <v>51</v>
          </cell>
          <cell r="P88">
            <v>-80</v>
          </cell>
          <cell r="Q88">
            <v>99.6</v>
          </cell>
          <cell r="S88">
            <v>-99.6</v>
          </cell>
          <cell r="T88">
            <v>169.93333333333331</v>
          </cell>
          <cell r="U88">
            <v>176</v>
          </cell>
          <cell r="V88">
            <v>-6.0666666666666913</v>
          </cell>
          <cell r="X88">
            <v>-169.93333333333331</v>
          </cell>
          <cell r="Y88">
            <v>389.93333333333328</v>
          </cell>
          <cell r="Z88">
            <v>0</v>
          </cell>
          <cell r="AB88">
            <v>0</v>
          </cell>
          <cell r="AC88">
            <v>-389.93333333333328</v>
          </cell>
          <cell r="AD88">
            <v>148</v>
          </cell>
          <cell r="AE88">
            <v>142</v>
          </cell>
          <cell r="AF88">
            <v>6</v>
          </cell>
          <cell r="AG88">
            <v>44</v>
          </cell>
          <cell r="AH88">
            <v>15</v>
          </cell>
          <cell r="AI88">
            <v>29</v>
          </cell>
          <cell r="AJ88">
            <v>-104</v>
          </cell>
          <cell r="AP88">
            <v>874.46666666666658</v>
          </cell>
          <cell r="AQ88">
            <v>250</v>
          </cell>
          <cell r="AR88">
            <v>624.46666666666658</v>
          </cell>
          <cell r="AS88">
            <v>65</v>
          </cell>
          <cell r="AT88">
            <v>-809.46666666666658</v>
          </cell>
          <cell r="AU88">
            <v>176</v>
          </cell>
          <cell r="AV88">
            <v>21</v>
          </cell>
          <cell r="AW88">
            <v>74</v>
          </cell>
          <cell r="AX88">
            <v>603.46666666666658</v>
          </cell>
        </row>
        <row r="89">
          <cell r="C89">
            <v>16808.2</v>
          </cell>
          <cell r="D89">
            <v>15922</v>
          </cell>
          <cell r="E89">
            <v>7598.2000000000007</v>
          </cell>
          <cell r="N89">
            <v>27115.656727272726</v>
          </cell>
          <cell r="O89">
            <v>6622</v>
          </cell>
          <cell r="P89">
            <v>-20493.656727272726</v>
          </cell>
          <cell r="Q89">
            <v>179569.22269696969</v>
          </cell>
          <cell r="R89">
            <v>83057</v>
          </cell>
          <cell r="S89">
            <v>-96512.222696969693</v>
          </cell>
          <cell r="T89">
            <v>263306.5342424243</v>
          </cell>
          <cell r="U89">
            <v>124019.34756097561</v>
          </cell>
          <cell r="V89">
            <v>139287.18668144863</v>
          </cell>
          <cell r="W89">
            <v>101508</v>
          </cell>
          <cell r="X89">
            <v>-161798.5342424243</v>
          </cell>
          <cell r="Y89">
            <v>221365.8927272727</v>
          </cell>
          <cell r="Z89">
            <v>96838.750161952048</v>
          </cell>
          <cell r="AA89">
            <v>124137.20923198733</v>
          </cell>
          <cell r="AB89">
            <v>81399</v>
          </cell>
          <cell r="AC89">
            <v>-139966.8927272727</v>
          </cell>
          <cell r="AD89">
            <v>47764.95509090909</v>
          </cell>
          <cell r="AE89">
            <v>39471.144424242433</v>
          </cell>
          <cell r="AF89">
            <v>8293.8106666666645</v>
          </cell>
          <cell r="AG89">
            <v>9686</v>
          </cell>
          <cell r="AH89">
            <v>6496</v>
          </cell>
          <cell r="AI89">
            <v>2061</v>
          </cell>
          <cell r="AJ89">
            <v>-38078.95509090909</v>
          </cell>
          <cell r="AK89">
            <v>0</v>
          </cell>
          <cell r="AN89">
            <v>0</v>
          </cell>
          <cell r="AP89">
            <v>750030.90148484858</v>
          </cell>
          <cell r="AQ89" t="e">
            <v>#REF!</v>
          </cell>
          <cell r="AR89" t="e">
            <v>#REF!</v>
          </cell>
          <cell r="AS89">
            <v>278189</v>
          </cell>
          <cell r="AT89">
            <v>-471841.90148484858</v>
          </cell>
          <cell r="AU89">
            <v>220065.09772292766</v>
          </cell>
          <cell r="AV89">
            <v>390705</v>
          </cell>
          <cell r="AW89">
            <v>30917.074909090912</v>
          </cell>
          <cell r="AX89" t="e">
            <v>#REF!</v>
          </cell>
        </row>
        <row r="90">
          <cell r="C90">
            <v>12228.2</v>
          </cell>
          <cell r="D90">
            <v>4630</v>
          </cell>
          <cell r="E90">
            <v>7598.2000000000007</v>
          </cell>
          <cell r="N90">
            <v>27115.656727272726</v>
          </cell>
          <cell r="O90">
            <v>6622</v>
          </cell>
          <cell r="P90">
            <v>-20493.656727272726</v>
          </cell>
          <cell r="Q90">
            <v>75517.222696969693</v>
          </cell>
          <cell r="R90">
            <v>21655</v>
          </cell>
          <cell r="S90">
            <v>-53862.222696969693</v>
          </cell>
          <cell r="T90">
            <v>35777.534242424299</v>
          </cell>
          <cell r="U90">
            <v>15213</v>
          </cell>
          <cell r="V90">
            <v>20564.534242424241</v>
          </cell>
          <cell r="W90">
            <v>7876</v>
          </cell>
          <cell r="X90">
            <v>-27901.534242424299</v>
          </cell>
          <cell r="Y90">
            <v>24288.892727272701</v>
          </cell>
          <cell r="Z90">
            <v>10081</v>
          </cell>
          <cell r="AA90">
            <v>13817.959393939382</v>
          </cell>
          <cell r="AB90">
            <v>5098</v>
          </cell>
          <cell r="AC90">
            <v>-19190.892727272701</v>
          </cell>
          <cell r="AD90">
            <v>47764.95509090909</v>
          </cell>
          <cell r="AE90">
            <v>39471.144424242433</v>
          </cell>
          <cell r="AF90">
            <v>8293.8106666666645</v>
          </cell>
          <cell r="AG90">
            <v>9686</v>
          </cell>
          <cell r="AH90">
            <v>6496</v>
          </cell>
          <cell r="AI90">
            <v>2061</v>
          </cell>
          <cell r="AJ90">
            <v>-38078.95509090909</v>
          </cell>
          <cell r="AN90">
            <v>0</v>
          </cell>
          <cell r="AP90">
            <v>216791.90148484858</v>
          </cell>
          <cell r="AQ90" t="e">
            <v>#REF!</v>
          </cell>
          <cell r="AR90" t="e">
            <v>#REF!</v>
          </cell>
          <cell r="AS90">
            <v>46854</v>
          </cell>
          <cell r="AT90">
            <v>-169937.90148484858</v>
          </cell>
          <cell r="AU90">
            <v>24501</v>
          </cell>
          <cell r="AV90">
            <v>57611</v>
          </cell>
          <cell r="AW90">
            <v>30916.074909090912</v>
          </cell>
          <cell r="AX90" t="e">
            <v>#REF!</v>
          </cell>
        </row>
        <row r="91">
          <cell r="C91">
            <v>772.2</v>
          </cell>
          <cell r="D91">
            <v>310</v>
          </cell>
          <cell r="E91">
            <v>462.20000000000005</v>
          </cell>
          <cell r="N91">
            <v>6707.772727272727</v>
          </cell>
          <cell r="O91">
            <v>1501</v>
          </cell>
          <cell r="P91">
            <v>-5206.772727272727</v>
          </cell>
          <cell r="Q91">
            <v>14801.50090909091</v>
          </cell>
          <cell r="R91">
            <v>3466</v>
          </cell>
          <cell r="S91">
            <v>-11335.50090909091</v>
          </cell>
          <cell r="T91">
            <v>5524.1272727272735</v>
          </cell>
          <cell r="U91">
            <v>2344</v>
          </cell>
          <cell r="V91">
            <v>3180.1272727272735</v>
          </cell>
          <cell r="W91">
            <v>1353</v>
          </cell>
          <cell r="X91">
            <v>-4171.1272727272735</v>
          </cell>
          <cell r="Y91">
            <v>4525.3672727272733</v>
          </cell>
          <cell r="Z91">
            <v>1812</v>
          </cell>
          <cell r="AA91">
            <v>2713.3672727272728</v>
          </cell>
          <cell r="AB91">
            <v>1097</v>
          </cell>
          <cell r="AC91">
            <v>-3428.3672727272733</v>
          </cell>
          <cell r="AD91">
            <v>13487.026363636363</v>
          </cell>
          <cell r="AE91">
            <v>12215.954545454544</v>
          </cell>
          <cell r="AF91">
            <v>1271.0718181818177</v>
          </cell>
          <cell r="AG91">
            <v>2881</v>
          </cell>
          <cell r="AH91">
            <v>1984</v>
          </cell>
          <cell r="AI91">
            <v>306</v>
          </cell>
          <cell r="AJ91">
            <v>-10606.026363636363</v>
          </cell>
          <cell r="AN91">
            <v>0</v>
          </cell>
          <cell r="AP91">
            <v>45317.922727272729</v>
          </cell>
          <cell r="AQ91">
            <v>750183.90148484847</v>
          </cell>
          <cell r="AR91">
            <v>265342.17263201857</v>
          </cell>
          <cell r="AS91">
            <v>9401</v>
          </cell>
        </row>
        <row r="92">
          <cell r="C92">
            <v>-1308</v>
          </cell>
          <cell r="N92">
            <v>13004</v>
          </cell>
          <cell r="P92">
            <v>-13004</v>
          </cell>
          <cell r="Q92">
            <v>28077</v>
          </cell>
          <cell r="S92">
            <v>-28077</v>
          </cell>
          <cell r="T92">
            <v>1689</v>
          </cell>
          <cell r="X92">
            <v>-1689</v>
          </cell>
          <cell r="Y92">
            <v>1811</v>
          </cell>
          <cell r="AB92">
            <v>432</v>
          </cell>
          <cell r="AC92">
            <v>-1379</v>
          </cell>
          <cell r="AD92">
            <v>3089</v>
          </cell>
          <cell r="AE92">
            <v>3089</v>
          </cell>
          <cell r="AF92">
            <v>0</v>
          </cell>
          <cell r="AI92">
            <v>0</v>
          </cell>
          <cell r="AJ92" t="e">
            <v>#REF!</v>
          </cell>
          <cell r="AN92" t="e">
            <v>#REF!</v>
          </cell>
          <cell r="AO92">
            <v>1616</v>
          </cell>
          <cell r="AP92" t="e">
            <v>#REF!</v>
          </cell>
          <cell r="AS92">
            <v>2048</v>
          </cell>
        </row>
        <row r="93">
          <cell r="C93">
            <v>0</v>
          </cell>
          <cell r="N93">
            <v>5562</v>
          </cell>
          <cell r="P93">
            <v>-5562</v>
          </cell>
          <cell r="Q93">
            <v>12022</v>
          </cell>
          <cell r="S93">
            <v>-12022</v>
          </cell>
          <cell r="T93">
            <v>1689</v>
          </cell>
          <cell r="W93">
            <v>0</v>
          </cell>
          <cell r="X93">
            <v>-1689</v>
          </cell>
          <cell r="Y93">
            <v>1811</v>
          </cell>
          <cell r="AB93">
            <v>432</v>
          </cell>
          <cell r="AC93">
            <v>-1379</v>
          </cell>
          <cell r="AD93">
            <v>3089</v>
          </cell>
          <cell r="AE93">
            <v>3089</v>
          </cell>
          <cell r="AF93">
            <v>0</v>
          </cell>
          <cell r="AI93">
            <v>0</v>
          </cell>
          <cell r="AJ93">
            <v>-3089</v>
          </cell>
          <cell r="AN93" t="e">
            <v>#REF!</v>
          </cell>
          <cell r="AP93" t="e">
            <v>#REF!</v>
          </cell>
          <cell r="AS93">
            <v>432</v>
          </cell>
        </row>
        <row r="95">
          <cell r="C95">
            <v>-1308</v>
          </cell>
          <cell r="N95">
            <v>7442</v>
          </cell>
          <cell r="P95">
            <v>-7442</v>
          </cell>
          <cell r="Q95">
            <v>16055</v>
          </cell>
          <cell r="R95">
            <v>0</v>
          </cell>
          <cell r="S95">
            <v>-16055</v>
          </cell>
          <cell r="T95">
            <v>0</v>
          </cell>
          <cell r="X95">
            <v>0</v>
          </cell>
          <cell r="Y95">
            <v>0</v>
          </cell>
          <cell r="AC95">
            <v>0</v>
          </cell>
          <cell r="AD95">
            <v>0</v>
          </cell>
          <cell r="AE95">
            <v>0</v>
          </cell>
          <cell r="AF95">
            <v>0</v>
          </cell>
          <cell r="AI95">
            <v>0</v>
          </cell>
          <cell r="AJ95">
            <v>0</v>
          </cell>
          <cell r="AN95" t="e">
            <v>#REF!</v>
          </cell>
          <cell r="AP95" t="e">
            <v>#REF!</v>
          </cell>
          <cell r="AS95">
            <v>0</v>
          </cell>
        </row>
        <row r="96">
          <cell r="P96">
            <v>0</v>
          </cell>
          <cell r="S96">
            <v>0</v>
          </cell>
          <cell r="X96">
            <v>0</v>
          </cell>
          <cell r="AC96">
            <v>0</v>
          </cell>
          <cell r="AF96">
            <v>0</v>
          </cell>
          <cell r="AI96">
            <v>0</v>
          </cell>
          <cell r="AJ96">
            <v>0</v>
          </cell>
          <cell r="AN96" t="e">
            <v>#REF!</v>
          </cell>
          <cell r="AP96" t="e">
            <v>#REF!</v>
          </cell>
          <cell r="AS96">
            <v>0</v>
          </cell>
        </row>
        <row r="97">
          <cell r="P97">
            <v>0</v>
          </cell>
          <cell r="S97">
            <v>0</v>
          </cell>
          <cell r="X97">
            <v>0</v>
          </cell>
          <cell r="AC97">
            <v>0</v>
          </cell>
          <cell r="AF97">
            <v>0</v>
          </cell>
          <cell r="AI97">
            <v>0</v>
          </cell>
          <cell r="AJ97">
            <v>0</v>
          </cell>
          <cell r="AN97" t="e">
            <v>#REF!</v>
          </cell>
          <cell r="AP97" t="e">
            <v>#REF!</v>
          </cell>
          <cell r="AS97">
            <v>0</v>
          </cell>
        </row>
        <row r="98">
          <cell r="P98">
            <v>0</v>
          </cell>
          <cell r="S98">
            <v>0</v>
          </cell>
          <cell r="X98">
            <v>0</v>
          </cell>
          <cell r="AC98">
            <v>0</v>
          </cell>
          <cell r="AF98">
            <v>0</v>
          </cell>
          <cell r="AI98">
            <v>0</v>
          </cell>
          <cell r="AJ98">
            <v>0</v>
          </cell>
          <cell r="AN98" t="e">
            <v>#REF!</v>
          </cell>
          <cell r="AP98" t="e">
            <v>#REF!</v>
          </cell>
          <cell r="AS98">
            <v>0</v>
          </cell>
        </row>
        <row r="99">
          <cell r="P99">
            <v>0</v>
          </cell>
          <cell r="S99">
            <v>0</v>
          </cell>
          <cell r="X99">
            <v>0</v>
          </cell>
          <cell r="AC99">
            <v>0</v>
          </cell>
          <cell r="AI99">
            <v>0</v>
          </cell>
          <cell r="AJ99">
            <v>0</v>
          </cell>
          <cell r="AN99" t="e">
            <v>#REF!</v>
          </cell>
          <cell r="AP99" t="e">
            <v>#REF!</v>
          </cell>
          <cell r="AS99">
            <v>0</v>
          </cell>
        </row>
        <row r="100">
          <cell r="C100">
            <v>-1308</v>
          </cell>
          <cell r="N100">
            <v>0.19200000000000017</v>
          </cell>
          <cell r="P100">
            <v>-0.19200000000000017</v>
          </cell>
          <cell r="Q100">
            <v>-0.32000000000000028</v>
          </cell>
          <cell r="R100">
            <v>31</v>
          </cell>
          <cell r="S100">
            <v>31.32</v>
          </cell>
          <cell r="T100">
            <v>-0.3360000000000003</v>
          </cell>
          <cell r="W100">
            <v>2</v>
          </cell>
          <cell r="X100">
            <v>2.3360000000000003</v>
          </cell>
          <cell r="Y100">
            <v>0.28000000000000114</v>
          </cell>
          <cell r="AB100">
            <v>10</v>
          </cell>
          <cell r="AC100">
            <v>9.7199999999999989</v>
          </cell>
          <cell r="AD100">
            <v>0.35200000000000031</v>
          </cell>
          <cell r="AE100">
            <v>0.35200000000000031</v>
          </cell>
          <cell r="AF100">
            <v>0</v>
          </cell>
          <cell r="AG100">
            <v>128</v>
          </cell>
          <cell r="AH100">
            <v>128</v>
          </cell>
          <cell r="AI100">
            <v>0</v>
          </cell>
          <cell r="AJ100">
            <v>127.648</v>
          </cell>
          <cell r="AN100" t="e">
            <v>#REF!</v>
          </cell>
          <cell r="AP100" t="e">
            <v>#REF!</v>
          </cell>
          <cell r="AS100">
            <v>140</v>
          </cell>
        </row>
        <row r="101">
          <cell r="C101">
            <v>-1308</v>
          </cell>
          <cell r="N101">
            <v>0</v>
          </cell>
          <cell r="P101">
            <v>0</v>
          </cell>
          <cell r="Q101">
            <v>0</v>
          </cell>
          <cell r="R101">
            <v>0</v>
          </cell>
          <cell r="S101">
            <v>0</v>
          </cell>
          <cell r="T101">
            <v>0</v>
          </cell>
          <cell r="X101">
            <v>0</v>
          </cell>
          <cell r="Y101">
            <v>0</v>
          </cell>
          <cell r="AC101">
            <v>0</v>
          </cell>
          <cell r="AD101">
            <v>0</v>
          </cell>
          <cell r="AE101">
            <v>0</v>
          </cell>
          <cell r="AF101">
            <v>0</v>
          </cell>
          <cell r="AI101">
            <v>0</v>
          </cell>
          <cell r="AJ101">
            <v>0</v>
          </cell>
          <cell r="AN101" t="e">
            <v>#REF!</v>
          </cell>
          <cell r="AP101" t="e">
            <v>#REF!</v>
          </cell>
          <cell r="AS101">
            <v>0</v>
          </cell>
        </row>
        <row r="102">
          <cell r="C102">
            <v>0</v>
          </cell>
          <cell r="N102">
            <v>0</v>
          </cell>
          <cell r="P102">
            <v>0</v>
          </cell>
          <cell r="Q102">
            <v>0</v>
          </cell>
          <cell r="S102">
            <v>0</v>
          </cell>
          <cell r="T102">
            <v>0</v>
          </cell>
          <cell r="X102">
            <v>0</v>
          </cell>
          <cell r="Y102">
            <v>0</v>
          </cell>
          <cell r="AC102">
            <v>0</v>
          </cell>
          <cell r="AD102">
            <v>0</v>
          </cell>
          <cell r="AE102">
            <v>0</v>
          </cell>
          <cell r="AF102">
            <v>0</v>
          </cell>
          <cell r="AI102">
            <v>0</v>
          </cell>
          <cell r="AJ102">
            <v>0</v>
          </cell>
          <cell r="AN102" t="e">
            <v>#REF!</v>
          </cell>
          <cell r="AP102" t="e">
            <v>#REF!</v>
          </cell>
          <cell r="AS102">
            <v>0</v>
          </cell>
        </row>
        <row r="103">
          <cell r="C103">
            <v>0</v>
          </cell>
          <cell r="N103">
            <v>0.19200000000000017</v>
          </cell>
          <cell r="P103">
            <v>-0.19200000000000017</v>
          </cell>
          <cell r="Q103">
            <v>-0.32000000000000028</v>
          </cell>
          <cell r="R103">
            <v>31</v>
          </cell>
          <cell r="S103">
            <v>31.32</v>
          </cell>
          <cell r="T103">
            <v>-0.3360000000000003</v>
          </cell>
          <cell r="W103">
            <v>2</v>
          </cell>
          <cell r="X103">
            <v>2.3360000000000003</v>
          </cell>
          <cell r="Y103">
            <v>0.28000000000000114</v>
          </cell>
          <cell r="AB103">
            <v>10</v>
          </cell>
          <cell r="AC103">
            <v>9.7199999999999989</v>
          </cell>
          <cell r="AD103">
            <v>0.35200000000000031</v>
          </cell>
          <cell r="AE103">
            <v>0.35200000000000031</v>
          </cell>
          <cell r="AF103">
            <v>0</v>
          </cell>
          <cell r="AG103">
            <v>128</v>
          </cell>
          <cell r="AH103">
            <v>128</v>
          </cell>
          <cell r="AI103">
            <v>0</v>
          </cell>
          <cell r="AJ103">
            <v>127.648</v>
          </cell>
          <cell r="AN103">
            <v>3701.768</v>
          </cell>
          <cell r="AP103">
            <v>3702</v>
          </cell>
          <cell r="AS103">
            <v>140</v>
          </cell>
        </row>
        <row r="104">
          <cell r="C104">
            <v>0</v>
          </cell>
          <cell r="N104">
            <v>0.20800000000000018</v>
          </cell>
          <cell r="P104">
            <v>-0.20800000000000018</v>
          </cell>
          <cell r="Q104">
            <v>234.404</v>
          </cell>
          <cell r="R104">
            <v>154</v>
          </cell>
          <cell r="S104">
            <v>-80.403999999999996</v>
          </cell>
          <cell r="T104">
            <v>-0.42800000000000082</v>
          </cell>
          <cell r="W104">
            <v>79</v>
          </cell>
          <cell r="X104">
            <v>79.427999999999997</v>
          </cell>
          <cell r="Y104">
            <v>6.799999999999784E-2</v>
          </cell>
          <cell r="AB104">
            <v>86</v>
          </cell>
          <cell r="AC104">
            <v>85.932000000000002</v>
          </cell>
          <cell r="AD104">
            <v>0.28399999999999892</v>
          </cell>
          <cell r="AE104">
            <v>0.28399999999999892</v>
          </cell>
          <cell r="AF104">
            <v>0</v>
          </cell>
          <cell r="AG104">
            <v>30</v>
          </cell>
          <cell r="AH104">
            <v>30</v>
          </cell>
          <cell r="AI104">
            <v>0</v>
          </cell>
          <cell r="AJ104">
            <v>29.716000000000001</v>
          </cell>
          <cell r="AN104" t="e">
            <v>#REF!</v>
          </cell>
          <cell r="AP104" t="e">
            <v>#REF!</v>
          </cell>
          <cell r="AS104">
            <v>195</v>
          </cell>
        </row>
        <row r="105">
          <cell r="C105">
            <v>0</v>
          </cell>
          <cell r="N105">
            <v>0</v>
          </cell>
          <cell r="P105">
            <v>0</v>
          </cell>
          <cell r="Q105">
            <v>233.64000000000001</v>
          </cell>
          <cell r="R105">
            <v>0</v>
          </cell>
          <cell r="S105">
            <v>-233.64000000000001</v>
          </cell>
          <cell r="T105">
            <v>0</v>
          </cell>
          <cell r="W105">
            <v>0</v>
          </cell>
          <cell r="X105">
            <v>0</v>
          </cell>
          <cell r="Y105">
            <v>0</v>
          </cell>
          <cell r="AB105">
            <v>0</v>
          </cell>
          <cell r="AC105">
            <v>0</v>
          </cell>
          <cell r="AD105">
            <v>0</v>
          </cell>
          <cell r="AE105">
            <v>0</v>
          </cell>
          <cell r="AF105">
            <v>0</v>
          </cell>
          <cell r="AI105">
            <v>0</v>
          </cell>
          <cell r="AJ105">
            <v>0</v>
          </cell>
          <cell r="AN105" t="e">
            <v>#REF!</v>
          </cell>
          <cell r="AP105" t="e">
            <v>#REF!</v>
          </cell>
          <cell r="AS105">
            <v>0</v>
          </cell>
        </row>
        <row r="106">
          <cell r="C106">
            <v>0</v>
          </cell>
          <cell r="N106">
            <v>0.20800000000000018</v>
          </cell>
          <cell r="P106">
            <v>-0.20800000000000018</v>
          </cell>
          <cell r="Q106">
            <v>-0.23600000000000065</v>
          </cell>
          <cell r="R106">
            <v>154</v>
          </cell>
          <cell r="S106">
            <v>154.23599999999999</v>
          </cell>
          <cell r="T106">
            <v>-0.42800000000000082</v>
          </cell>
          <cell r="W106">
            <v>79</v>
          </cell>
          <cell r="X106">
            <v>79.427999999999997</v>
          </cell>
          <cell r="Y106">
            <v>6.799999999999784E-2</v>
          </cell>
          <cell r="AB106">
            <v>86</v>
          </cell>
          <cell r="AC106">
            <v>85.932000000000002</v>
          </cell>
          <cell r="AD106">
            <v>0.28399999999999892</v>
          </cell>
          <cell r="AE106">
            <v>0.28399999999999892</v>
          </cell>
          <cell r="AF106">
            <v>0</v>
          </cell>
          <cell r="AG106">
            <v>30</v>
          </cell>
          <cell r="AH106">
            <v>30</v>
          </cell>
          <cell r="AI106">
            <v>0</v>
          </cell>
          <cell r="AJ106">
            <v>29.716000000000001</v>
          </cell>
          <cell r="AN106" t="e">
            <v>#REF!</v>
          </cell>
          <cell r="AP106" t="e">
            <v>#REF!</v>
          </cell>
          <cell r="AS106">
            <v>195</v>
          </cell>
        </row>
        <row r="107">
          <cell r="C107">
            <v>0</v>
          </cell>
          <cell r="N107">
            <v>0</v>
          </cell>
          <cell r="P107">
            <v>0</v>
          </cell>
          <cell r="Q107">
            <v>526.04999999999995</v>
          </cell>
          <cell r="R107">
            <v>800</v>
          </cell>
          <cell r="S107">
            <v>273.95000000000005</v>
          </cell>
          <cell r="T107">
            <v>0</v>
          </cell>
          <cell r="X107">
            <v>0</v>
          </cell>
          <cell r="Y107">
            <v>0</v>
          </cell>
          <cell r="AC107">
            <v>0</v>
          </cell>
          <cell r="AD107">
            <v>0</v>
          </cell>
          <cell r="AE107">
            <v>0</v>
          </cell>
          <cell r="AF107">
            <v>0</v>
          </cell>
          <cell r="AI107">
            <v>0</v>
          </cell>
          <cell r="AJ107">
            <v>0</v>
          </cell>
          <cell r="AN107" t="e">
            <v>#REF!</v>
          </cell>
          <cell r="AP107" t="e">
            <v>#REF!</v>
          </cell>
          <cell r="AQ107" t="e">
            <v>#REF!</v>
          </cell>
          <cell r="AR107" t="e">
            <v>#REF!</v>
          </cell>
          <cell r="AS107">
            <v>0</v>
          </cell>
        </row>
        <row r="108">
          <cell r="C108">
            <v>0</v>
          </cell>
          <cell r="N108">
            <v>0</v>
          </cell>
          <cell r="P108">
            <v>0</v>
          </cell>
          <cell r="Q108">
            <v>526.04999999999995</v>
          </cell>
          <cell r="R108">
            <v>800</v>
          </cell>
          <cell r="S108">
            <v>273.95000000000005</v>
          </cell>
          <cell r="T108">
            <v>0</v>
          </cell>
          <cell r="X108">
            <v>0</v>
          </cell>
          <cell r="Y108">
            <v>0</v>
          </cell>
          <cell r="AC108">
            <v>0</v>
          </cell>
          <cell r="AD108">
            <v>0</v>
          </cell>
          <cell r="AE108">
            <v>0</v>
          </cell>
          <cell r="AF108">
            <v>0</v>
          </cell>
          <cell r="AI108">
            <v>0</v>
          </cell>
          <cell r="AJ108">
            <v>0</v>
          </cell>
          <cell r="AN108" t="e">
            <v>#REF!</v>
          </cell>
          <cell r="AP108" t="e">
            <v>#REF!</v>
          </cell>
          <cell r="AS108">
            <v>0</v>
          </cell>
        </row>
        <row r="109">
          <cell r="C109">
            <v>0</v>
          </cell>
          <cell r="N109">
            <v>0</v>
          </cell>
          <cell r="P109">
            <v>0</v>
          </cell>
          <cell r="Q109">
            <v>0</v>
          </cell>
          <cell r="S109">
            <v>0</v>
          </cell>
          <cell r="T109">
            <v>0</v>
          </cell>
          <cell r="X109">
            <v>0</v>
          </cell>
          <cell r="Y109">
            <v>0</v>
          </cell>
          <cell r="AC109">
            <v>0</v>
          </cell>
          <cell r="AD109">
            <v>0</v>
          </cell>
          <cell r="AE109">
            <v>0</v>
          </cell>
          <cell r="AF109">
            <v>0</v>
          </cell>
          <cell r="AI109">
            <v>0</v>
          </cell>
          <cell r="AJ109">
            <v>0</v>
          </cell>
          <cell r="AN109" t="e">
            <v>#REF!</v>
          </cell>
          <cell r="AP109" t="e">
            <v>#REF!</v>
          </cell>
          <cell r="AQ109">
            <v>0</v>
          </cell>
          <cell r="AR109">
            <v>0</v>
          </cell>
          <cell r="AS109">
            <v>0</v>
          </cell>
        </row>
        <row r="110">
          <cell r="C110">
            <v>0</v>
          </cell>
          <cell r="N110">
            <v>0</v>
          </cell>
          <cell r="P110">
            <v>0</v>
          </cell>
          <cell r="Q110">
            <v>0</v>
          </cell>
          <cell r="S110">
            <v>0</v>
          </cell>
          <cell r="T110">
            <v>0</v>
          </cell>
          <cell r="X110">
            <v>0</v>
          </cell>
          <cell r="Y110">
            <v>0</v>
          </cell>
          <cell r="AC110">
            <v>0</v>
          </cell>
          <cell r="AD110">
            <v>0</v>
          </cell>
          <cell r="AE110">
            <v>0</v>
          </cell>
          <cell r="AF110">
            <v>0</v>
          </cell>
          <cell r="AI110">
            <v>0</v>
          </cell>
          <cell r="AJ110">
            <v>0</v>
          </cell>
          <cell r="AN110" t="e">
            <v>#REF!</v>
          </cell>
          <cell r="AP110" t="e">
            <v>#REF!</v>
          </cell>
          <cell r="AS110">
            <v>0</v>
          </cell>
        </row>
        <row r="111">
          <cell r="C111">
            <v>200</v>
          </cell>
          <cell r="N111">
            <v>0</v>
          </cell>
          <cell r="P111">
            <v>0</v>
          </cell>
          <cell r="Q111">
            <v>0</v>
          </cell>
          <cell r="R111">
            <v>928</v>
          </cell>
          <cell r="S111">
            <v>928</v>
          </cell>
          <cell r="T111">
            <v>0</v>
          </cell>
          <cell r="W111">
            <v>366</v>
          </cell>
          <cell r="X111">
            <v>366</v>
          </cell>
          <cell r="Y111">
            <v>0</v>
          </cell>
          <cell r="AB111">
            <v>251</v>
          </cell>
          <cell r="AC111">
            <v>251</v>
          </cell>
          <cell r="AD111">
            <v>0</v>
          </cell>
          <cell r="AE111">
            <v>0</v>
          </cell>
          <cell r="AF111">
            <v>0</v>
          </cell>
          <cell r="AG111">
            <v>535</v>
          </cell>
          <cell r="AH111">
            <v>535</v>
          </cell>
          <cell r="AI111">
            <v>0</v>
          </cell>
          <cell r="AJ111">
            <v>535</v>
          </cell>
          <cell r="AN111" t="e">
            <v>#REF!</v>
          </cell>
          <cell r="AP111" t="e">
            <v>#REF!</v>
          </cell>
          <cell r="AS111">
            <v>1152</v>
          </cell>
        </row>
        <row r="112">
          <cell r="C112">
            <v>0</v>
          </cell>
          <cell r="N112">
            <v>0</v>
          </cell>
          <cell r="P112">
            <v>0</v>
          </cell>
          <cell r="Q112">
            <v>0</v>
          </cell>
          <cell r="R112">
            <v>8</v>
          </cell>
          <cell r="S112">
            <v>8</v>
          </cell>
          <cell r="T112">
            <v>0</v>
          </cell>
          <cell r="W112">
            <v>57</v>
          </cell>
          <cell r="X112">
            <v>57</v>
          </cell>
          <cell r="Y112">
            <v>0</v>
          </cell>
          <cell r="AB112">
            <v>7</v>
          </cell>
          <cell r="AC112">
            <v>7</v>
          </cell>
          <cell r="AD112">
            <v>0</v>
          </cell>
          <cell r="AE112">
            <v>0</v>
          </cell>
          <cell r="AF112">
            <v>0</v>
          </cell>
          <cell r="AI112">
            <v>0</v>
          </cell>
          <cell r="AJ112">
            <v>0</v>
          </cell>
          <cell r="AN112">
            <v>19</v>
          </cell>
          <cell r="AP112">
            <v>19</v>
          </cell>
          <cell r="AS112">
            <v>64</v>
          </cell>
        </row>
        <row r="113">
          <cell r="C113">
            <v>8100</v>
          </cell>
          <cell r="N113">
            <v>0</v>
          </cell>
          <cell r="P113">
            <v>0</v>
          </cell>
          <cell r="Q113">
            <v>0</v>
          </cell>
          <cell r="S113">
            <v>0</v>
          </cell>
          <cell r="T113">
            <v>0</v>
          </cell>
          <cell r="X113">
            <v>0</v>
          </cell>
          <cell r="Y113">
            <v>0</v>
          </cell>
          <cell r="AC113">
            <v>0</v>
          </cell>
          <cell r="AD113">
            <v>0</v>
          </cell>
          <cell r="AE113">
            <v>0</v>
          </cell>
          <cell r="AF113">
            <v>0</v>
          </cell>
          <cell r="AI113">
            <v>0</v>
          </cell>
          <cell r="AJ113">
            <v>0</v>
          </cell>
          <cell r="AN113" t="e">
            <v>#REF!</v>
          </cell>
          <cell r="AP113" t="e">
            <v>#REF!</v>
          </cell>
          <cell r="AS113">
            <v>0</v>
          </cell>
        </row>
        <row r="114">
          <cell r="C114">
            <v>0</v>
          </cell>
          <cell r="P114">
            <v>0</v>
          </cell>
          <cell r="S114">
            <v>0</v>
          </cell>
          <cell r="X114">
            <v>0</v>
          </cell>
          <cell r="AC114">
            <v>0</v>
          </cell>
          <cell r="AF114">
            <v>0</v>
          </cell>
          <cell r="AI114">
            <v>0</v>
          </cell>
          <cell r="AJ114">
            <v>0</v>
          </cell>
          <cell r="AP114">
            <v>0</v>
          </cell>
          <cell r="AS114">
            <v>0</v>
          </cell>
        </row>
        <row r="115">
          <cell r="C115">
            <v>3500</v>
          </cell>
          <cell r="P115">
            <v>0</v>
          </cell>
          <cell r="S115">
            <v>0</v>
          </cell>
          <cell r="X115">
            <v>0</v>
          </cell>
          <cell r="AC115">
            <v>0</v>
          </cell>
          <cell r="AF115">
            <v>0</v>
          </cell>
          <cell r="AI115">
            <v>0</v>
          </cell>
          <cell r="AJ115">
            <v>0</v>
          </cell>
          <cell r="AP115">
            <v>3500</v>
          </cell>
          <cell r="AS115">
            <v>0</v>
          </cell>
        </row>
        <row r="116">
          <cell r="C116">
            <v>0</v>
          </cell>
        </row>
        <row r="119">
          <cell r="P119">
            <v>0</v>
          </cell>
          <cell r="S119">
            <v>0</v>
          </cell>
          <cell r="X119">
            <v>0</v>
          </cell>
          <cell r="AC119">
            <v>0</v>
          </cell>
          <cell r="AI119">
            <v>0</v>
          </cell>
          <cell r="AJ119">
            <v>0</v>
          </cell>
          <cell r="AN119" t="e">
            <v>#REF!</v>
          </cell>
          <cell r="AP119">
            <v>36465</v>
          </cell>
          <cell r="AQ119" t="e">
            <v>#REF!</v>
          </cell>
          <cell r="AS119">
            <v>0</v>
          </cell>
        </row>
        <row r="120">
          <cell r="C120">
            <v>0</v>
          </cell>
          <cell r="P120">
            <v>0</v>
          </cell>
          <cell r="S120">
            <v>0</v>
          </cell>
          <cell r="X120">
            <v>0</v>
          </cell>
          <cell r="AC120">
            <v>0</v>
          </cell>
          <cell r="AJ120">
            <v>0</v>
          </cell>
          <cell r="AN120" t="e">
            <v>#REF!</v>
          </cell>
          <cell r="AP120" t="e">
            <v>#REF!</v>
          </cell>
          <cell r="AS120">
            <v>0</v>
          </cell>
        </row>
        <row r="121">
          <cell r="C121">
            <v>11853</v>
          </cell>
          <cell r="D121">
            <v>0</v>
          </cell>
          <cell r="E121">
            <v>0</v>
          </cell>
          <cell r="N121">
            <v>0.40000000000000036</v>
          </cell>
          <cell r="O121">
            <v>0</v>
          </cell>
          <cell r="P121">
            <v>-0.40000000000000036</v>
          </cell>
          <cell r="Q121">
            <v>0</v>
          </cell>
          <cell r="R121">
            <v>1921</v>
          </cell>
          <cell r="S121">
            <v>1921</v>
          </cell>
          <cell r="T121">
            <v>-0.76400000000000112</v>
          </cell>
          <cell r="U121">
            <v>0</v>
          </cell>
          <cell r="V121">
            <v>0</v>
          </cell>
          <cell r="W121">
            <v>504</v>
          </cell>
          <cell r="X121">
            <v>504.76400000000001</v>
          </cell>
          <cell r="Y121">
            <v>0.34799999999999898</v>
          </cell>
          <cell r="Z121">
            <v>0</v>
          </cell>
          <cell r="AA121">
            <v>0</v>
          </cell>
          <cell r="AB121">
            <v>354</v>
          </cell>
          <cell r="AC121">
            <v>353.65199999999999</v>
          </cell>
          <cell r="AD121">
            <v>0.63599999999999923</v>
          </cell>
          <cell r="AE121">
            <v>0.63599999999999923</v>
          </cell>
          <cell r="AF121">
            <v>0</v>
          </cell>
          <cell r="AG121">
            <v>693</v>
          </cell>
          <cell r="AH121">
            <v>693</v>
          </cell>
          <cell r="AI121">
            <v>0</v>
          </cell>
          <cell r="AJ121">
            <v>692.36400000000003</v>
          </cell>
          <cell r="AN121" t="e">
            <v>#REF!</v>
          </cell>
          <cell r="AP121" t="e">
            <v>#REF!</v>
          </cell>
          <cell r="AU121">
            <v>0</v>
          </cell>
          <cell r="AV121">
            <v>0</v>
          </cell>
          <cell r="AW121">
            <v>0</v>
          </cell>
          <cell r="AX121">
            <v>0</v>
          </cell>
        </row>
        <row r="122">
          <cell r="C122">
            <v>10492</v>
          </cell>
          <cell r="D122">
            <v>0</v>
          </cell>
          <cell r="E122">
            <v>0</v>
          </cell>
          <cell r="N122">
            <v>7442.4</v>
          </cell>
          <cell r="P122">
            <v>-7442.4</v>
          </cell>
          <cell r="Q122">
            <v>16815.134000000002</v>
          </cell>
          <cell r="T122">
            <v>-0.76400000000000112</v>
          </cell>
          <cell r="U122">
            <v>0</v>
          </cell>
          <cell r="V122">
            <v>0</v>
          </cell>
          <cell r="X122">
            <v>0.76400000000000112</v>
          </cell>
          <cell r="Y122">
            <v>0.34799999999999898</v>
          </cell>
          <cell r="Z122">
            <v>0</v>
          </cell>
          <cell r="AA122">
            <v>0</v>
          </cell>
          <cell r="AC122">
            <v>-0.34799999999999898</v>
          </cell>
          <cell r="AJ122">
            <v>0</v>
          </cell>
          <cell r="AN122" t="e">
            <v>#REF!</v>
          </cell>
          <cell r="AP122" t="e">
            <v>#REF!</v>
          </cell>
        </row>
        <row r="123">
          <cell r="P123">
            <v>0</v>
          </cell>
          <cell r="X123">
            <v>0</v>
          </cell>
          <cell r="AC123">
            <v>0</v>
          </cell>
          <cell r="AJ123">
            <v>0</v>
          </cell>
          <cell r="AP123" t="e">
            <v>#REF!</v>
          </cell>
        </row>
        <row r="124">
          <cell r="P124">
            <v>0</v>
          </cell>
          <cell r="X124">
            <v>0</v>
          </cell>
          <cell r="AC124">
            <v>0</v>
          </cell>
          <cell r="AJ124">
            <v>0</v>
          </cell>
          <cell r="AP124" t="e">
            <v>#REF!</v>
          </cell>
        </row>
        <row r="125">
          <cell r="P125">
            <v>0</v>
          </cell>
          <cell r="X125">
            <v>0</v>
          </cell>
          <cell r="AC125">
            <v>0</v>
          </cell>
          <cell r="AJ125">
            <v>0</v>
          </cell>
          <cell r="AP125" t="e">
            <v>#REF!</v>
          </cell>
          <cell r="AQ125" t="e">
            <v>#REF!</v>
          </cell>
          <cell r="AR125" t="e">
            <v>#REF!</v>
          </cell>
        </row>
        <row r="126">
          <cell r="P126">
            <v>0</v>
          </cell>
          <cell r="X126">
            <v>0</v>
          </cell>
          <cell r="AC126">
            <v>0</v>
          </cell>
          <cell r="AJ126">
            <v>0</v>
          </cell>
        </row>
        <row r="127">
          <cell r="P127">
            <v>0</v>
          </cell>
          <cell r="X127">
            <v>0</v>
          </cell>
          <cell r="AC127">
            <v>0</v>
          </cell>
          <cell r="AJ127">
            <v>0</v>
          </cell>
          <cell r="AP127" t="e">
            <v>#REF!</v>
          </cell>
          <cell r="AU127">
            <v>0</v>
          </cell>
        </row>
        <row r="128">
          <cell r="P128">
            <v>0</v>
          </cell>
          <cell r="X128">
            <v>0</v>
          </cell>
          <cell r="AC128">
            <v>0</v>
          </cell>
          <cell r="AJ128">
            <v>0</v>
          </cell>
        </row>
        <row r="129">
          <cell r="P129">
            <v>0</v>
          </cell>
          <cell r="X129">
            <v>0</v>
          </cell>
          <cell r="AC129">
            <v>0</v>
          </cell>
          <cell r="AJ129">
            <v>0</v>
          </cell>
        </row>
        <row r="130">
          <cell r="P130">
            <v>0</v>
          </cell>
          <cell r="X130">
            <v>0</v>
          </cell>
          <cell r="AC130">
            <v>0</v>
          </cell>
          <cell r="AJ130">
            <v>0</v>
          </cell>
          <cell r="AP130" t="e">
            <v>#REF!</v>
          </cell>
          <cell r="AR130" t="e">
            <v>#REF!</v>
          </cell>
          <cell r="AU130">
            <v>0</v>
          </cell>
          <cell r="AW130">
            <v>0</v>
          </cell>
        </row>
        <row r="131">
          <cell r="P131">
            <v>0</v>
          </cell>
          <cell r="X131">
            <v>0</v>
          </cell>
          <cell r="AC131">
            <v>0</v>
          </cell>
          <cell r="AJ131">
            <v>0</v>
          </cell>
          <cell r="AP131" t="e">
            <v>#REF!</v>
          </cell>
          <cell r="AU131">
            <v>0</v>
          </cell>
        </row>
        <row r="132">
          <cell r="P132">
            <v>0</v>
          </cell>
          <cell r="X132">
            <v>0</v>
          </cell>
          <cell r="AC132">
            <v>0</v>
          </cell>
          <cell r="AJ132">
            <v>0</v>
          </cell>
          <cell r="AP132" t="e">
            <v>#REF!</v>
          </cell>
          <cell r="AU132" t="e">
            <v>#DIV/0!</v>
          </cell>
        </row>
        <row r="133">
          <cell r="P133">
            <v>0</v>
          </cell>
          <cell r="X133">
            <v>0</v>
          </cell>
          <cell r="AC133">
            <v>0</v>
          </cell>
          <cell r="AJ133">
            <v>0</v>
          </cell>
          <cell r="AP133" t="e">
            <v>#REF!</v>
          </cell>
          <cell r="AU133" t="e">
            <v>#DIV/0!</v>
          </cell>
        </row>
        <row r="134">
          <cell r="P134">
            <v>0</v>
          </cell>
          <cell r="X134">
            <v>0</v>
          </cell>
          <cell r="AC134">
            <v>0</v>
          </cell>
          <cell r="AJ134">
            <v>0</v>
          </cell>
          <cell r="AP134">
            <v>0</v>
          </cell>
          <cell r="AU134">
            <v>0</v>
          </cell>
        </row>
        <row r="135">
          <cell r="P135">
            <v>0</v>
          </cell>
          <cell r="X135">
            <v>0</v>
          </cell>
          <cell r="AC135">
            <v>0</v>
          </cell>
          <cell r="AJ135">
            <v>0</v>
          </cell>
        </row>
        <row r="136">
          <cell r="P136">
            <v>0</v>
          </cell>
          <cell r="X136">
            <v>0</v>
          </cell>
          <cell r="AC136">
            <v>0</v>
          </cell>
          <cell r="AJ136">
            <v>0</v>
          </cell>
          <cell r="AP136">
            <v>36.19</v>
          </cell>
          <cell r="AU136" t="e">
            <v>#DIV/0!</v>
          </cell>
        </row>
        <row r="137">
          <cell r="P137">
            <v>0</v>
          </cell>
          <cell r="X137">
            <v>0</v>
          </cell>
          <cell r="AC137">
            <v>0</v>
          </cell>
          <cell r="AJ137">
            <v>0</v>
          </cell>
        </row>
        <row r="138">
          <cell r="P138">
            <v>0</v>
          </cell>
          <cell r="X138">
            <v>0</v>
          </cell>
          <cell r="AC138">
            <v>0</v>
          </cell>
          <cell r="AJ138">
            <v>0</v>
          </cell>
          <cell r="AN138">
            <v>0</v>
          </cell>
          <cell r="AP138" t="e">
            <v>#REF!</v>
          </cell>
          <cell r="AU138" t="e">
            <v>#DIV/0!</v>
          </cell>
        </row>
        <row r="139">
          <cell r="P139">
            <v>0</v>
          </cell>
          <cell r="X139">
            <v>0</v>
          </cell>
          <cell r="AC139">
            <v>0</v>
          </cell>
          <cell r="AJ139">
            <v>0</v>
          </cell>
          <cell r="AP139">
            <v>180931</v>
          </cell>
          <cell r="AQ139">
            <v>180931</v>
          </cell>
        </row>
        <row r="140">
          <cell r="C140" t="str">
            <v>коп/кВтг</v>
          </cell>
          <cell r="P140">
            <v>0</v>
          </cell>
          <cell r="X140">
            <v>0</v>
          </cell>
          <cell r="AC140">
            <v>0</v>
          </cell>
          <cell r="AJ140">
            <v>0</v>
          </cell>
        </row>
        <row r="141">
          <cell r="P141">
            <v>0</v>
          </cell>
          <cell r="X141">
            <v>0</v>
          </cell>
          <cell r="AC141">
            <v>0</v>
          </cell>
          <cell r="AJ141">
            <v>0</v>
          </cell>
          <cell r="AN141">
            <v>0</v>
          </cell>
          <cell r="AP141">
            <v>0</v>
          </cell>
        </row>
        <row r="142">
          <cell r="P142">
            <v>0</v>
          </cell>
          <cell r="Q142">
            <v>0</v>
          </cell>
          <cell r="X142">
            <v>0</v>
          </cell>
          <cell r="AC142">
            <v>0</v>
          </cell>
          <cell r="AJ142">
            <v>0</v>
          </cell>
          <cell r="AP142">
            <v>2601</v>
          </cell>
        </row>
        <row r="143">
          <cell r="P143">
            <v>0</v>
          </cell>
          <cell r="X143">
            <v>0</v>
          </cell>
          <cell r="AC143">
            <v>0</v>
          </cell>
          <cell r="AJ143">
            <v>0</v>
          </cell>
          <cell r="AN143">
            <v>0</v>
          </cell>
          <cell r="AP143" t="e">
            <v>#REF!</v>
          </cell>
          <cell r="AQ143">
            <v>180931</v>
          </cell>
          <cell r="AR143" t="e">
            <v>#REF!</v>
          </cell>
          <cell r="AU143">
            <v>0</v>
          </cell>
        </row>
        <row r="144">
          <cell r="P144">
            <v>0</v>
          </cell>
          <cell r="X144">
            <v>0</v>
          </cell>
          <cell r="AC144">
            <v>0</v>
          </cell>
          <cell r="AJ144">
            <v>0</v>
          </cell>
          <cell r="AP144">
            <v>0</v>
          </cell>
        </row>
        <row r="145">
          <cell r="P145">
            <v>0</v>
          </cell>
          <cell r="X145">
            <v>0</v>
          </cell>
          <cell r="AC145">
            <v>0</v>
          </cell>
          <cell r="AJ145">
            <v>0</v>
          </cell>
          <cell r="AP145" t="e">
            <v>#REF!</v>
          </cell>
          <cell r="AQ145">
            <v>180931</v>
          </cell>
          <cell r="AR145" t="e">
            <v>#REF!</v>
          </cell>
        </row>
        <row r="146">
          <cell r="P146">
            <v>0</v>
          </cell>
          <cell r="X146">
            <v>0</v>
          </cell>
          <cell r="AC146">
            <v>0</v>
          </cell>
          <cell r="AJ146">
            <v>0</v>
          </cell>
          <cell r="AU146">
            <v>24501</v>
          </cell>
          <cell r="AV146">
            <v>57611</v>
          </cell>
          <cell r="AW146">
            <v>30916.074909090912</v>
          </cell>
          <cell r="AX146" t="e">
            <v>#REF!</v>
          </cell>
        </row>
        <row r="147">
          <cell r="P147">
            <v>0</v>
          </cell>
          <cell r="X147">
            <v>0</v>
          </cell>
          <cell r="AC147">
            <v>0</v>
          </cell>
          <cell r="AJ147">
            <v>0</v>
          </cell>
          <cell r="AP147" t="e">
            <v>#REF!</v>
          </cell>
          <cell r="AQ147" t="e">
            <v>#REF!</v>
          </cell>
          <cell r="AR147" t="e">
            <v>#REF!</v>
          </cell>
        </row>
        <row r="148">
          <cell r="P148">
            <v>0</v>
          </cell>
          <cell r="X148">
            <v>0</v>
          </cell>
          <cell r="AC148">
            <v>0</v>
          </cell>
          <cell r="AJ148">
            <v>0</v>
          </cell>
        </row>
        <row r="149">
          <cell r="C149">
            <v>0</v>
          </cell>
          <cell r="N149">
            <v>0</v>
          </cell>
          <cell r="P149">
            <v>0</v>
          </cell>
          <cell r="Q149">
            <v>0</v>
          </cell>
          <cell r="T149">
            <v>0</v>
          </cell>
          <cell r="X149">
            <v>0</v>
          </cell>
          <cell r="Y149">
            <v>0</v>
          </cell>
          <cell r="AC149">
            <v>0</v>
          </cell>
          <cell r="AJ149">
            <v>0</v>
          </cell>
          <cell r="AN149">
            <v>0</v>
          </cell>
        </row>
        <row r="151">
          <cell r="C151">
            <v>916.24199999999996</v>
          </cell>
          <cell r="N151">
            <v>1295.5</v>
          </cell>
          <cell r="P151">
            <v>-1295.5</v>
          </cell>
          <cell r="Q151">
            <v>2567.7454545454548</v>
          </cell>
          <cell r="S151">
            <v>-2567.7454545454548</v>
          </cell>
          <cell r="T151">
            <v>1558.3090909090909</v>
          </cell>
          <cell r="W151">
            <v>1510</v>
          </cell>
          <cell r="X151">
            <v>-48.309090909090855</v>
          </cell>
          <cell r="Y151">
            <v>1196.7</v>
          </cell>
          <cell r="AC151">
            <v>-1196.7</v>
          </cell>
          <cell r="AD151">
            <v>1791.7636363636364</v>
          </cell>
          <cell r="AE151">
            <v>1791.7636363636364</v>
          </cell>
          <cell r="AF151">
            <v>0</v>
          </cell>
          <cell r="AG151">
            <v>1946</v>
          </cell>
          <cell r="AH151">
            <v>938</v>
          </cell>
          <cell r="AI151">
            <v>0</v>
          </cell>
          <cell r="AJ151">
            <v>154.23636363636365</v>
          </cell>
          <cell r="AN151">
            <v>197</v>
          </cell>
          <cell r="AP151">
            <v>9542.2601818181811</v>
          </cell>
        </row>
        <row r="152">
          <cell r="C152">
            <v>916.24199999999996</v>
          </cell>
        </row>
        <row r="153">
          <cell r="N153">
            <v>1589.3333333333333</v>
          </cell>
          <cell r="O153">
            <v>272</v>
          </cell>
          <cell r="P153">
            <v>-1317.3333333333333</v>
          </cell>
          <cell r="Q153">
            <v>5858</v>
          </cell>
          <cell r="R153">
            <v>1487</v>
          </cell>
          <cell r="S153">
            <v>-4371</v>
          </cell>
          <cell r="T153">
            <v>3223.545454545455</v>
          </cell>
          <cell r="U153">
            <v>1435</v>
          </cell>
          <cell r="V153">
            <v>1788.545454545455</v>
          </cell>
          <cell r="W153">
            <v>831</v>
          </cell>
          <cell r="X153">
            <v>-2392.545454545455</v>
          </cell>
          <cell r="Y153">
            <v>2143.4545454545455</v>
          </cell>
          <cell r="Z153">
            <v>874</v>
          </cell>
          <cell r="AA153">
            <v>1269.4545454545455</v>
          </cell>
          <cell r="AB153">
            <v>596</v>
          </cell>
          <cell r="AC153">
            <v>-1547.4545454545455</v>
          </cell>
          <cell r="AD153">
            <v>2339.090909090909</v>
          </cell>
          <cell r="AE153">
            <v>2338.909090909091</v>
          </cell>
          <cell r="AF153">
            <v>0.18181818181824383</v>
          </cell>
          <cell r="AG153">
            <v>437</v>
          </cell>
          <cell r="AH153">
            <v>265</v>
          </cell>
          <cell r="AI153">
            <v>0</v>
          </cell>
          <cell r="AJ153">
            <v>-1902.090909090909</v>
          </cell>
          <cell r="AN153">
            <v>0</v>
          </cell>
        </row>
        <row r="154">
          <cell r="N154">
            <v>0</v>
          </cell>
          <cell r="P154">
            <v>0</v>
          </cell>
          <cell r="Q154">
            <v>0</v>
          </cell>
          <cell r="S154">
            <v>0</v>
          </cell>
          <cell r="T154">
            <v>70</v>
          </cell>
          <cell r="X154">
            <v>-70</v>
          </cell>
          <cell r="Y154">
            <v>24</v>
          </cell>
          <cell r="AC154">
            <v>-24</v>
          </cell>
          <cell r="AJ154">
            <v>0</v>
          </cell>
          <cell r="AP154" t="e">
            <v>#REF!</v>
          </cell>
        </row>
        <row r="155">
          <cell r="N155">
            <v>0</v>
          </cell>
          <cell r="P155">
            <v>0</v>
          </cell>
          <cell r="Q155">
            <v>0</v>
          </cell>
          <cell r="S155">
            <v>0</v>
          </cell>
          <cell r="T155">
            <v>0</v>
          </cell>
          <cell r="X155">
            <v>0</v>
          </cell>
          <cell r="Y155">
            <v>0</v>
          </cell>
          <cell r="AC155">
            <v>0</v>
          </cell>
          <cell r="AJ155">
            <v>0</v>
          </cell>
          <cell r="AP155" t="e">
            <v>#REF!</v>
          </cell>
        </row>
        <row r="156">
          <cell r="C156" t="e">
            <v>#REF!</v>
          </cell>
          <cell r="N156">
            <v>681</v>
          </cell>
          <cell r="P156">
            <v>-681</v>
          </cell>
          <cell r="Q156">
            <v>1041.8333333333333</v>
          </cell>
          <cell r="S156">
            <v>-1041.8333333333333</v>
          </cell>
          <cell r="T156">
            <v>213</v>
          </cell>
          <cell r="X156">
            <v>-213</v>
          </cell>
          <cell r="Y156">
            <v>1171.0035872727274</v>
          </cell>
          <cell r="AC156">
            <v>-1171.0035872727274</v>
          </cell>
          <cell r="AJ156">
            <v>0</v>
          </cell>
          <cell r="AP156" t="e">
            <v>#REF!</v>
          </cell>
        </row>
        <row r="157">
          <cell r="C157" t="e">
            <v>#REF!</v>
          </cell>
          <cell r="N157">
            <v>47</v>
          </cell>
          <cell r="P157">
            <v>-47</v>
          </cell>
          <cell r="Q157">
            <v>140</v>
          </cell>
          <cell r="S157">
            <v>-140</v>
          </cell>
          <cell r="T157">
            <v>105</v>
          </cell>
          <cell r="X157">
            <v>-105</v>
          </cell>
          <cell r="Y157">
            <v>190</v>
          </cell>
          <cell r="AC157">
            <v>-190</v>
          </cell>
          <cell r="AJ157">
            <v>0</v>
          </cell>
          <cell r="AP157" t="e">
            <v>#REF!</v>
          </cell>
        </row>
        <row r="158">
          <cell r="C158" t="e">
            <v>#REF!</v>
          </cell>
          <cell r="N158">
            <v>1248.5</v>
          </cell>
          <cell r="P158">
            <v>-1248.5</v>
          </cell>
          <cell r="Q158">
            <v>140</v>
          </cell>
          <cell r="S158">
            <v>-140</v>
          </cell>
          <cell r="T158" t="str">
            <v xml:space="preserve">                   КОРИГУВАННЯ   ПЛАНУ   НА   СЕРПЕНЬ  1998 р</v>
          </cell>
          <cell r="X158" t="e">
            <v>#VALUE!</v>
          </cell>
          <cell r="Y158">
            <v>1006.7</v>
          </cell>
          <cell r="AC158">
            <v>-1006.7</v>
          </cell>
          <cell r="AJ158">
            <v>0</v>
          </cell>
          <cell r="AP158" t="e">
            <v>#REF!</v>
          </cell>
        </row>
        <row r="159">
          <cell r="C159" t="e">
            <v>#REF!</v>
          </cell>
          <cell r="N159">
            <v>1295.5</v>
          </cell>
          <cell r="P159">
            <v>-1295.5</v>
          </cell>
          <cell r="Q159">
            <v>280</v>
          </cell>
          <cell r="S159">
            <v>-280</v>
          </cell>
          <cell r="X159">
            <v>0</v>
          </cell>
          <cell r="Y159">
            <v>1196.7</v>
          </cell>
          <cell r="AC159">
            <v>-1196.7</v>
          </cell>
          <cell r="AJ159">
            <v>0</v>
          </cell>
        </row>
        <row r="160">
          <cell r="N160">
            <v>0</v>
          </cell>
          <cell r="P160">
            <v>0</v>
          </cell>
          <cell r="Q160">
            <v>2287.7454545454548</v>
          </cell>
          <cell r="S160">
            <v>-2287.7454545454548</v>
          </cell>
          <cell r="X160">
            <v>0</v>
          </cell>
          <cell r="Y160">
            <v>0</v>
          </cell>
          <cell r="AC160">
            <v>0</v>
          </cell>
          <cell r="AJ160">
            <v>0</v>
          </cell>
          <cell r="AP160" t="e">
            <v>#REF!</v>
          </cell>
        </row>
        <row r="161">
          <cell r="C161" t="e">
            <v>#REF!</v>
          </cell>
          <cell r="N161" t="e">
            <v>#REF!</v>
          </cell>
          <cell r="P161" t="e">
            <v>#REF!</v>
          </cell>
          <cell r="Q161">
            <v>776</v>
          </cell>
          <cell r="S161">
            <v>-776</v>
          </cell>
          <cell r="X161">
            <v>0</v>
          </cell>
          <cell r="Y161" t="e">
            <v>#REF!</v>
          </cell>
          <cell r="AC161" t="e">
            <v>#REF!</v>
          </cell>
          <cell r="AJ161">
            <v>0</v>
          </cell>
          <cell r="AP161" t="e">
            <v>#REF!</v>
          </cell>
        </row>
        <row r="162">
          <cell r="C162">
            <v>-1308</v>
          </cell>
          <cell r="N162">
            <v>13004</v>
          </cell>
          <cell r="O162">
            <v>0</v>
          </cell>
          <cell r="P162">
            <v>-13004</v>
          </cell>
          <cell r="Q162">
            <v>1739.5839999999998</v>
          </cell>
          <cell r="R162">
            <v>800</v>
          </cell>
          <cell r="S162">
            <v>-939.58399999999983</v>
          </cell>
          <cell r="T162">
            <v>1689</v>
          </cell>
          <cell r="U162">
            <v>0</v>
          </cell>
          <cell r="V162">
            <v>0</v>
          </cell>
          <cell r="W162">
            <v>0</v>
          </cell>
          <cell r="X162">
            <v>-1689</v>
          </cell>
          <cell r="Y162">
            <v>1811</v>
          </cell>
          <cell r="Z162">
            <v>0</v>
          </cell>
          <cell r="AA162">
            <v>0</v>
          </cell>
          <cell r="AB162">
            <v>432</v>
          </cell>
          <cell r="AC162">
            <v>-1379</v>
          </cell>
          <cell r="AD162" t="e">
            <v>#REF!</v>
          </cell>
          <cell r="AE162">
            <v>3089</v>
          </cell>
          <cell r="AF162">
            <v>0</v>
          </cell>
          <cell r="AG162">
            <v>0</v>
          </cell>
          <cell r="AH162">
            <v>0</v>
          </cell>
          <cell r="AI162">
            <v>0</v>
          </cell>
          <cell r="AJ162" t="e">
            <v>#REF!</v>
          </cell>
          <cell r="AK162">
            <v>0</v>
          </cell>
          <cell r="AL162">
            <v>0</v>
          </cell>
          <cell r="AM162">
            <v>0</v>
          </cell>
          <cell r="AN162" t="e">
            <v>#REF!</v>
          </cell>
          <cell r="AO162">
            <v>1616</v>
          </cell>
          <cell r="AP162" t="e">
            <v>#REF!</v>
          </cell>
          <cell r="AS162">
            <v>2048</v>
          </cell>
        </row>
        <row r="163">
          <cell r="C163">
            <v>0</v>
          </cell>
          <cell r="N163">
            <v>0.20800000000000018</v>
          </cell>
          <cell r="O163">
            <v>0</v>
          </cell>
          <cell r="P163">
            <v>-0.20800000000000018</v>
          </cell>
          <cell r="Q163">
            <v>-0.23600000000000065</v>
          </cell>
          <cell r="R163">
            <v>154</v>
          </cell>
          <cell r="S163">
            <v>154.23599999999999</v>
          </cell>
          <cell r="T163">
            <v>-0.42800000000000082</v>
          </cell>
          <cell r="U163">
            <v>0</v>
          </cell>
          <cell r="V163">
            <v>0</v>
          </cell>
          <cell r="W163">
            <v>79</v>
          </cell>
          <cell r="X163">
            <v>79.427999999999997</v>
          </cell>
          <cell r="Y163">
            <v>6.799999999999784E-2</v>
          </cell>
          <cell r="Z163">
            <v>0</v>
          </cell>
          <cell r="AA163">
            <v>0</v>
          </cell>
          <cell r="AB163">
            <v>86</v>
          </cell>
          <cell r="AC163">
            <v>85.932000000000002</v>
          </cell>
          <cell r="AD163">
            <v>0.28399999999999892</v>
          </cell>
          <cell r="AE163">
            <v>0.28399999999999892</v>
          </cell>
          <cell r="AF163">
            <v>0</v>
          </cell>
          <cell r="AG163">
            <v>30</v>
          </cell>
          <cell r="AH163">
            <v>30</v>
          </cell>
          <cell r="AI163">
            <v>0</v>
          </cell>
          <cell r="AJ163">
            <v>29.716000000000001</v>
          </cell>
          <cell r="AK163">
            <v>0</v>
          </cell>
          <cell r="AL163">
            <v>0</v>
          </cell>
          <cell r="AM163">
            <v>0</v>
          </cell>
          <cell r="AN163" t="e">
            <v>#REF!</v>
          </cell>
          <cell r="AO163">
            <v>0</v>
          </cell>
          <cell r="AP163" t="e">
            <v>#REF!</v>
          </cell>
          <cell r="AS163">
            <v>195</v>
          </cell>
        </row>
        <row r="164">
          <cell r="C164">
            <v>1334.2</v>
          </cell>
          <cell r="N164">
            <v>9853.7727272727279</v>
          </cell>
          <cell r="O164">
            <v>2062</v>
          </cell>
          <cell r="P164">
            <v>-7791.7727272727279</v>
          </cell>
          <cell r="Q164">
            <v>20350.500909090908</v>
          </cell>
          <cell r="R164">
            <v>5523</v>
          </cell>
          <cell r="S164">
            <v>-14827.500909090908</v>
          </cell>
          <cell r="T164">
            <v>7594.1272727272735</v>
          </cell>
          <cell r="U164">
            <v>3221</v>
          </cell>
          <cell r="V164">
            <v>4373.1272727272735</v>
          </cell>
          <cell r="W164">
            <v>2210</v>
          </cell>
          <cell r="X164">
            <v>-5384.1272727272735</v>
          </cell>
          <cell r="Y164">
            <v>6222.3672727272733</v>
          </cell>
          <cell r="Z164">
            <v>2495</v>
          </cell>
          <cell r="AA164">
            <v>3727.3672727272728</v>
          </cell>
          <cell r="AB164">
            <v>1749</v>
          </cell>
          <cell r="AC164">
            <v>-4473.3672727272733</v>
          </cell>
          <cell r="AD164">
            <v>18545.026363636363</v>
          </cell>
          <cell r="AE164">
            <v>16792.954545454544</v>
          </cell>
          <cell r="AF164">
            <v>1752.0718181818177</v>
          </cell>
          <cell r="AG164">
            <v>4464</v>
          </cell>
          <cell r="AH164">
            <v>3202</v>
          </cell>
          <cell r="AI164">
            <v>427</v>
          </cell>
          <cell r="AJ164">
            <v>-14081.026363636363</v>
          </cell>
          <cell r="AK164">
            <v>0</v>
          </cell>
          <cell r="AL164">
            <v>0</v>
          </cell>
          <cell r="AM164">
            <v>0</v>
          </cell>
          <cell r="AN164" t="e">
            <v>#REF!</v>
          </cell>
          <cell r="AO164">
            <v>0</v>
          </cell>
          <cell r="AP164" t="e">
            <v>#REF!</v>
          </cell>
          <cell r="AS164">
            <v>13703</v>
          </cell>
        </row>
        <row r="165">
          <cell r="C165">
            <v>37</v>
          </cell>
          <cell r="N165">
            <v>131</v>
          </cell>
          <cell r="O165">
            <v>51</v>
          </cell>
          <cell r="P165">
            <v>-80</v>
          </cell>
          <cell r="Q165">
            <v>262.39999999999998</v>
          </cell>
          <cell r="R165">
            <v>62</v>
          </cell>
          <cell r="S165">
            <v>-200.39999999999998</v>
          </cell>
          <cell r="T165">
            <v>7369.3333333333339</v>
          </cell>
          <cell r="U165">
            <v>3406</v>
          </cell>
          <cell r="V165">
            <v>3963.3333333333339</v>
          </cell>
          <cell r="W165">
            <v>2464</v>
          </cell>
          <cell r="X165">
            <v>-4905.3333333333339</v>
          </cell>
          <cell r="Y165">
            <v>534.79999999999995</v>
          </cell>
          <cell r="Z165">
            <v>57</v>
          </cell>
          <cell r="AA165">
            <v>87.866666666666674</v>
          </cell>
          <cell r="AB165">
            <v>27</v>
          </cell>
          <cell r="AC165">
            <v>-507.79999999999995</v>
          </cell>
          <cell r="AD165">
            <v>153.6</v>
          </cell>
          <cell r="AE165">
            <v>146</v>
          </cell>
          <cell r="AF165">
            <v>7.6</v>
          </cell>
          <cell r="AG165">
            <v>44</v>
          </cell>
          <cell r="AH165">
            <v>15</v>
          </cell>
          <cell r="AI165">
            <v>29</v>
          </cell>
          <cell r="AJ165">
            <v>-109.6</v>
          </cell>
          <cell r="AK165">
            <v>0</v>
          </cell>
          <cell r="AL165">
            <v>0</v>
          </cell>
          <cell r="AM165">
            <v>0</v>
          </cell>
          <cell r="AN165">
            <v>19</v>
          </cell>
          <cell r="AO165">
            <v>0</v>
          </cell>
          <cell r="AP165">
            <v>8404.5333333333347</v>
          </cell>
          <cell r="AS165">
            <v>2610</v>
          </cell>
        </row>
        <row r="166">
          <cell r="C166">
            <v>5681.7580000000007</v>
          </cell>
          <cell r="N166">
            <v>11862.909333333333</v>
          </cell>
          <cell r="Q166">
            <v>72510.228333333333</v>
          </cell>
          <cell r="T166">
            <v>15985.944000000054</v>
          </cell>
          <cell r="Y166">
            <v>11736.353333333311</v>
          </cell>
          <cell r="AE166">
            <v>17474.354000000007</v>
          </cell>
          <cell r="AG166">
            <v>2466</v>
          </cell>
          <cell r="AH166">
            <v>2561</v>
          </cell>
          <cell r="AN166" t="e">
            <v>#REF!</v>
          </cell>
          <cell r="AP166" t="e">
            <v>#REF!</v>
          </cell>
        </row>
        <row r="167">
          <cell r="C167" t="e">
            <v>#REF!</v>
          </cell>
          <cell r="N167">
            <v>5562</v>
          </cell>
        </row>
        <row r="168">
          <cell r="C168" t="e">
            <v>#REF!</v>
          </cell>
        </row>
        <row r="169">
          <cell r="C169" t="e">
            <v>#REF!</v>
          </cell>
        </row>
        <row r="170">
          <cell r="AV170">
            <v>1507.2</v>
          </cell>
        </row>
        <row r="173">
          <cell r="C173" t="str">
            <v>АПАРАТ ВСЬОГО</v>
          </cell>
          <cell r="D173" t="str">
            <v>АПАРАТ ЕЛЕКТРО</v>
          </cell>
          <cell r="E173" t="str">
            <v>АПАРАТ ТЕПЛО</v>
          </cell>
          <cell r="N173" t="str">
            <v>ККМ</v>
          </cell>
          <cell r="Q173" t="str">
            <v>КТМ</v>
          </cell>
          <cell r="U173">
            <v>250</v>
          </cell>
          <cell r="Y173" t="str">
            <v>ТЕЦ-6 ВСЬОГО</v>
          </cell>
          <cell r="Z173" t="str">
            <v>Е/Е</v>
          </cell>
          <cell r="AA173" t="str">
            <v xml:space="preserve"> Т/Е</v>
          </cell>
          <cell r="AN173" t="str">
            <v>ДОП.ВИР. СТ.ОРГ.</v>
          </cell>
          <cell r="AP173" t="str">
            <v>АК КЕ ВСЬОГО</v>
          </cell>
          <cell r="AQ173" t="str">
            <v>Е/Е</v>
          </cell>
          <cell r="AR173" t="str">
            <v xml:space="preserve"> Т/Е</v>
          </cell>
          <cell r="AU173" t="str">
            <v>очикуваемАК КЕ ВСЬОГО</v>
          </cell>
          <cell r="AV173" t="str">
            <v>Е/Е</v>
          </cell>
          <cell r="AW173" t="str">
            <v xml:space="preserve"> Т/Е</v>
          </cell>
        </row>
        <row r="174">
          <cell r="C174">
            <v>1.895</v>
          </cell>
          <cell r="N174">
            <v>1.847</v>
          </cell>
          <cell r="Q174">
            <v>1.895</v>
          </cell>
          <cell r="U174">
            <v>1.895</v>
          </cell>
          <cell r="V174">
            <v>1.895</v>
          </cell>
          <cell r="Y174">
            <v>1.895</v>
          </cell>
          <cell r="Z174">
            <v>1.895</v>
          </cell>
          <cell r="AA174">
            <v>1.895</v>
          </cell>
          <cell r="AN174">
            <v>1.895</v>
          </cell>
          <cell r="AP174">
            <v>1.895</v>
          </cell>
          <cell r="AQ174">
            <v>1.895</v>
          </cell>
          <cell r="AU174">
            <v>1.905</v>
          </cell>
          <cell r="AV174">
            <v>1.895</v>
          </cell>
        </row>
        <row r="176">
          <cell r="Q176">
            <v>132.19999999999999</v>
          </cell>
          <cell r="Y176">
            <v>68.7</v>
          </cell>
          <cell r="AP176">
            <v>200.89999999999998</v>
          </cell>
          <cell r="AU176">
            <v>251.12700000000001</v>
          </cell>
        </row>
        <row r="177">
          <cell r="Q177">
            <v>150.5</v>
          </cell>
          <cell r="U177">
            <v>150.5</v>
          </cell>
          <cell r="Y177">
            <v>78.3</v>
          </cell>
          <cell r="AP177">
            <v>228.8</v>
          </cell>
          <cell r="AU177">
            <v>288.28500000000003</v>
          </cell>
        </row>
        <row r="178">
          <cell r="N178">
            <v>0</v>
          </cell>
          <cell r="Q178">
            <v>82.5</v>
          </cell>
          <cell r="U178">
            <v>82.5</v>
          </cell>
          <cell r="Y178">
            <v>82.5</v>
          </cell>
          <cell r="AP178">
            <v>82.5</v>
          </cell>
          <cell r="AU178">
            <v>66</v>
          </cell>
        </row>
        <row r="179">
          <cell r="N179">
            <v>0</v>
          </cell>
          <cell r="Q179">
            <v>156.34</v>
          </cell>
          <cell r="U179">
            <v>156.34</v>
          </cell>
          <cell r="Y179">
            <v>156.34</v>
          </cell>
          <cell r="AP179">
            <v>156.34</v>
          </cell>
          <cell r="AU179">
            <v>125.73</v>
          </cell>
        </row>
        <row r="180">
          <cell r="Q180">
            <v>20668</v>
          </cell>
          <cell r="U180">
            <v>0</v>
          </cell>
          <cell r="Y180">
            <v>10741</v>
          </cell>
          <cell r="AP180">
            <v>31409</v>
          </cell>
          <cell r="AU180">
            <v>31574</v>
          </cell>
        </row>
        <row r="181">
          <cell r="AP181">
            <v>31409</v>
          </cell>
          <cell r="AU181" t="e">
            <v>#REF!</v>
          </cell>
        </row>
        <row r="182">
          <cell r="Q182">
            <v>0</v>
          </cell>
          <cell r="U182">
            <v>0</v>
          </cell>
          <cell r="Y182">
            <v>52.1</v>
          </cell>
          <cell r="AP182">
            <v>52.1</v>
          </cell>
          <cell r="AU182">
            <v>67.933000000000007</v>
          </cell>
        </row>
        <row r="183">
          <cell r="Q183">
            <v>0</v>
          </cell>
          <cell r="U183">
            <v>0</v>
          </cell>
          <cell r="Y183">
            <v>71.3</v>
          </cell>
          <cell r="AP183">
            <v>71.3</v>
          </cell>
          <cell r="AU183">
            <v>91.201999999999998</v>
          </cell>
        </row>
        <row r="184">
          <cell r="C184">
            <v>75</v>
          </cell>
          <cell r="N184">
            <v>75</v>
          </cell>
          <cell r="AN184">
            <v>0</v>
          </cell>
          <cell r="AP184">
            <v>98.96042216358839</v>
          </cell>
          <cell r="AU184">
            <v>98.96042216358839</v>
          </cell>
        </row>
        <row r="185">
          <cell r="Q185">
            <v>187.53</v>
          </cell>
          <cell r="U185">
            <v>0</v>
          </cell>
          <cell r="Y185">
            <v>187.53</v>
          </cell>
          <cell r="AP185">
            <v>187.53</v>
          </cell>
          <cell r="AU185">
            <v>187.53</v>
          </cell>
        </row>
        <row r="186">
          <cell r="Q186">
            <v>0</v>
          </cell>
          <cell r="T186">
            <v>0</v>
          </cell>
          <cell r="Y186">
            <v>9770</v>
          </cell>
          <cell r="AP186">
            <v>9770</v>
          </cell>
          <cell r="AU186">
            <v>12739</v>
          </cell>
        </row>
        <row r="187">
          <cell r="AP187">
            <v>9770</v>
          </cell>
          <cell r="AU187" t="e">
            <v>#REF!</v>
          </cell>
        </row>
        <row r="188">
          <cell r="Q188">
            <v>150.5</v>
          </cell>
          <cell r="T188">
            <v>0</v>
          </cell>
          <cell r="U188">
            <v>51.4</v>
          </cell>
          <cell r="V188">
            <v>-51.4</v>
          </cell>
          <cell r="Y188">
            <v>149.6</v>
          </cell>
          <cell r="Z188">
            <v>52.7</v>
          </cell>
          <cell r="AA188">
            <v>96.899999999999991</v>
          </cell>
          <cell r="AP188">
            <v>300.10000000000002</v>
          </cell>
          <cell r="AQ188">
            <v>104.1</v>
          </cell>
          <cell r="AR188">
            <v>196</v>
          </cell>
          <cell r="AU188">
            <v>379.48700000000002</v>
          </cell>
          <cell r="AV188">
            <v>83.676000000000002</v>
          </cell>
          <cell r="AW188">
            <v>295.81100000000004</v>
          </cell>
        </row>
        <row r="189">
          <cell r="Q189">
            <v>20668</v>
          </cell>
          <cell r="T189">
            <v>0</v>
          </cell>
          <cell r="U189" t="e">
            <v>#DIV/0!</v>
          </cell>
          <cell r="V189" t="e">
            <v>#DIV/0!</v>
          </cell>
          <cell r="Y189">
            <v>20511</v>
          </cell>
          <cell r="Z189">
            <v>7225</v>
          </cell>
          <cell r="AA189">
            <v>13286</v>
          </cell>
          <cell r="AP189" t="e">
            <v>#DIV/0!</v>
          </cell>
          <cell r="AQ189" t="e">
            <v>#DIV/0!</v>
          </cell>
          <cell r="AR189" t="e">
            <v>#DIV/0!</v>
          </cell>
          <cell r="AU189">
            <v>44313</v>
          </cell>
          <cell r="AV189">
            <v>9770.9133329995493</v>
          </cell>
          <cell r="AW189">
            <v>34542.086667000447</v>
          </cell>
        </row>
        <row r="190">
          <cell r="Q190">
            <v>137.33000000000001</v>
          </cell>
          <cell r="T190" t="e">
            <v>#DIV/0!</v>
          </cell>
          <cell r="U190" t="e">
            <v>#DIV/0!</v>
          </cell>
          <cell r="V190" t="e">
            <v>#DIV/0!</v>
          </cell>
          <cell r="Y190">
            <v>137.11000000000001</v>
          </cell>
          <cell r="Z190">
            <v>137.1</v>
          </cell>
          <cell r="AA190">
            <v>137.11000000000001</v>
          </cell>
          <cell r="AN190">
            <v>0</v>
          </cell>
          <cell r="AP190" t="e">
            <v>#DIV/0!</v>
          </cell>
          <cell r="AQ190" t="e">
            <v>#DIV/0!</v>
          </cell>
          <cell r="AR190" t="e">
            <v>#DIV/0!</v>
          </cell>
          <cell r="AU190">
            <v>116.77</v>
          </cell>
          <cell r="AV190">
            <v>116.77</v>
          </cell>
          <cell r="AW190">
            <v>116.77</v>
          </cell>
        </row>
        <row r="191">
          <cell r="AP191">
            <v>0</v>
          </cell>
          <cell r="AQ191">
            <v>0</v>
          </cell>
          <cell r="AR191">
            <v>0</v>
          </cell>
          <cell r="AU191">
            <v>0</v>
          </cell>
          <cell r="AV191">
            <v>0</v>
          </cell>
          <cell r="AW191">
            <v>0</v>
          </cell>
        </row>
        <row r="192">
          <cell r="T192" t="e">
            <v>#DIV/0!</v>
          </cell>
          <cell r="Y192">
            <v>20511</v>
          </cell>
          <cell r="AP192" t="e">
            <v>#DIV/0!</v>
          </cell>
          <cell r="AQ192" t="e">
            <v>#DIV/0!</v>
          </cell>
          <cell r="AR192" t="e">
            <v>#DIV/0!</v>
          </cell>
          <cell r="AU192">
            <v>44313</v>
          </cell>
          <cell r="AV192">
            <v>9770.9133329995493</v>
          </cell>
          <cell r="AW192">
            <v>34542.086667000447</v>
          </cell>
        </row>
        <row r="195">
          <cell r="T195" t="str">
            <v>ТЕЦ-5 ВСЬОГО</v>
          </cell>
          <cell r="U195" t="str">
            <v>Е/Е</v>
          </cell>
          <cell r="V195" t="str">
            <v xml:space="preserve"> Т/Е</v>
          </cell>
          <cell r="Y195" t="str">
            <v>ТЕЦ-6 ВСЬОГО</v>
          </cell>
          <cell r="Z195" t="str">
            <v>Е/Е</v>
          </cell>
          <cell r="AA195" t="str">
            <v xml:space="preserve"> Т/Е</v>
          </cell>
          <cell r="AP195" t="str">
            <v>АК КЕ ВСЬОГО</v>
          </cell>
          <cell r="AQ195" t="str">
            <v>Е/Е</v>
          </cell>
          <cell r="AR195" t="str">
            <v xml:space="preserve"> Т/Е</v>
          </cell>
        </row>
        <row r="196">
          <cell r="U196">
            <v>291.85000000000002</v>
          </cell>
          <cell r="V196">
            <v>750</v>
          </cell>
          <cell r="Z196">
            <v>268.14999999999998</v>
          </cell>
          <cell r="AA196">
            <v>590</v>
          </cell>
        </row>
        <row r="197">
          <cell r="U197">
            <v>176.1</v>
          </cell>
          <cell r="V197">
            <v>163.6</v>
          </cell>
          <cell r="Z197">
            <v>196.5</v>
          </cell>
          <cell r="AA197">
            <v>164.2</v>
          </cell>
        </row>
        <row r="198">
          <cell r="U198">
            <v>306.60000000000002</v>
          </cell>
          <cell r="V198">
            <v>112.8</v>
          </cell>
          <cell r="Z198">
            <v>301.89999999999998</v>
          </cell>
          <cell r="AA198">
            <v>116.3</v>
          </cell>
        </row>
        <row r="199">
          <cell r="U199">
            <v>130.50000000000003</v>
          </cell>
          <cell r="V199">
            <v>-50.8</v>
          </cell>
          <cell r="Z199">
            <v>105.39999999999998</v>
          </cell>
          <cell r="AA199">
            <v>-47.899999999999991</v>
          </cell>
        </row>
        <row r="200">
          <cell r="U200" t="e">
            <v>#DIV/0!</v>
          </cell>
          <cell r="V200" t="e">
            <v>#DIV/0!</v>
          </cell>
          <cell r="Z200">
            <v>137.1</v>
          </cell>
          <cell r="AA200">
            <v>137.11000000000001</v>
          </cell>
        </row>
        <row r="201">
          <cell r="U201" t="e">
            <v>#DIV/0!</v>
          </cell>
          <cell r="V201" t="e">
            <v>#DIV/0!</v>
          </cell>
          <cell r="Z201">
            <v>14.450339999999997</v>
          </cell>
          <cell r="AA201">
            <v>-6.5675689999999998</v>
          </cell>
        </row>
        <row r="202">
          <cell r="U202" t="e">
            <v>#DIV/0!</v>
          </cell>
          <cell r="V202" t="e">
            <v>#DIV/0!</v>
          </cell>
          <cell r="Z202">
            <v>3874.858670999999</v>
          </cell>
          <cell r="AA202">
            <v>-3874.86571</v>
          </cell>
          <cell r="AQ202" t="e">
            <v>#DIV/0!</v>
          </cell>
          <cell r="AR202" t="e">
            <v>#DIV/0!</v>
          </cell>
        </row>
        <row r="204">
          <cell r="AV204">
            <v>1507.2</v>
          </cell>
        </row>
        <row r="218">
          <cell r="Y218" t="str">
            <v>ЗАТВЕРДЖУЮ</v>
          </cell>
        </row>
        <row r="219">
          <cell r="Y219" t="str">
            <v>ГОЛОВА ПРАЛІННЯ АК КЕ</v>
          </cell>
        </row>
        <row r="220">
          <cell r="Z220" t="str">
            <v>І.В.ПЛАЧКОВ</v>
          </cell>
        </row>
        <row r="221">
          <cell r="C221" t="str">
            <v>ПОТРЕБА   В КОШТАХ НА  1 КВАРТАЛ 1998 року</v>
          </cell>
        </row>
        <row r="222">
          <cell r="C222" t="str">
            <v>ПО ФІЛІАЛАХ АК КИЇВЕНЕРГО</v>
          </cell>
        </row>
        <row r="224">
          <cell r="C224" t="str">
            <v>ВИКОН.ДИР.</v>
          </cell>
          <cell r="D224" t="str">
            <v>АПАРАТ ЕЛЕКТРО</v>
          </cell>
          <cell r="E224" t="str">
            <v>АПАРАТ ТЕПЛО</v>
          </cell>
          <cell r="N224" t="str">
            <v>ККМ</v>
          </cell>
          <cell r="Q224" t="str">
            <v>КТМ</v>
          </cell>
          <cell r="T224" t="str">
            <v>ТЕЦ-5 ВСЬОГО</v>
          </cell>
          <cell r="U224" t="str">
            <v>Е/Е</v>
          </cell>
          <cell r="V224" t="str">
            <v xml:space="preserve"> Т/Е</v>
          </cell>
          <cell r="Y224" t="str">
            <v>ТЕЦ-6 ВСЬОГО</v>
          </cell>
          <cell r="Z224" t="str">
            <v>Е/Е</v>
          </cell>
          <cell r="AA224" t="str">
            <v xml:space="preserve"> Т/Е</v>
          </cell>
          <cell r="AN224" t="str">
            <v>ДОП.ВИР. СТ.ОРГ.</v>
          </cell>
          <cell r="AP224" t="str">
            <v>АК КЕ ВСЬОГО</v>
          </cell>
          <cell r="AQ224" t="str">
            <v>Е/Е</v>
          </cell>
          <cell r="AR224" t="str">
            <v xml:space="preserve"> Т/Е</v>
          </cell>
          <cell r="AU224" t="str">
            <v>СТАНЦІї ЕЛЕКТРО</v>
          </cell>
          <cell r="AV224" t="str">
            <v>СТАНЦІІ ТЕПЛОВІ</v>
          </cell>
          <cell r="AW224" t="str">
            <v>МЕРЕЖІ ЕЛЕКТРО</v>
          </cell>
          <cell r="AX224" t="str">
            <v>МЕРЕЖІ ТЕПЛОВІ</v>
          </cell>
        </row>
        <row r="227">
          <cell r="C227" t="e">
            <v>#REF!</v>
          </cell>
          <cell r="N227" t="e">
            <v>#REF!</v>
          </cell>
          <cell r="Q227">
            <v>76293.222696969693</v>
          </cell>
          <cell r="T227">
            <v>35776.770242424296</v>
          </cell>
          <cell r="Y227" t="e">
            <v>#REF!</v>
          </cell>
          <cell r="AN227" t="e">
            <v>#REF!</v>
          </cell>
          <cell r="AP227" t="e">
            <v>#REF!</v>
          </cell>
          <cell r="AQ227" t="e">
            <v>#REF!</v>
          </cell>
        </row>
        <row r="228">
          <cell r="C228" t="e">
            <v>#REF!</v>
          </cell>
          <cell r="N228" t="e">
            <v>#REF!</v>
          </cell>
          <cell r="Q228">
            <v>30209.03112121212</v>
          </cell>
          <cell r="T228">
            <v>18895.16496969702</v>
          </cell>
          <cell r="Y228" t="e">
            <v>#REF!</v>
          </cell>
          <cell r="AP228" t="e">
            <v>#REF!</v>
          </cell>
          <cell r="AQ228" t="e">
            <v>#REF!</v>
          </cell>
        </row>
        <row r="230">
          <cell r="C230">
            <v>1334.2</v>
          </cell>
          <cell r="N230">
            <v>9853.7727272727279</v>
          </cell>
          <cell r="Q230">
            <v>20350.500909090908</v>
          </cell>
          <cell r="T230">
            <v>7594.1272727272735</v>
          </cell>
          <cell r="Y230">
            <v>6222.3672727272733</v>
          </cell>
          <cell r="AN230" t="e">
            <v>#REF!</v>
          </cell>
          <cell r="AP230" t="e">
            <v>#REF!</v>
          </cell>
          <cell r="AQ230" t="e">
            <v>#REF!</v>
          </cell>
        </row>
        <row r="231">
          <cell r="C231">
            <v>416.54545454545456</v>
          </cell>
          <cell r="N231">
            <v>3146</v>
          </cell>
          <cell r="Q231">
            <v>5549</v>
          </cell>
          <cell r="T231">
            <v>2070</v>
          </cell>
          <cell r="Y231">
            <v>1697</v>
          </cell>
          <cell r="AP231" t="e">
            <v>#REF!</v>
          </cell>
          <cell r="AQ231" t="e">
            <v>#REF!</v>
          </cell>
        </row>
        <row r="232">
          <cell r="AQ232" t="e">
            <v>#REF!</v>
          </cell>
        </row>
        <row r="233">
          <cell r="C233">
            <v>0</v>
          </cell>
          <cell r="N233">
            <v>0</v>
          </cell>
          <cell r="Q233">
            <v>162.79999999999998</v>
          </cell>
          <cell r="T233">
            <v>7199.4000000000005</v>
          </cell>
          <cell r="Y233">
            <v>144.86666666666667</v>
          </cell>
          <cell r="AP233">
            <v>7511.0666666666675</v>
          </cell>
          <cell r="AQ233" t="e">
            <v>#REF!</v>
          </cell>
        </row>
        <row r="234">
          <cell r="C234">
            <v>0</v>
          </cell>
          <cell r="N234">
            <v>0</v>
          </cell>
          <cell r="Q234">
            <v>0</v>
          </cell>
          <cell r="T234">
            <v>0</v>
          </cell>
          <cell r="Y234">
            <v>0</v>
          </cell>
          <cell r="AP234">
            <v>19</v>
          </cell>
          <cell r="AQ234" t="e">
            <v>#REF!</v>
          </cell>
        </row>
        <row r="235">
          <cell r="C235">
            <v>571</v>
          </cell>
          <cell r="N235">
            <v>0</v>
          </cell>
          <cell r="Q235">
            <v>526.04999999999995</v>
          </cell>
          <cell r="T235">
            <v>0</v>
          </cell>
          <cell r="Y235">
            <v>0</v>
          </cell>
          <cell r="AP235" t="e">
            <v>#REF!</v>
          </cell>
          <cell r="AQ235" t="e">
            <v>#REF!</v>
          </cell>
        </row>
        <row r="236">
          <cell r="AQ236" t="e">
            <v>#REF!</v>
          </cell>
        </row>
        <row r="237">
          <cell r="C237">
            <v>-1308</v>
          </cell>
          <cell r="N237">
            <v>13004</v>
          </cell>
          <cell r="Q237">
            <v>1739.5839999999998</v>
          </cell>
          <cell r="T237">
            <v>1689</v>
          </cell>
          <cell r="Y237">
            <v>1811</v>
          </cell>
          <cell r="AP237" t="e">
            <v>#REF!</v>
          </cell>
          <cell r="AQ237" t="e">
            <v>#REF!</v>
          </cell>
        </row>
        <row r="238">
          <cell r="C238">
            <v>916.24199999999996</v>
          </cell>
          <cell r="N238">
            <v>0</v>
          </cell>
          <cell r="Q238">
            <v>0</v>
          </cell>
          <cell r="T238">
            <v>0</v>
          </cell>
          <cell r="Y238">
            <v>0</v>
          </cell>
          <cell r="AP238">
            <v>0</v>
          </cell>
          <cell r="AQ238" t="e">
            <v>#REF!</v>
          </cell>
        </row>
        <row r="239">
          <cell r="AQ239" t="e">
            <v>#REF!</v>
          </cell>
        </row>
        <row r="240">
          <cell r="C240" t="e">
            <v>#REF!</v>
          </cell>
          <cell r="N240" t="e">
            <v>#REF!</v>
          </cell>
          <cell r="Q240">
            <v>776</v>
          </cell>
          <cell r="T240">
            <v>0</v>
          </cell>
          <cell r="Y240" t="e">
            <v>#REF!</v>
          </cell>
          <cell r="AP240" t="e">
            <v>#REF!</v>
          </cell>
          <cell r="AQ240" t="e">
            <v>#REF!</v>
          </cell>
        </row>
        <row r="241">
          <cell r="AQ241" t="e">
            <v>#REF!</v>
          </cell>
        </row>
        <row r="242">
          <cell r="AQ242" t="e">
            <v>#REF!</v>
          </cell>
        </row>
        <row r="243">
          <cell r="C243">
            <v>1122</v>
          </cell>
          <cell r="N243">
            <v>3754</v>
          </cell>
          <cell r="Q243">
            <v>7041</v>
          </cell>
          <cell r="T243">
            <v>1022.2586666666666</v>
          </cell>
          <cell r="Y243">
            <v>827.22533333333331</v>
          </cell>
          <cell r="AP243">
            <v>17543.366500142667</v>
          </cell>
          <cell r="AQ243" t="e">
            <v>#REF!</v>
          </cell>
        </row>
        <row r="244">
          <cell r="C244">
            <v>521</v>
          </cell>
          <cell r="N244">
            <v>79</v>
          </cell>
          <cell r="Q244">
            <v>942</v>
          </cell>
          <cell r="T244">
            <v>442.62666666666667</v>
          </cell>
          <cell r="Y244">
            <v>414.78399999999999</v>
          </cell>
          <cell r="AP244">
            <v>2577.6078749021572</v>
          </cell>
          <cell r="AQ244" t="e">
            <v>#REF!</v>
          </cell>
        </row>
        <row r="245">
          <cell r="AQ245" t="e">
            <v>#REF!</v>
          </cell>
        </row>
        <row r="246">
          <cell r="C246">
            <v>2</v>
          </cell>
          <cell r="N246">
            <v>1</v>
          </cell>
          <cell r="Q246">
            <v>0</v>
          </cell>
          <cell r="T246">
            <v>143.19266666666664</v>
          </cell>
          <cell r="Y246">
            <v>-46.472000000000008</v>
          </cell>
          <cell r="AP246">
            <v>99.720666666666631</v>
          </cell>
          <cell r="AQ246" t="e">
            <v>#REF!</v>
          </cell>
        </row>
        <row r="247">
          <cell r="C247">
            <v>53</v>
          </cell>
          <cell r="N247">
            <v>376.61933333333337</v>
          </cell>
          <cell r="Q247">
            <v>17046.890666666666</v>
          </cell>
          <cell r="T247">
            <v>0</v>
          </cell>
          <cell r="Y247">
            <v>0</v>
          </cell>
          <cell r="AP247">
            <v>20789.181999999997</v>
          </cell>
          <cell r="AQ247" t="e">
            <v>#REF!</v>
          </cell>
        </row>
        <row r="248">
          <cell r="C248">
            <v>0</v>
          </cell>
          <cell r="N248">
            <v>0</v>
          </cell>
          <cell r="Q248">
            <v>0</v>
          </cell>
          <cell r="T248">
            <v>0</v>
          </cell>
          <cell r="Y248">
            <v>0</v>
          </cell>
          <cell r="AP248">
            <v>658.33066666666662</v>
          </cell>
          <cell r="AQ248" t="e">
            <v>#REF!</v>
          </cell>
        </row>
        <row r="249">
          <cell r="C249">
            <v>3888</v>
          </cell>
          <cell r="N249">
            <v>0</v>
          </cell>
          <cell r="Q249">
            <v>0</v>
          </cell>
          <cell r="T249">
            <v>0</v>
          </cell>
          <cell r="Y249">
            <v>18</v>
          </cell>
          <cell r="AP249">
            <v>3906</v>
          </cell>
          <cell r="AQ249" t="e">
            <v>#REF!</v>
          </cell>
        </row>
        <row r="250">
          <cell r="C250">
            <v>0</v>
          </cell>
          <cell r="N250">
            <v>0.20800000000000018</v>
          </cell>
          <cell r="Q250">
            <v>0.76399999999998158</v>
          </cell>
          <cell r="T250">
            <v>-0.42800000000000082</v>
          </cell>
          <cell r="Y250">
            <v>6.799999999999784E-2</v>
          </cell>
          <cell r="AP250" t="e">
            <v>#REF!</v>
          </cell>
          <cell r="AQ250" t="e">
            <v>#REF!</v>
          </cell>
        </row>
        <row r="251">
          <cell r="C251">
            <v>0</v>
          </cell>
          <cell r="N251">
            <v>0.19200000000000017</v>
          </cell>
          <cell r="Q251">
            <v>-0.32000000000000028</v>
          </cell>
          <cell r="T251">
            <v>-0.3360000000000003</v>
          </cell>
          <cell r="Y251">
            <v>0.28000000000000114</v>
          </cell>
          <cell r="AP251" t="e">
            <v>#REF!</v>
          </cell>
          <cell r="AQ251" t="e">
            <v>#REF!</v>
          </cell>
        </row>
        <row r="252">
          <cell r="C252" t="e">
            <v>#REF!</v>
          </cell>
          <cell r="N252" t="e">
            <v>#REF!</v>
          </cell>
          <cell r="Q252">
            <v>27166.953121212111</v>
          </cell>
          <cell r="T252">
            <v>17206.928969697019</v>
          </cell>
          <cell r="Y252" t="e">
            <v>#REF!</v>
          </cell>
          <cell r="AP252" t="e">
            <v>#REF!</v>
          </cell>
          <cell r="AQ252" t="e">
            <v>#REF!</v>
          </cell>
        </row>
        <row r="253">
          <cell r="Q253">
            <v>541</v>
          </cell>
          <cell r="T253">
            <v>480</v>
          </cell>
          <cell r="Y253">
            <v>44</v>
          </cell>
          <cell r="AP253">
            <v>524</v>
          </cell>
          <cell r="AQ253" t="e">
            <v>#REF!</v>
          </cell>
        </row>
        <row r="293">
          <cell r="T293" t="str">
            <v>Собівартість</v>
          </cell>
        </row>
        <row r="294">
          <cell r="V294">
            <v>-25</v>
          </cell>
        </row>
        <row r="295">
          <cell r="V295">
            <v>-1.375</v>
          </cell>
        </row>
        <row r="296">
          <cell r="V296">
            <v>-8</v>
          </cell>
        </row>
        <row r="297">
          <cell r="V297">
            <v>-2.1590909090909096</v>
          </cell>
        </row>
        <row r="303">
          <cell r="T303" t="str">
            <v>ФМЗ ( з відрахуван)</v>
          </cell>
          <cell r="V303">
            <v>25</v>
          </cell>
        </row>
      </sheetData>
      <sheetData sheetId="42" refreshError="1">
        <row r="16">
          <cell r="AP16" t="str">
            <v>ЗАТВЕРДЖУЮ</v>
          </cell>
        </row>
        <row r="17">
          <cell r="C17" t="str">
            <v>І.В.ПЛАЧКОВ</v>
          </cell>
          <cell r="AP17" t="str">
            <v>ГОЛОВА ПРАЛІННЯ АК КЕ</v>
          </cell>
        </row>
        <row r="22">
          <cell r="AV22" t="str">
            <v>І.В.ПЛАЧКОВ</v>
          </cell>
        </row>
        <row r="29">
          <cell r="N29" t="str">
            <v>+</v>
          </cell>
          <cell r="Q29" t="str">
            <v>+</v>
          </cell>
          <cell r="T29">
            <v>34328</v>
          </cell>
          <cell r="AD29" t="str">
            <v>+</v>
          </cell>
        </row>
        <row r="30">
          <cell r="C30" t="str">
            <v>ВИКОН.ДИР.ПЛАН</v>
          </cell>
          <cell r="D30" t="str">
            <v>Е/Е</v>
          </cell>
          <cell r="E30" t="str">
            <v xml:space="preserve"> Т/Е</v>
          </cell>
          <cell r="N30" t="str">
            <v xml:space="preserve">ККМ ПЛАН </v>
          </cell>
          <cell r="O30" t="str">
            <v>ЗВІТ</v>
          </cell>
          <cell r="P30" t="str">
            <v>ВІДХ.</v>
          </cell>
          <cell r="Q30" t="str">
            <v>КТМ ПЛАН</v>
          </cell>
          <cell r="R30" t="str">
            <v>ЗВІТ</v>
          </cell>
          <cell r="S30" t="str">
            <v>ВІДХ.</v>
          </cell>
          <cell r="T30" t="str">
            <v>ТЕЦ-5   ПЛАН</v>
          </cell>
          <cell r="U30" t="str">
            <v>Е/Е</v>
          </cell>
          <cell r="V30" t="str">
            <v xml:space="preserve"> Т/Е</v>
          </cell>
          <cell r="W30" t="str">
            <v>ЗВІТ</v>
          </cell>
          <cell r="X30" t="str">
            <v>ВІДХ.</v>
          </cell>
          <cell r="Y30" t="str">
            <v>ТЕЦ-6  ПЛАН</v>
          </cell>
          <cell r="Z30" t="str">
            <v>Е/Е</v>
          </cell>
          <cell r="AA30" t="str">
            <v xml:space="preserve"> Т/Е</v>
          </cell>
          <cell r="AB30" t="str">
            <v>ЗВІТ</v>
          </cell>
          <cell r="AC30" t="str">
            <v>ВІДХ.</v>
          </cell>
          <cell r="AD30" t="str">
            <v>ТРМ ВСЬОГО ПЛАН</v>
          </cell>
          <cell r="AE30" t="str">
            <v>ТРМ АК ПЛАН</v>
          </cell>
          <cell r="AF30" t="str">
            <v>ТРМ СТОР  ПЛАН</v>
          </cell>
          <cell r="AG30" t="str">
            <v>ТРМ ВСЬОГО ЗВІТ</v>
          </cell>
          <cell r="AH30" t="str">
            <v>ТРМ АК ЗВІТ</v>
          </cell>
          <cell r="AI30" t="str">
            <v>ТРМ СТОР  ЗВІТ</v>
          </cell>
          <cell r="AJ30" t="str">
            <v>відх всього</v>
          </cell>
          <cell r="AK30" t="str">
            <v>Е/Е</v>
          </cell>
          <cell r="AL30" t="str">
            <v xml:space="preserve"> Т/Е</v>
          </cell>
          <cell r="AN30" t="str">
            <v>ДОП.ВИР. ПЛАН</v>
          </cell>
          <cell r="AO30" t="str">
            <v>ЗВІТ</v>
          </cell>
          <cell r="AP30" t="str">
            <v>АК КЕ  ПЛАН</v>
          </cell>
          <cell r="AQ30" t="str">
            <v xml:space="preserve"> Е/Е</v>
          </cell>
          <cell r="AR30" t="str">
            <v xml:space="preserve"> Т/Е</v>
          </cell>
          <cell r="AS30" t="str">
            <v>ЗВІТ</v>
          </cell>
          <cell r="AT30" t="str">
            <v>відх</v>
          </cell>
          <cell r="AU30" t="str">
            <v>СТАНЦІї ЕЛЕКТРО</v>
          </cell>
          <cell r="AV30" t="str">
            <v>СТАНЦІІ ТЕПЛОВІ</v>
          </cell>
          <cell r="AW30" t="str">
            <v>МЕРЕЖІ ЕЛЕКТРО</v>
          </cell>
          <cell r="AX30" t="str">
            <v>МЕРЕЖІ ТЕПЛОВІ</v>
          </cell>
        </row>
        <row r="31">
          <cell r="U31">
            <v>330</v>
          </cell>
          <cell r="Z31">
            <v>298</v>
          </cell>
          <cell r="AQ31">
            <v>628</v>
          </cell>
        </row>
        <row r="32">
          <cell r="U32">
            <v>291.85000000000002</v>
          </cell>
          <cell r="Z32">
            <v>268.14999999999998</v>
          </cell>
          <cell r="AQ32">
            <v>560</v>
          </cell>
        </row>
        <row r="33">
          <cell r="AQ33">
            <v>0</v>
          </cell>
        </row>
        <row r="34">
          <cell r="AQ34">
            <v>0</v>
          </cell>
        </row>
        <row r="35">
          <cell r="AQ35">
            <v>32</v>
          </cell>
        </row>
        <row r="36">
          <cell r="AQ36">
            <v>0</v>
          </cell>
        </row>
        <row r="37">
          <cell r="AQ37">
            <v>500</v>
          </cell>
        </row>
        <row r="38">
          <cell r="N38">
            <v>0</v>
          </cell>
          <cell r="AQ38">
            <v>468</v>
          </cell>
        </row>
        <row r="39">
          <cell r="C39">
            <v>21158.2</v>
          </cell>
          <cell r="N39">
            <v>31198.706727272729</v>
          </cell>
          <cell r="O39">
            <v>6571</v>
          </cell>
          <cell r="P39">
            <v>-24627.706727272729</v>
          </cell>
          <cell r="Q39">
            <v>98918.709363636386</v>
          </cell>
          <cell r="R39">
            <v>23576</v>
          </cell>
          <cell r="S39">
            <v>-75342.709363636386</v>
          </cell>
          <cell r="T39">
            <v>35357.6157878788</v>
          </cell>
          <cell r="W39">
            <v>8380</v>
          </cell>
          <cell r="X39">
            <v>-26977.6157878788</v>
          </cell>
          <cell r="Y39">
            <v>20993.651636363633</v>
          </cell>
          <cell r="Z39">
            <v>7534</v>
          </cell>
          <cell r="AA39">
            <v>13069.370303030311</v>
          </cell>
          <cell r="AB39">
            <v>5452</v>
          </cell>
          <cell r="AC39">
            <v>-15541.651636363633</v>
          </cell>
          <cell r="AD39">
            <v>49910.87533333333</v>
          </cell>
          <cell r="AE39">
            <v>41348.447090909096</v>
          </cell>
          <cell r="AF39">
            <v>8563.428242424241</v>
          </cell>
          <cell r="AG39">
            <v>8513</v>
          </cell>
          <cell r="AH39">
            <v>6481</v>
          </cell>
          <cell r="AI39">
            <v>2032</v>
          </cell>
          <cell r="AJ39">
            <v>-41397.87533333333</v>
          </cell>
          <cell r="AN39" t="e">
            <v>#REF!</v>
          </cell>
        </row>
        <row r="40">
          <cell r="C40">
            <v>9041.2000000000007</v>
          </cell>
        </row>
        <row r="41">
          <cell r="C41">
            <v>1416.2</v>
          </cell>
          <cell r="D41">
            <v>443</v>
          </cell>
          <cell r="E41">
            <v>773.2</v>
          </cell>
          <cell r="N41">
            <v>11176.222727272727</v>
          </cell>
          <cell r="Q41">
            <v>22385.220909090909</v>
          </cell>
          <cell r="T41">
            <v>8424.2482727272745</v>
          </cell>
          <cell r="U41">
            <v>3221</v>
          </cell>
          <cell r="V41">
            <v>5203.2482727272736</v>
          </cell>
          <cell r="Y41">
            <v>6912.2272727272721</v>
          </cell>
          <cell r="Z41">
            <v>2495</v>
          </cell>
          <cell r="AA41">
            <v>4417.227272727273</v>
          </cell>
          <cell r="AE41">
            <v>18490.863636363636</v>
          </cell>
          <cell r="AG41">
            <v>4464</v>
          </cell>
          <cell r="AH41">
            <v>3202</v>
          </cell>
          <cell r="AN41" t="e">
            <v>#REF!</v>
          </cell>
          <cell r="AR41">
            <v>9620.4755454545466</v>
          </cell>
        </row>
        <row r="42">
          <cell r="Q42">
            <v>970</v>
          </cell>
          <cell r="V42">
            <v>750</v>
          </cell>
          <cell r="AA42">
            <v>590</v>
          </cell>
          <cell r="AR42">
            <v>2095</v>
          </cell>
        </row>
        <row r="46">
          <cell r="C46">
            <v>743</v>
          </cell>
          <cell r="D46">
            <v>327</v>
          </cell>
          <cell r="E46">
            <v>416</v>
          </cell>
          <cell r="N46">
            <v>4379.4040000000005</v>
          </cell>
          <cell r="O46">
            <v>1204</v>
          </cell>
          <cell r="P46">
            <v>-3175.4040000000005</v>
          </cell>
          <cell r="Q46">
            <v>10032.949333333334</v>
          </cell>
          <cell r="R46">
            <v>2125</v>
          </cell>
          <cell r="S46">
            <v>-7907.9493333333339</v>
          </cell>
          <cell r="T46">
            <v>2869.0213333333331</v>
          </cell>
          <cell r="U46">
            <v>834</v>
          </cell>
          <cell r="V46">
            <v>2035.0213333333331</v>
          </cell>
          <cell r="W46">
            <v>431</v>
          </cell>
          <cell r="X46">
            <v>-2438.0213333333331</v>
          </cell>
          <cell r="Y46">
            <v>2136.0606666666672</v>
          </cell>
          <cell r="Z46">
            <v>784</v>
          </cell>
          <cell r="AA46">
            <v>1352.0606666666672</v>
          </cell>
          <cell r="AB46">
            <v>400</v>
          </cell>
          <cell r="AC46">
            <v>-1736.0606666666672</v>
          </cell>
          <cell r="AD46">
            <v>5406.058</v>
          </cell>
          <cell r="AE46">
            <v>4660.93</v>
          </cell>
          <cell r="AF46">
            <v>746.1279999999997</v>
          </cell>
          <cell r="AG46">
            <v>1087</v>
          </cell>
          <cell r="AH46">
            <v>292</v>
          </cell>
          <cell r="AI46">
            <v>134</v>
          </cell>
          <cell r="AJ46">
            <v>-4319.058</v>
          </cell>
          <cell r="AN46">
            <v>0</v>
          </cell>
          <cell r="AP46">
            <v>25075.085333333336</v>
          </cell>
          <cell r="AQ46">
            <v>6503.0040000000008</v>
          </cell>
          <cell r="AR46">
            <v>18572.081333333335</v>
          </cell>
          <cell r="AS46">
            <v>4452</v>
          </cell>
          <cell r="AT46">
            <v>-20623.085333333336</v>
          </cell>
          <cell r="AU46">
            <v>1618</v>
          </cell>
          <cell r="AV46">
            <v>6798</v>
          </cell>
          <cell r="AW46">
            <v>4885.0040000000008</v>
          </cell>
          <cell r="AX46">
            <v>11774.081333333335</v>
          </cell>
        </row>
        <row r="47">
          <cell r="C47">
            <v>1252</v>
          </cell>
          <cell r="E47">
            <v>1252</v>
          </cell>
          <cell r="N47">
            <v>3964</v>
          </cell>
          <cell r="Q47">
            <v>7771</v>
          </cell>
          <cell r="T47">
            <v>1077.2586666666666</v>
          </cell>
          <cell r="U47">
            <v>428</v>
          </cell>
          <cell r="V47">
            <v>649.25866666666661</v>
          </cell>
          <cell r="Y47">
            <v>917.22533333333331</v>
          </cell>
          <cell r="Z47">
            <v>325</v>
          </cell>
          <cell r="AA47">
            <v>592.22533333333331</v>
          </cell>
          <cell r="AC47">
            <v>-917.22533333333331</v>
          </cell>
          <cell r="AD47">
            <v>4679.1707200000001</v>
          </cell>
          <cell r="AE47">
            <v>4236.8825001426667</v>
          </cell>
          <cell r="AP47">
            <v>19218.366500142667</v>
          </cell>
        </row>
        <row r="48">
          <cell r="C48">
            <v>2</v>
          </cell>
          <cell r="E48">
            <v>2</v>
          </cell>
          <cell r="N48">
            <v>1</v>
          </cell>
          <cell r="Q48">
            <v>0</v>
          </cell>
          <cell r="T48">
            <v>285.19266666666664</v>
          </cell>
          <cell r="U48">
            <v>51</v>
          </cell>
          <cell r="V48">
            <v>234.19266666666664</v>
          </cell>
          <cell r="Y48">
            <v>-46.472000000000008</v>
          </cell>
          <cell r="Z48">
            <v>-136</v>
          </cell>
          <cell r="AA48">
            <v>89.527999999999992</v>
          </cell>
          <cell r="AC48">
            <v>46.472000000000008</v>
          </cell>
          <cell r="AD48">
            <v>0</v>
          </cell>
          <cell r="AE48">
            <v>0</v>
          </cell>
          <cell r="AP48">
            <v>241.72066666666663</v>
          </cell>
        </row>
        <row r="49">
          <cell r="C49">
            <v>521</v>
          </cell>
          <cell r="E49">
            <v>521</v>
          </cell>
          <cell r="N49">
            <v>143</v>
          </cell>
          <cell r="Q49">
            <v>963</v>
          </cell>
          <cell r="T49">
            <v>492.62666666666667</v>
          </cell>
          <cell r="U49">
            <v>186</v>
          </cell>
          <cell r="V49">
            <v>306.62666666666667</v>
          </cell>
          <cell r="Y49">
            <v>480.78399999999999</v>
          </cell>
          <cell r="Z49">
            <v>187</v>
          </cell>
          <cell r="AA49">
            <v>293.78399999999999</v>
          </cell>
          <cell r="AC49">
            <v>-480.78399999999999</v>
          </cell>
          <cell r="AD49">
            <v>247.34026666666668</v>
          </cell>
          <cell r="AE49">
            <v>216.19720823549071</v>
          </cell>
          <cell r="AP49">
            <v>2816.6078749021572</v>
          </cell>
        </row>
        <row r="50">
          <cell r="C50">
            <v>2</v>
          </cell>
          <cell r="D50">
            <v>2</v>
          </cell>
          <cell r="E50">
            <v>0</v>
          </cell>
          <cell r="N50">
            <v>492.92399999999998</v>
          </cell>
          <cell r="O50">
            <v>121</v>
          </cell>
          <cell r="P50">
            <v>-371.92399999999998</v>
          </cell>
          <cell r="Q50">
            <v>5349.8346666666666</v>
          </cell>
          <cell r="R50">
            <v>1386</v>
          </cell>
          <cell r="S50">
            <v>-3963.8346666666666</v>
          </cell>
          <cell r="T50">
            <v>9793.4773333333324</v>
          </cell>
          <cell r="U50">
            <v>3806</v>
          </cell>
          <cell r="V50">
            <v>5987.4773333333324</v>
          </cell>
          <cell r="W50">
            <v>2636</v>
          </cell>
          <cell r="X50">
            <v>-7157.4773333333324</v>
          </cell>
          <cell r="Y50">
            <v>1393.9739999999999</v>
          </cell>
          <cell r="Z50">
            <v>347</v>
          </cell>
          <cell r="AA50">
            <v>1046.9739999999999</v>
          </cell>
          <cell r="AB50">
            <v>292</v>
          </cell>
          <cell r="AC50">
            <v>-1101.9739999999999</v>
          </cell>
          <cell r="AD50">
            <v>2343.2906666666663</v>
          </cell>
          <cell r="AE50">
            <v>1762.72</v>
          </cell>
          <cell r="AF50">
            <v>580.57066666666628</v>
          </cell>
          <cell r="AG50">
            <v>288</v>
          </cell>
          <cell r="AH50">
            <v>601</v>
          </cell>
          <cell r="AI50">
            <v>56</v>
          </cell>
          <cell r="AJ50">
            <v>-2055.2906666666663</v>
          </cell>
          <cell r="AN50">
            <v>0</v>
          </cell>
          <cell r="AP50">
            <v>18756.329999999998</v>
          </cell>
          <cell r="AQ50">
            <v>4653.3239999999996</v>
          </cell>
          <cell r="AR50">
            <v>14103.005999999998</v>
          </cell>
          <cell r="AS50">
            <v>5036</v>
          </cell>
          <cell r="AT50">
            <v>-13720.329999999998</v>
          </cell>
          <cell r="AU50">
            <v>4153</v>
          </cell>
          <cell r="AV50">
            <v>8853</v>
          </cell>
          <cell r="AW50">
            <v>500.32399999999961</v>
          </cell>
          <cell r="AX50">
            <v>5250.0059999999976</v>
          </cell>
        </row>
        <row r="51">
          <cell r="C51">
            <v>0</v>
          </cell>
          <cell r="D51">
            <v>0</v>
          </cell>
          <cell r="E51">
            <v>0</v>
          </cell>
          <cell r="N51">
            <v>0</v>
          </cell>
          <cell r="P51">
            <v>0</v>
          </cell>
          <cell r="Q51">
            <v>176.46666666666664</v>
          </cell>
          <cell r="R51">
            <v>54</v>
          </cell>
          <cell r="S51">
            <v>-122.46666666666664</v>
          </cell>
          <cell r="T51">
            <v>7822.4000000000005</v>
          </cell>
          <cell r="U51">
            <v>3230</v>
          </cell>
          <cell r="V51">
            <v>4592.4000000000005</v>
          </cell>
          <cell r="W51">
            <v>2407</v>
          </cell>
          <cell r="X51">
            <v>-5415.4000000000005</v>
          </cell>
          <cell r="Y51">
            <v>158.20000000000002</v>
          </cell>
          <cell r="Z51">
            <v>57</v>
          </cell>
          <cell r="AA51">
            <v>101.20000000000002</v>
          </cell>
          <cell r="AB51">
            <v>20</v>
          </cell>
          <cell r="AC51">
            <v>-138.20000000000002</v>
          </cell>
          <cell r="AD51">
            <v>5.6</v>
          </cell>
          <cell r="AE51">
            <v>4</v>
          </cell>
          <cell r="AF51">
            <v>1.5999999999999996</v>
          </cell>
          <cell r="AI51">
            <v>0</v>
          </cell>
          <cell r="AJ51">
            <v>-5.6</v>
          </cell>
          <cell r="AP51">
            <v>8161.0666666666666</v>
          </cell>
          <cell r="AQ51">
            <v>3287</v>
          </cell>
          <cell r="AR51">
            <v>4874.0666666666666</v>
          </cell>
          <cell r="AS51">
            <v>2481</v>
          </cell>
          <cell r="AT51">
            <v>-5680.0666666666666</v>
          </cell>
          <cell r="AU51">
            <v>3287</v>
          </cell>
          <cell r="AV51">
            <v>4754</v>
          </cell>
          <cell r="AW51">
            <v>0</v>
          </cell>
          <cell r="AX51">
            <v>120.06666666666661</v>
          </cell>
        </row>
        <row r="52">
          <cell r="C52">
            <v>0</v>
          </cell>
          <cell r="D52">
            <v>0</v>
          </cell>
          <cell r="E52">
            <v>0</v>
          </cell>
          <cell r="N52">
            <v>0</v>
          </cell>
          <cell r="P52">
            <v>0</v>
          </cell>
          <cell r="Q52">
            <v>125574</v>
          </cell>
          <cell r="R52">
            <v>61402</v>
          </cell>
          <cell r="S52">
            <v>-64172</v>
          </cell>
          <cell r="T52">
            <v>253209</v>
          </cell>
          <cell r="U52">
            <v>108806.34756097561</v>
          </cell>
          <cell r="V52">
            <v>144402.65243902439</v>
          </cell>
          <cell r="W52">
            <v>93632</v>
          </cell>
          <cell r="X52">
            <v>-159577</v>
          </cell>
          <cell r="Y52">
            <v>219657</v>
          </cell>
          <cell r="Z52">
            <v>86757.750161952048</v>
          </cell>
          <cell r="AA52">
            <v>132899.24983804795</v>
          </cell>
          <cell r="AB52">
            <v>76301</v>
          </cell>
          <cell r="AC52">
            <v>-143356</v>
          </cell>
          <cell r="AD52">
            <v>0</v>
          </cell>
          <cell r="AE52">
            <v>0</v>
          </cell>
          <cell r="AF52">
            <v>0</v>
          </cell>
          <cell r="AI52">
            <v>0</v>
          </cell>
          <cell r="AJ52">
            <v>0</v>
          </cell>
          <cell r="AN52">
            <v>0</v>
          </cell>
          <cell r="AP52">
            <v>598441</v>
          </cell>
          <cell r="AQ52">
            <v>195565.09772292766</v>
          </cell>
          <cell r="AR52">
            <v>402875.90227707231</v>
          </cell>
          <cell r="AS52">
            <v>231335</v>
          </cell>
          <cell r="AT52">
            <v>-367106</v>
          </cell>
          <cell r="AU52">
            <v>195564.09772292766</v>
          </cell>
          <cell r="AV52">
            <v>402876</v>
          </cell>
          <cell r="AW52">
            <v>1</v>
          </cell>
          <cell r="AX52">
            <v>-9.772292769048363E-2</v>
          </cell>
        </row>
        <row r="53">
          <cell r="C53">
            <v>0</v>
          </cell>
          <cell r="D53">
            <v>0</v>
          </cell>
          <cell r="E53">
            <v>0</v>
          </cell>
          <cell r="N53">
            <v>0</v>
          </cell>
          <cell r="P53">
            <v>0</v>
          </cell>
          <cell r="Q53">
            <v>125574</v>
          </cell>
          <cell r="R53">
            <v>61402</v>
          </cell>
          <cell r="S53">
            <v>-64172</v>
          </cell>
          <cell r="T53">
            <v>253209</v>
          </cell>
          <cell r="U53">
            <v>108806.34756097561</v>
          </cell>
          <cell r="V53">
            <v>144402.65243902439</v>
          </cell>
          <cell r="W53">
            <v>93632</v>
          </cell>
          <cell r="X53">
            <v>-159577</v>
          </cell>
          <cell r="Y53">
            <v>219657</v>
          </cell>
          <cell r="Z53">
            <v>86757.750161952048</v>
          </cell>
          <cell r="AA53">
            <v>132899.24983804795</v>
          </cell>
          <cell r="AB53">
            <v>46301</v>
          </cell>
          <cell r="AC53">
            <v>-173356</v>
          </cell>
          <cell r="AD53">
            <v>0</v>
          </cell>
          <cell r="AE53">
            <v>0</v>
          </cell>
          <cell r="AF53">
            <v>0</v>
          </cell>
          <cell r="AI53">
            <v>0</v>
          </cell>
          <cell r="AJ53">
            <v>0</v>
          </cell>
          <cell r="AP53">
            <v>598440</v>
          </cell>
          <cell r="AQ53">
            <v>195564.09772292766</v>
          </cell>
          <cell r="AR53">
            <v>402875.90227707231</v>
          </cell>
          <cell r="AS53">
            <v>201335</v>
          </cell>
          <cell r="AT53">
            <v>-397105</v>
          </cell>
          <cell r="AU53">
            <v>195564.09772292766</v>
          </cell>
          <cell r="AV53">
            <v>402876</v>
          </cell>
          <cell r="AW53">
            <v>0</v>
          </cell>
          <cell r="AX53">
            <v>-9.772292769048363E-2</v>
          </cell>
        </row>
        <row r="54">
          <cell r="C54">
            <v>1078.5999999999999</v>
          </cell>
          <cell r="D54">
            <v>0</v>
          </cell>
          <cell r="E54">
            <v>1078.5999999999999</v>
          </cell>
          <cell r="N54">
            <v>0</v>
          </cell>
          <cell r="P54">
            <v>0</v>
          </cell>
          <cell r="Q54">
            <v>0</v>
          </cell>
          <cell r="S54">
            <v>0</v>
          </cell>
          <cell r="T54">
            <v>0</v>
          </cell>
          <cell r="U54">
            <v>0</v>
          </cell>
          <cell r="Y54">
            <v>0</v>
          </cell>
          <cell r="Z54">
            <v>0</v>
          </cell>
          <cell r="AA54">
            <v>0</v>
          </cell>
          <cell r="AD54">
            <v>0</v>
          </cell>
          <cell r="AE54">
            <v>0</v>
          </cell>
          <cell r="AS54">
            <v>0</v>
          </cell>
          <cell r="AT54">
            <v>0</v>
          </cell>
          <cell r="AV54">
            <v>0</v>
          </cell>
        </row>
        <row r="55">
          <cell r="C55">
            <v>67</v>
          </cell>
          <cell r="D55">
            <v>6</v>
          </cell>
          <cell r="E55">
            <v>61</v>
          </cell>
          <cell r="N55">
            <v>439.28600000000006</v>
          </cell>
          <cell r="O55">
            <v>140</v>
          </cell>
          <cell r="P55">
            <v>-299.28600000000006</v>
          </cell>
          <cell r="Q55">
            <v>19570.890666666666</v>
          </cell>
          <cell r="R55">
            <v>8493</v>
          </cell>
          <cell r="S55">
            <v>-11077.890666666666</v>
          </cell>
          <cell r="T55">
            <v>0</v>
          </cell>
          <cell r="U55">
            <v>0</v>
          </cell>
          <cell r="V55">
            <v>0</v>
          </cell>
          <cell r="X55">
            <v>0</v>
          </cell>
          <cell r="Y55">
            <v>0</v>
          </cell>
          <cell r="Z55">
            <v>0</v>
          </cell>
          <cell r="AA55">
            <v>0</v>
          </cell>
          <cell r="AB55">
            <v>0</v>
          </cell>
          <cell r="AC55">
            <v>0</v>
          </cell>
          <cell r="AD55">
            <v>8274.5233333333344</v>
          </cell>
          <cell r="AE55">
            <v>3418.672</v>
          </cell>
          <cell r="AF55">
            <v>4855.851333333334</v>
          </cell>
          <cell r="AG55">
            <v>809</v>
          </cell>
          <cell r="AH55">
            <v>810</v>
          </cell>
          <cell r="AI55">
            <v>1225</v>
          </cell>
          <cell r="AJ55">
            <v>-7465.5233333333344</v>
          </cell>
          <cell r="AN55">
            <v>0</v>
          </cell>
          <cell r="AP55">
            <v>23495.848666666665</v>
          </cell>
          <cell r="AQ55">
            <v>445.28600000000006</v>
          </cell>
          <cell r="AR55">
            <v>23050.562666666665</v>
          </cell>
          <cell r="AS55">
            <v>9442</v>
          </cell>
          <cell r="AT55">
            <v>-14053.848666666665</v>
          </cell>
          <cell r="AU55">
            <v>0</v>
          </cell>
          <cell r="AV55">
            <v>6654</v>
          </cell>
          <cell r="AW55">
            <v>445.28600000000006</v>
          </cell>
          <cell r="AX55">
            <v>16396.562666666665</v>
          </cell>
        </row>
        <row r="56">
          <cell r="C56">
            <v>844.2</v>
          </cell>
          <cell r="D56">
            <v>310</v>
          </cell>
          <cell r="E56">
            <v>534.20000000000005</v>
          </cell>
          <cell r="N56">
            <v>6641.8893939393938</v>
          </cell>
          <cell r="O56">
            <v>1303</v>
          </cell>
          <cell r="P56">
            <v>-5338.8893939393938</v>
          </cell>
          <cell r="Q56">
            <v>11516.720909090909</v>
          </cell>
          <cell r="R56">
            <v>2369</v>
          </cell>
          <cell r="S56">
            <v>-9147.7209090909091</v>
          </cell>
          <cell r="T56">
            <v>3480.1573636363642</v>
          </cell>
          <cell r="U56">
            <v>1300</v>
          </cell>
          <cell r="V56">
            <v>2180.1573636363642</v>
          </cell>
          <cell r="W56">
            <v>745</v>
          </cell>
          <cell r="X56">
            <v>-2735.1573636363642</v>
          </cell>
          <cell r="Y56">
            <v>3339.8636363636365</v>
          </cell>
          <cell r="Z56">
            <v>1178</v>
          </cell>
          <cell r="AA56">
            <v>2161.8636363636365</v>
          </cell>
          <cell r="AB56">
            <v>662</v>
          </cell>
          <cell r="AC56">
            <v>-2677.8636363636365</v>
          </cell>
          <cell r="AD56">
            <v>12968.886363636362</v>
          </cell>
          <cell r="AE56">
            <v>11635.045454545454</v>
          </cell>
          <cell r="AF56">
            <v>1333.8409090909081</v>
          </cell>
          <cell r="AG56">
            <v>2563</v>
          </cell>
          <cell r="AH56">
            <v>1747</v>
          </cell>
          <cell r="AI56">
            <v>306</v>
          </cell>
          <cell r="AJ56">
            <v>-10405.886363636362</v>
          </cell>
          <cell r="AN56">
            <v>0</v>
          </cell>
          <cell r="AP56">
            <v>38228.876757575759</v>
          </cell>
          <cell r="AQ56">
            <v>9938.7075757575767</v>
          </cell>
          <cell r="AR56">
            <v>28290.169181818183</v>
          </cell>
          <cell r="AS56">
            <v>6826</v>
          </cell>
          <cell r="AT56">
            <v>-31402.876757575759</v>
          </cell>
          <cell r="AU56">
            <v>2478</v>
          </cell>
          <cell r="AV56">
            <v>8258</v>
          </cell>
          <cell r="AW56">
            <v>7460.7075757575767</v>
          </cell>
          <cell r="AX56">
            <v>20032.169181818183</v>
          </cell>
        </row>
        <row r="57">
          <cell r="C57">
            <v>27</v>
          </cell>
          <cell r="D57">
            <v>16</v>
          </cell>
          <cell r="E57">
            <v>11</v>
          </cell>
          <cell r="N57">
            <v>367</v>
          </cell>
          <cell r="O57">
            <v>70</v>
          </cell>
          <cell r="P57">
            <v>-297</v>
          </cell>
          <cell r="Q57">
            <v>636</v>
          </cell>
          <cell r="R57">
            <v>129</v>
          </cell>
          <cell r="S57">
            <v>-507</v>
          </cell>
          <cell r="T57">
            <v>191</v>
          </cell>
          <cell r="U57">
            <v>71</v>
          </cell>
          <cell r="V57">
            <v>120</v>
          </cell>
          <cell r="W57">
            <v>39</v>
          </cell>
          <cell r="X57">
            <v>-152</v>
          </cell>
          <cell r="Y57">
            <v>180</v>
          </cell>
          <cell r="Z57">
            <v>65</v>
          </cell>
          <cell r="AA57">
            <v>115</v>
          </cell>
          <cell r="AB57">
            <v>35</v>
          </cell>
          <cell r="AC57">
            <v>-145</v>
          </cell>
          <cell r="AD57">
            <v>713</v>
          </cell>
          <cell r="AE57">
            <v>639</v>
          </cell>
          <cell r="AF57">
            <v>74</v>
          </cell>
          <cell r="AG57">
            <v>136</v>
          </cell>
          <cell r="AH57">
            <v>96</v>
          </cell>
          <cell r="AI57">
            <v>18</v>
          </cell>
          <cell r="AJ57">
            <v>-577</v>
          </cell>
          <cell r="AN57">
            <v>0</v>
          </cell>
          <cell r="AP57">
            <v>2083</v>
          </cell>
          <cell r="AQ57">
            <v>547</v>
          </cell>
          <cell r="AR57">
            <v>1536</v>
          </cell>
          <cell r="AS57">
            <v>369</v>
          </cell>
          <cell r="AT57">
            <v>-1714</v>
          </cell>
          <cell r="AU57">
            <v>136</v>
          </cell>
          <cell r="AV57">
            <v>360</v>
          </cell>
          <cell r="AW57">
            <v>411</v>
          </cell>
          <cell r="AX57">
            <v>1176</v>
          </cell>
        </row>
        <row r="58">
          <cell r="C58">
            <v>345</v>
          </cell>
          <cell r="D58">
            <v>117</v>
          </cell>
          <cell r="E58">
            <v>228</v>
          </cell>
          <cell r="N58">
            <v>2128</v>
          </cell>
          <cell r="O58">
            <v>417</v>
          </cell>
          <cell r="P58">
            <v>-1711</v>
          </cell>
          <cell r="Q58">
            <v>3686</v>
          </cell>
          <cell r="R58">
            <v>610</v>
          </cell>
          <cell r="S58">
            <v>-3076</v>
          </cell>
          <cell r="T58">
            <v>1113</v>
          </cell>
          <cell r="U58">
            <v>415</v>
          </cell>
          <cell r="V58">
            <v>698</v>
          </cell>
          <cell r="W58">
            <v>229</v>
          </cell>
          <cell r="X58">
            <v>-884</v>
          </cell>
          <cell r="Y58">
            <v>1069</v>
          </cell>
          <cell r="Z58">
            <v>378</v>
          </cell>
          <cell r="AA58">
            <v>691</v>
          </cell>
          <cell r="AB58">
            <v>205</v>
          </cell>
          <cell r="AC58">
            <v>-864</v>
          </cell>
          <cell r="AD58">
            <v>4151</v>
          </cell>
          <cell r="AE58">
            <v>3720</v>
          </cell>
          <cell r="AF58">
            <v>431</v>
          </cell>
          <cell r="AG58">
            <v>793</v>
          </cell>
          <cell r="AH58">
            <v>559</v>
          </cell>
          <cell r="AI58">
            <v>103</v>
          </cell>
          <cell r="AJ58">
            <v>-3358</v>
          </cell>
          <cell r="AN58">
            <v>0</v>
          </cell>
          <cell r="AP58">
            <v>12308</v>
          </cell>
          <cell r="AQ58">
            <v>3199</v>
          </cell>
          <cell r="AR58">
            <v>9109</v>
          </cell>
          <cell r="AS58">
            <v>2021</v>
          </cell>
          <cell r="AT58">
            <v>-10287</v>
          </cell>
          <cell r="AU58">
            <v>0</v>
          </cell>
          <cell r="AV58">
            <v>0</v>
          </cell>
          <cell r="AW58">
            <v>0</v>
          </cell>
          <cell r="AX58">
            <v>0</v>
          </cell>
        </row>
        <row r="59">
          <cell r="C59">
            <v>0</v>
          </cell>
          <cell r="D59">
            <v>0</v>
          </cell>
          <cell r="E59">
            <v>0</v>
          </cell>
          <cell r="N59">
            <v>0</v>
          </cell>
          <cell r="P59">
            <v>0</v>
          </cell>
          <cell r="Q59">
            <v>0</v>
          </cell>
          <cell r="S59">
            <v>0</v>
          </cell>
          <cell r="T59">
            <v>0</v>
          </cell>
          <cell r="U59">
            <v>0</v>
          </cell>
          <cell r="V59">
            <v>0</v>
          </cell>
          <cell r="X59">
            <v>0</v>
          </cell>
          <cell r="Y59">
            <v>0</v>
          </cell>
          <cell r="Z59">
            <v>0</v>
          </cell>
          <cell r="AA59">
            <v>0</v>
          </cell>
          <cell r="AC59">
            <v>0</v>
          </cell>
          <cell r="AD59">
            <v>0</v>
          </cell>
          <cell r="AE59">
            <v>0</v>
          </cell>
          <cell r="AF59">
            <v>0</v>
          </cell>
          <cell r="AI59">
            <v>0</v>
          </cell>
          <cell r="AJ59">
            <v>0</v>
          </cell>
          <cell r="AP59">
            <v>0</v>
          </cell>
          <cell r="AQ59">
            <v>0</v>
          </cell>
          <cell r="AR59">
            <v>0</v>
          </cell>
          <cell r="AS59">
            <v>0</v>
          </cell>
          <cell r="AT59">
            <v>0</v>
          </cell>
          <cell r="AU59">
            <v>0</v>
          </cell>
          <cell r="AV59">
            <v>0</v>
          </cell>
          <cell r="AW59">
            <v>0</v>
          </cell>
          <cell r="AX59">
            <v>0</v>
          </cell>
        </row>
        <row r="60">
          <cell r="C60">
            <v>79</v>
          </cell>
          <cell r="D60">
            <v>85</v>
          </cell>
          <cell r="E60">
            <v>-6</v>
          </cell>
          <cell r="N60">
            <v>6409</v>
          </cell>
          <cell r="O60">
            <v>1794</v>
          </cell>
          <cell r="P60">
            <v>-4615</v>
          </cell>
          <cell r="Q60">
            <v>13950</v>
          </cell>
          <cell r="R60">
            <v>3886</v>
          </cell>
          <cell r="S60">
            <v>-10064</v>
          </cell>
          <cell r="T60">
            <v>6973</v>
          </cell>
          <cell r="U60">
            <v>2648</v>
          </cell>
          <cell r="V60">
            <v>4325</v>
          </cell>
          <cell r="W60">
            <v>2064</v>
          </cell>
          <cell r="X60">
            <v>-4909</v>
          </cell>
          <cell r="Y60">
            <v>7268.666666666667</v>
          </cell>
          <cell r="Z60">
            <v>2612</v>
          </cell>
          <cell r="AA60">
            <v>4656.666666666667</v>
          </cell>
          <cell r="AB60">
            <v>2209</v>
          </cell>
          <cell r="AC60">
            <v>-5059.666666666667</v>
          </cell>
          <cell r="AD60">
            <v>6460.666666666667</v>
          </cell>
          <cell r="AE60">
            <v>6258.3333333333339</v>
          </cell>
          <cell r="AF60">
            <v>202.33333333333303</v>
          </cell>
          <cell r="AG60">
            <v>1641</v>
          </cell>
          <cell r="AH60">
            <v>1265</v>
          </cell>
          <cell r="AI60">
            <v>155</v>
          </cell>
          <cell r="AJ60">
            <v>-4819.666666666667</v>
          </cell>
          <cell r="AN60">
            <v>0</v>
          </cell>
          <cell r="AP60">
            <v>40914</v>
          </cell>
          <cell r="AQ60">
            <v>11782</v>
          </cell>
          <cell r="AR60">
            <v>29132</v>
          </cell>
          <cell r="AS60">
            <v>11218</v>
          </cell>
          <cell r="AT60">
            <v>-29696</v>
          </cell>
          <cell r="AU60">
            <v>5260</v>
          </cell>
          <cell r="AV60">
            <v>13725</v>
          </cell>
          <cell r="AW60">
            <v>6522</v>
          </cell>
          <cell r="AX60">
            <v>15407</v>
          </cell>
        </row>
        <row r="61">
          <cell r="C61">
            <v>0</v>
          </cell>
          <cell r="D61">
            <v>0</v>
          </cell>
          <cell r="E61">
            <v>0</v>
          </cell>
          <cell r="N61">
            <v>0</v>
          </cell>
          <cell r="P61">
            <v>0</v>
          </cell>
          <cell r="Q61">
            <v>0</v>
          </cell>
          <cell r="S61">
            <v>0</v>
          </cell>
          <cell r="T61">
            <v>0</v>
          </cell>
          <cell r="U61">
            <v>0</v>
          </cell>
          <cell r="X61">
            <v>0</v>
          </cell>
          <cell r="Y61">
            <v>0</v>
          </cell>
          <cell r="Z61">
            <v>0</v>
          </cell>
          <cell r="AA61">
            <v>0</v>
          </cell>
          <cell r="AC61">
            <v>0</v>
          </cell>
          <cell r="AD61">
            <v>0</v>
          </cell>
          <cell r="AE61">
            <v>0</v>
          </cell>
          <cell r="AF61">
            <v>0</v>
          </cell>
          <cell r="AG61">
            <v>0</v>
          </cell>
          <cell r="AH61">
            <v>126</v>
          </cell>
          <cell r="AI61">
            <v>0</v>
          </cell>
          <cell r="AJ61">
            <v>0</v>
          </cell>
          <cell r="AP61">
            <v>0</v>
          </cell>
          <cell r="AS61">
            <v>126</v>
          </cell>
          <cell r="AT61">
            <v>126</v>
          </cell>
        </row>
        <row r="62">
          <cell r="C62">
            <v>84</v>
          </cell>
          <cell r="D62">
            <v>76</v>
          </cell>
          <cell r="E62">
            <v>8</v>
          </cell>
          <cell r="N62">
            <v>6372</v>
          </cell>
          <cell r="P62">
            <v>-6372</v>
          </cell>
          <cell r="Q62">
            <v>11548</v>
          </cell>
          <cell r="S62">
            <v>-11548</v>
          </cell>
          <cell r="T62">
            <v>2717.9700000000003</v>
          </cell>
          <cell r="U62">
            <v>53</v>
          </cell>
          <cell r="X62">
            <v>-2717.9700000000003</v>
          </cell>
          <cell r="Y62">
            <v>1693.26</v>
          </cell>
          <cell r="Z62">
            <v>65</v>
          </cell>
          <cell r="AA62">
            <v>1628.26</v>
          </cell>
          <cell r="AC62">
            <v>-1693.26</v>
          </cell>
          <cell r="AD62">
            <v>3355</v>
          </cell>
          <cell r="AE62">
            <v>3355</v>
          </cell>
          <cell r="AF62">
            <v>0</v>
          </cell>
          <cell r="AI62">
            <v>0</v>
          </cell>
          <cell r="AJ62">
            <v>-3355</v>
          </cell>
          <cell r="AP62">
            <v>25783.23</v>
          </cell>
          <cell r="AQ62">
            <v>6579</v>
          </cell>
          <cell r="AR62">
            <v>19204.23</v>
          </cell>
          <cell r="AS62">
            <v>0</v>
          </cell>
          <cell r="AT62">
            <v>-25783.23</v>
          </cell>
          <cell r="AV62">
            <v>4804</v>
          </cell>
        </row>
        <row r="63">
          <cell r="C63">
            <v>510</v>
          </cell>
          <cell r="D63">
            <v>0</v>
          </cell>
          <cell r="E63">
            <v>510</v>
          </cell>
          <cell r="N63">
            <v>0</v>
          </cell>
          <cell r="P63">
            <v>0</v>
          </cell>
          <cell r="Q63">
            <v>0</v>
          </cell>
          <cell r="S63">
            <v>0</v>
          </cell>
          <cell r="T63">
            <v>0</v>
          </cell>
          <cell r="U63">
            <v>0</v>
          </cell>
          <cell r="X63">
            <v>0</v>
          </cell>
          <cell r="Y63">
            <v>0</v>
          </cell>
          <cell r="Z63">
            <v>0</v>
          </cell>
          <cell r="AA63">
            <v>0</v>
          </cell>
          <cell r="AC63">
            <v>0</v>
          </cell>
          <cell r="AD63">
            <v>0</v>
          </cell>
          <cell r="AE63">
            <v>0</v>
          </cell>
          <cell r="AF63">
            <v>0</v>
          </cell>
          <cell r="AI63">
            <v>0</v>
          </cell>
          <cell r="AJ63">
            <v>0</v>
          </cell>
          <cell r="AP63">
            <v>510</v>
          </cell>
          <cell r="AQ63">
            <v>0</v>
          </cell>
          <cell r="AR63">
            <v>510</v>
          </cell>
          <cell r="AS63">
            <v>0</v>
          </cell>
          <cell r="AT63">
            <v>-510</v>
          </cell>
          <cell r="AV63">
            <v>0</v>
          </cell>
        </row>
        <row r="64">
          <cell r="C64">
            <v>0</v>
          </cell>
          <cell r="D64">
            <v>9</v>
          </cell>
          <cell r="E64">
            <v>-9</v>
          </cell>
          <cell r="N64">
            <v>37</v>
          </cell>
          <cell r="P64">
            <v>-37</v>
          </cell>
          <cell r="Q64">
            <v>2402</v>
          </cell>
          <cell r="S64">
            <v>-2402</v>
          </cell>
          <cell r="T64">
            <v>4255.03</v>
          </cell>
          <cell r="U64">
            <v>2595</v>
          </cell>
          <cell r="X64">
            <v>-4255.03</v>
          </cell>
          <cell r="Y64">
            <v>5575.4066666666668</v>
          </cell>
          <cell r="Z64">
            <v>2547</v>
          </cell>
          <cell r="AA64">
            <v>3028.4066666666668</v>
          </cell>
          <cell r="AC64">
            <v>-5575.4066666666668</v>
          </cell>
          <cell r="AD64">
            <v>3105.666666666667</v>
          </cell>
          <cell r="AE64">
            <v>2903.3333333333339</v>
          </cell>
          <cell r="AF64">
            <v>202.33333333333303</v>
          </cell>
          <cell r="AG64">
            <v>1641</v>
          </cell>
          <cell r="AH64">
            <v>1139</v>
          </cell>
          <cell r="AI64">
            <v>155</v>
          </cell>
          <cell r="AJ64">
            <v>-1464.666666666667</v>
          </cell>
          <cell r="AP64">
            <v>15179.77</v>
          </cell>
          <cell r="AS64">
            <v>1139</v>
          </cell>
          <cell r="AT64">
            <v>-14040.77</v>
          </cell>
        </row>
        <row r="65">
          <cell r="C65">
            <v>241</v>
          </cell>
          <cell r="D65">
            <v>63</v>
          </cell>
          <cell r="E65">
            <v>178</v>
          </cell>
          <cell r="N65">
            <v>8068</v>
          </cell>
          <cell r="O65">
            <v>1295</v>
          </cell>
          <cell r="P65">
            <v>-6773</v>
          </cell>
          <cell r="Q65">
            <v>17392.095454545455</v>
          </cell>
          <cell r="R65">
            <v>2254</v>
          </cell>
          <cell r="S65">
            <v>-15138.095454545455</v>
          </cell>
          <cell r="T65">
            <v>13778.25909090909</v>
          </cell>
          <cell r="U65">
            <v>5559</v>
          </cell>
          <cell r="V65">
            <v>8219.2590909090904</v>
          </cell>
          <cell r="W65">
            <v>1557</v>
          </cell>
          <cell r="X65">
            <v>-12221.25909090909</v>
          </cell>
          <cell r="Y65">
            <v>9752.7000000000007</v>
          </cell>
          <cell r="Z65">
            <v>4367</v>
          </cell>
          <cell r="AA65">
            <v>5385.7000000000007</v>
          </cell>
          <cell r="AB65">
            <v>1201</v>
          </cell>
          <cell r="AC65">
            <v>-8551.7000000000007</v>
          </cell>
          <cell r="AD65">
            <v>9914.9136363636353</v>
          </cell>
          <cell r="AE65">
            <v>9842.113636363636</v>
          </cell>
          <cell r="AF65">
            <v>72.799999999999272</v>
          </cell>
          <cell r="AG65">
            <v>1946</v>
          </cell>
          <cell r="AH65">
            <v>938</v>
          </cell>
          <cell r="AI65">
            <v>0</v>
          </cell>
          <cell r="AJ65">
            <v>-7968.9136363636353</v>
          </cell>
          <cell r="AP65">
            <v>59080.168181818182</v>
          </cell>
          <cell r="AQ65">
            <v>18027</v>
          </cell>
          <cell r="AR65">
            <v>41053.168181818182</v>
          </cell>
          <cell r="AS65">
            <v>7245</v>
          </cell>
          <cell r="AT65">
            <v>-51835.168181818182</v>
          </cell>
          <cell r="AU65">
            <v>9926</v>
          </cell>
          <cell r="AV65">
            <v>19518</v>
          </cell>
          <cell r="AW65">
            <v>8101</v>
          </cell>
          <cell r="AX65">
            <v>21535.168181818182</v>
          </cell>
        </row>
        <row r="66">
          <cell r="C66">
            <v>0</v>
          </cell>
          <cell r="D66">
            <v>0</v>
          </cell>
          <cell r="E66">
            <v>0</v>
          </cell>
          <cell r="N66">
            <v>765.33333333333326</v>
          </cell>
          <cell r="O66">
            <v>198</v>
          </cell>
          <cell r="P66">
            <v>-567.33333333333326</v>
          </cell>
          <cell r="Q66">
            <v>4764.5</v>
          </cell>
          <cell r="R66">
            <v>1097</v>
          </cell>
          <cell r="S66">
            <v>-3667.5</v>
          </cell>
          <cell r="T66">
            <v>2647.0909090909095</v>
          </cell>
          <cell r="U66">
            <v>1044</v>
          </cell>
          <cell r="V66">
            <v>1603.0909090909095</v>
          </cell>
          <cell r="W66">
            <v>608</v>
          </cell>
          <cell r="X66">
            <v>-2039.0909090909095</v>
          </cell>
          <cell r="Y66">
            <v>1687.3636363636365</v>
          </cell>
          <cell r="Z66">
            <v>634</v>
          </cell>
          <cell r="AA66">
            <v>1053.3636363636365</v>
          </cell>
          <cell r="AB66">
            <v>435</v>
          </cell>
          <cell r="AC66">
            <v>-1252.3636363636365</v>
          </cell>
          <cell r="AD66">
            <v>1816.0000000000002</v>
          </cell>
          <cell r="AE66">
            <v>1815.818181818182</v>
          </cell>
          <cell r="AF66">
            <v>0.18181818181824383</v>
          </cell>
          <cell r="AG66">
            <v>318</v>
          </cell>
          <cell r="AH66">
            <v>237</v>
          </cell>
          <cell r="AI66">
            <v>0</v>
          </cell>
          <cell r="AJ66">
            <v>-1498.0000000000002</v>
          </cell>
          <cell r="AP66">
            <v>11680.10606060606</v>
          </cell>
          <cell r="AQ66">
            <v>2443.333333333333</v>
          </cell>
          <cell r="AR66">
            <v>9236.7727272727279</v>
          </cell>
          <cell r="AS66">
            <v>2575</v>
          </cell>
          <cell r="AT66">
            <v>-9105.1060606060601</v>
          </cell>
        </row>
        <row r="67">
          <cell r="C67">
            <v>0</v>
          </cell>
          <cell r="D67">
            <v>0</v>
          </cell>
          <cell r="E67">
            <v>0</v>
          </cell>
          <cell r="N67">
            <v>45</v>
          </cell>
          <cell r="O67">
            <v>11</v>
          </cell>
          <cell r="P67">
            <v>-34</v>
          </cell>
          <cell r="Q67">
            <v>262</v>
          </cell>
          <cell r="R67">
            <v>60</v>
          </cell>
          <cell r="S67">
            <v>-202</v>
          </cell>
          <cell r="T67">
            <v>145</v>
          </cell>
          <cell r="U67">
            <v>57</v>
          </cell>
          <cell r="V67">
            <v>88</v>
          </cell>
          <cell r="W67">
            <v>33</v>
          </cell>
          <cell r="X67">
            <v>-112</v>
          </cell>
          <cell r="Y67">
            <v>92</v>
          </cell>
          <cell r="Z67">
            <v>35</v>
          </cell>
          <cell r="AA67">
            <v>57</v>
          </cell>
          <cell r="AB67">
            <v>24</v>
          </cell>
          <cell r="AC67">
            <v>-68</v>
          </cell>
          <cell r="AD67">
            <v>99</v>
          </cell>
          <cell r="AE67">
            <v>99</v>
          </cell>
          <cell r="AF67">
            <v>0</v>
          </cell>
          <cell r="AG67">
            <v>17</v>
          </cell>
          <cell r="AH67">
            <v>12</v>
          </cell>
          <cell r="AI67">
            <v>0</v>
          </cell>
          <cell r="AJ67">
            <v>-82</v>
          </cell>
          <cell r="AP67">
            <v>643</v>
          </cell>
          <cell r="AQ67">
            <v>137</v>
          </cell>
          <cell r="AR67">
            <v>506</v>
          </cell>
          <cell r="AS67">
            <v>140</v>
          </cell>
          <cell r="AT67">
            <v>-503</v>
          </cell>
        </row>
        <row r="68">
          <cell r="C68">
            <v>0</v>
          </cell>
          <cell r="D68">
            <v>0</v>
          </cell>
          <cell r="E68">
            <v>0</v>
          </cell>
          <cell r="N68">
            <v>247</v>
          </cell>
          <cell r="O68">
            <v>63</v>
          </cell>
          <cell r="P68">
            <v>-184</v>
          </cell>
          <cell r="Q68">
            <v>1520</v>
          </cell>
          <cell r="R68">
            <v>330</v>
          </cell>
          <cell r="S68">
            <v>-1190</v>
          </cell>
          <cell r="T68">
            <v>848</v>
          </cell>
          <cell r="U68">
            <v>334</v>
          </cell>
          <cell r="V68">
            <v>514</v>
          </cell>
          <cell r="W68">
            <v>190</v>
          </cell>
          <cell r="X68">
            <v>-658</v>
          </cell>
          <cell r="Y68">
            <v>544</v>
          </cell>
          <cell r="Z68">
            <v>205</v>
          </cell>
          <cell r="AA68">
            <v>339</v>
          </cell>
          <cell r="AB68">
            <v>137</v>
          </cell>
          <cell r="AC68">
            <v>-407</v>
          </cell>
          <cell r="AD68">
            <v>582</v>
          </cell>
          <cell r="AE68">
            <v>582</v>
          </cell>
          <cell r="AF68">
            <v>0</v>
          </cell>
          <cell r="AG68">
            <v>102</v>
          </cell>
          <cell r="AH68">
            <v>16</v>
          </cell>
          <cell r="AI68">
            <v>0</v>
          </cell>
          <cell r="AJ68">
            <v>-480</v>
          </cell>
          <cell r="AP68">
            <v>3741</v>
          </cell>
          <cell r="AQ68">
            <v>786</v>
          </cell>
          <cell r="AR68">
            <v>2955</v>
          </cell>
          <cell r="AS68">
            <v>620</v>
          </cell>
          <cell r="AT68">
            <v>-3121</v>
          </cell>
        </row>
        <row r="69">
          <cell r="C69">
            <v>0</v>
          </cell>
          <cell r="D69">
            <v>0</v>
          </cell>
          <cell r="E69">
            <v>0</v>
          </cell>
          <cell r="N69">
            <v>982</v>
          </cell>
          <cell r="P69">
            <v>-982</v>
          </cell>
          <cell r="Q69">
            <v>0</v>
          </cell>
          <cell r="S69">
            <v>0</v>
          </cell>
          <cell r="T69">
            <v>0</v>
          </cell>
          <cell r="U69">
            <v>0</v>
          </cell>
          <cell r="V69">
            <v>0</v>
          </cell>
          <cell r="X69">
            <v>0</v>
          </cell>
          <cell r="Y69">
            <v>0</v>
          </cell>
          <cell r="Z69">
            <v>0</v>
          </cell>
          <cell r="AA69">
            <v>0</v>
          </cell>
          <cell r="AC69">
            <v>0</v>
          </cell>
          <cell r="AD69">
            <v>0</v>
          </cell>
          <cell r="AE69">
            <v>0</v>
          </cell>
          <cell r="AF69">
            <v>0</v>
          </cell>
          <cell r="AI69">
            <v>0</v>
          </cell>
          <cell r="AJ69">
            <v>0</v>
          </cell>
          <cell r="AP69">
            <v>982</v>
          </cell>
          <cell r="AQ69">
            <v>982</v>
          </cell>
          <cell r="AR69">
            <v>0</v>
          </cell>
          <cell r="AS69">
            <v>0</v>
          </cell>
          <cell r="AT69">
            <v>-982</v>
          </cell>
        </row>
        <row r="70">
          <cell r="C70" t="e">
            <v>#REF!</v>
          </cell>
          <cell r="D70" t="e">
            <v>#REF!</v>
          </cell>
          <cell r="E70" t="e">
            <v>#REF!</v>
          </cell>
          <cell r="N70">
            <v>1182.5</v>
          </cell>
          <cell r="P70">
            <v>-1182.5</v>
          </cell>
          <cell r="Q70">
            <v>5174.6000000000004</v>
          </cell>
          <cell r="S70">
            <v>-5174.6000000000004</v>
          </cell>
          <cell r="T70">
            <v>5882</v>
          </cell>
          <cell r="U70">
            <v>0</v>
          </cell>
          <cell r="V70">
            <v>5882</v>
          </cell>
          <cell r="X70">
            <v>-5882</v>
          </cell>
          <cell r="Y70">
            <v>1899</v>
          </cell>
          <cell r="Z70">
            <v>170</v>
          </cell>
          <cell r="AA70">
            <v>1729</v>
          </cell>
          <cell r="AC70">
            <v>-1899</v>
          </cell>
          <cell r="AD70">
            <v>2610.7636363636366</v>
          </cell>
          <cell r="AE70">
            <v>2610.7636363636366</v>
          </cell>
          <cell r="AF70">
            <v>0</v>
          </cell>
          <cell r="AI70">
            <v>0</v>
          </cell>
          <cell r="AJ70">
            <v>-2610.7636363636366</v>
          </cell>
          <cell r="AP70" t="e">
            <v>#REF!</v>
          </cell>
          <cell r="AQ70" t="e">
            <v>#REF!</v>
          </cell>
          <cell r="AS70">
            <v>0</v>
          </cell>
          <cell r="AT70" t="e">
            <v>#REF!</v>
          </cell>
        </row>
        <row r="71">
          <cell r="C71" t="e">
            <v>#REF!</v>
          </cell>
          <cell r="D71" t="e">
            <v>#REF!</v>
          </cell>
          <cell r="E71" t="e">
            <v>#REF!</v>
          </cell>
          <cell r="N71">
            <v>0</v>
          </cell>
          <cell r="P71">
            <v>0</v>
          </cell>
          <cell r="Q71">
            <v>0</v>
          </cell>
          <cell r="S71">
            <v>0</v>
          </cell>
          <cell r="T71">
            <v>0</v>
          </cell>
          <cell r="U71">
            <v>0</v>
          </cell>
          <cell r="V71">
            <v>0</v>
          </cell>
          <cell r="X71">
            <v>0</v>
          </cell>
          <cell r="Y71">
            <v>0</v>
          </cell>
          <cell r="Z71">
            <v>0</v>
          </cell>
          <cell r="AA71">
            <v>0</v>
          </cell>
          <cell r="AC71">
            <v>0</v>
          </cell>
          <cell r="AD71">
            <v>0</v>
          </cell>
          <cell r="AE71">
            <v>0</v>
          </cell>
          <cell r="AF71">
            <v>0</v>
          </cell>
          <cell r="AI71">
            <v>0</v>
          </cell>
          <cell r="AJ71">
            <v>0</v>
          </cell>
          <cell r="AP71" t="e">
            <v>#REF!</v>
          </cell>
          <cell r="AQ71" t="e">
            <v>#REF!</v>
          </cell>
          <cell r="AS71">
            <v>0</v>
          </cell>
          <cell r="AT71" t="e">
            <v>#REF!</v>
          </cell>
        </row>
        <row r="72">
          <cell r="C72">
            <v>8712</v>
          </cell>
          <cell r="D72">
            <v>1252</v>
          </cell>
          <cell r="E72">
            <v>7460</v>
          </cell>
          <cell r="N72">
            <v>1485.8033333333335</v>
          </cell>
          <cell r="O72">
            <v>227</v>
          </cell>
          <cell r="P72">
            <v>-1258.8033333333335</v>
          </cell>
          <cell r="Q72">
            <v>3121.6183333333329</v>
          </cell>
          <cell r="R72">
            <v>403</v>
          </cell>
          <cell r="S72">
            <v>-2718.6183333333329</v>
          </cell>
          <cell r="T72">
            <v>1245.5613333333333</v>
          </cell>
          <cell r="U72">
            <v>404</v>
          </cell>
          <cell r="V72">
            <v>841.56133333333332</v>
          </cell>
          <cell r="W72">
            <v>175</v>
          </cell>
          <cell r="X72">
            <v>-1070.5613333333333</v>
          </cell>
          <cell r="Y72">
            <v>1038.5119999999999</v>
          </cell>
          <cell r="Z72">
            <v>350</v>
          </cell>
          <cell r="AA72">
            <v>688.51199999999994</v>
          </cell>
          <cell r="AB72">
            <v>94</v>
          </cell>
          <cell r="AC72">
            <v>-944.51199999999994</v>
          </cell>
          <cell r="AD72">
            <v>2635.5673333333334</v>
          </cell>
          <cell r="AE72">
            <v>2172.33</v>
          </cell>
          <cell r="AF72">
            <v>463.23733333333348</v>
          </cell>
          <cell r="AG72">
            <v>379</v>
          </cell>
          <cell r="AH72">
            <v>173</v>
          </cell>
          <cell r="AI72">
            <v>35</v>
          </cell>
          <cell r="AJ72">
            <v>-2256.5673333333334</v>
          </cell>
          <cell r="AN72">
            <v>0</v>
          </cell>
          <cell r="AP72">
            <v>19005.955666666669</v>
          </cell>
          <cell r="AQ72" t="e">
            <v>#REF!</v>
          </cell>
          <cell r="AR72" t="e">
            <v>#REF!</v>
          </cell>
          <cell r="AS72">
            <v>181</v>
          </cell>
          <cell r="AT72">
            <v>-18824.955666666669</v>
          </cell>
          <cell r="AU72">
            <v>754</v>
          </cell>
          <cell r="AV72">
            <v>2557</v>
          </cell>
          <cell r="AW72">
            <v>3300.4033333333336</v>
          </cell>
          <cell r="AX72" t="e">
            <v>#REF!</v>
          </cell>
        </row>
        <row r="73">
          <cell r="C73">
            <v>948</v>
          </cell>
          <cell r="D73">
            <v>70</v>
          </cell>
          <cell r="E73">
            <v>878</v>
          </cell>
          <cell r="N73">
            <v>0</v>
          </cell>
          <cell r="P73">
            <v>0</v>
          </cell>
          <cell r="Q73">
            <v>0</v>
          </cell>
          <cell r="S73">
            <v>0</v>
          </cell>
          <cell r="T73">
            <v>0</v>
          </cell>
          <cell r="U73">
            <v>0</v>
          </cell>
          <cell r="V73">
            <v>0</v>
          </cell>
          <cell r="X73">
            <v>0</v>
          </cell>
          <cell r="Y73">
            <v>18</v>
          </cell>
          <cell r="Z73">
            <v>0</v>
          </cell>
          <cell r="AA73">
            <v>18</v>
          </cell>
          <cell r="AC73">
            <v>-18</v>
          </cell>
          <cell r="AD73">
            <v>0</v>
          </cell>
          <cell r="AE73">
            <v>0</v>
          </cell>
          <cell r="AF73">
            <v>0</v>
          </cell>
          <cell r="AI73">
            <v>0</v>
          </cell>
          <cell r="AJ73">
            <v>0</v>
          </cell>
          <cell r="AP73">
            <v>966</v>
          </cell>
          <cell r="AQ73">
            <v>70</v>
          </cell>
          <cell r="AR73">
            <v>896</v>
          </cell>
          <cell r="AS73">
            <v>0</v>
          </cell>
          <cell r="AT73">
            <v>-966</v>
          </cell>
          <cell r="AU73">
            <v>0</v>
          </cell>
          <cell r="AV73">
            <v>18</v>
          </cell>
          <cell r="AW73">
            <v>70</v>
          </cell>
          <cell r="AX73">
            <v>878</v>
          </cell>
        </row>
        <row r="74">
          <cell r="C74">
            <v>2936</v>
          </cell>
          <cell r="D74">
            <v>1182</v>
          </cell>
          <cell r="E74">
            <v>1754</v>
          </cell>
          <cell r="N74">
            <v>1485.8033333333335</v>
          </cell>
          <cell r="P74">
            <v>-1485.8033333333335</v>
          </cell>
          <cell r="Q74">
            <v>3020.6183333333329</v>
          </cell>
          <cell r="S74">
            <v>-3020.6183333333329</v>
          </cell>
          <cell r="T74">
            <v>1245.5613333333333</v>
          </cell>
          <cell r="U74">
            <v>404</v>
          </cell>
          <cell r="V74">
            <v>841.56133333333332</v>
          </cell>
          <cell r="X74">
            <v>-1245.5613333333333</v>
          </cell>
          <cell r="Y74">
            <v>1020.5119999999999</v>
          </cell>
          <cell r="Z74">
            <v>350</v>
          </cell>
          <cell r="AA74">
            <v>670.51199999999994</v>
          </cell>
          <cell r="AC74">
            <v>-1020.5119999999999</v>
          </cell>
          <cell r="AD74">
            <v>2635.5673333333334</v>
          </cell>
          <cell r="AE74">
            <v>2165.73</v>
          </cell>
          <cell r="AF74">
            <v>469.83733333333339</v>
          </cell>
          <cell r="AG74">
            <v>379</v>
          </cell>
          <cell r="AH74">
            <v>173</v>
          </cell>
          <cell r="AI74">
            <v>35</v>
          </cell>
          <cell r="AJ74">
            <v>-2256.5673333333334</v>
          </cell>
          <cell r="AN74">
            <v>0</v>
          </cell>
          <cell r="AP74">
            <v>13104.355666666666</v>
          </cell>
          <cell r="AQ74">
            <v>3984.4033333333336</v>
          </cell>
          <cell r="AR74">
            <v>9119.9523333333327</v>
          </cell>
          <cell r="AS74">
            <v>181</v>
          </cell>
          <cell r="AT74">
            <v>-12923.355666666666</v>
          </cell>
          <cell r="AU74">
            <v>754</v>
          </cell>
          <cell r="AV74">
            <v>2539</v>
          </cell>
          <cell r="AW74">
            <v>3230.4033333333336</v>
          </cell>
          <cell r="AX74">
            <v>6580.9523333333327</v>
          </cell>
        </row>
        <row r="75">
          <cell r="C75">
            <v>823</v>
          </cell>
          <cell r="D75">
            <v>299</v>
          </cell>
          <cell r="E75">
            <v>524</v>
          </cell>
          <cell r="N75">
            <v>837.60333333333324</v>
          </cell>
          <cell r="P75">
            <v>-837.60333333333324</v>
          </cell>
          <cell r="Q75">
            <v>1769.7766666666666</v>
          </cell>
          <cell r="S75">
            <v>-1769.7766666666666</v>
          </cell>
          <cell r="T75">
            <v>671.40800000000002</v>
          </cell>
          <cell r="U75">
            <v>248</v>
          </cell>
          <cell r="V75">
            <v>423.40800000000002</v>
          </cell>
          <cell r="X75">
            <v>-671.40800000000002</v>
          </cell>
          <cell r="Y75">
            <v>421.16200000000003</v>
          </cell>
          <cell r="Z75">
            <v>204</v>
          </cell>
          <cell r="AA75">
            <v>217.16200000000003</v>
          </cell>
          <cell r="AC75">
            <v>-421.16200000000003</v>
          </cell>
          <cell r="AD75">
            <v>1636.8340000000003</v>
          </cell>
          <cell r="AE75">
            <v>1368.48</v>
          </cell>
          <cell r="AF75">
            <v>268.35400000000027</v>
          </cell>
          <cell r="AJ75">
            <v>-1636.8340000000003</v>
          </cell>
          <cell r="AP75">
            <v>6291.43</v>
          </cell>
          <cell r="AQ75">
            <v>1813.2033333333334</v>
          </cell>
          <cell r="AR75">
            <v>4478.2266666666674</v>
          </cell>
          <cell r="AS75">
            <v>0</v>
          </cell>
          <cell r="AT75">
            <v>-6291.43</v>
          </cell>
          <cell r="AX75">
            <v>4478.2266666666674</v>
          </cell>
        </row>
        <row r="76">
          <cell r="C76">
            <v>0</v>
          </cell>
          <cell r="D76">
            <v>0</v>
          </cell>
          <cell r="E76">
            <v>0</v>
          </cell>
          <cell r="N76">
            <v>0</v>
          </cell>
          <cell r="P76">
            <v>0</v>
          </cell>
          <cell r="Q76">
            <v>0</v>
          </cell>
          <cell r="S76">
            <v>0</v>
          </cell>
          <cell r="T76">
            <v>0</v>
          </cell>
          <cell r="U76">
            <v>0</v>
          </cell>
          <cell r="V76">
            <v>0</v>
          </cell>
          <cell r="X76">
            <v>0</v>
          </cell>
          <cell r="Y76">
            <v>0</v>
          </cell>
          <cell r="Z76">
            <v>0</v>
          </cell>
          <cell r="AA76">
            <v>0</v>
          </cell>
          <cell r="AC76">
            <v>0</v>
          </cell>
          <cell r="AD76">
            <v>0</v>
          </cell>
          <cell r="AE76">
            <v>0</v>
          </cell>
          <cell r="AF76">
            <v>0</v>
          </cell>
          <cell r="AJ76">
            <v>0</v>
          </cell>
          <cell r="AP76">
            <v>658.33066666666662</v>
          </cell>
          <cell r="AQ76">
            <v>324</v>
          </cell>
          <cell r="AR76">
            <v>334.33066666666662</v>
          </cell>
          <cell r="AS76">
            <v>0</v>
          </cell>
          <cell r="AT76">
            <v>-658.33066666666662</v>
          </cell>
          <cell r="AX76">
            <v>334.33066666666662</v>
          </cell>
        </row>
        <row r="77">
          <cell r="C77">
            <v>338</v>
          </cell>
          <cell r="D77">
            <v>323</v>
          </cell>
          <cell r="E77">
            <v>15</v>
          </cell>
          <cell r="N77">
            <v>126.41666666666666</v>
          </cell>
          <cell r="Q77">
            <v>662.80000000000007</v>
          </cell>
          <cell r="T77">
            <v>244.26666666666668</v>
          </cell>
          <cell r="U77">
            <v>17</v>
          </cell>
          <cell r="V77">
            <v>227.26666666666668</v>
          </cell>
          <cell r="Y77">
            <v>175.35000000000005</v>
          </cell>
          <cell r="Z77">
            <v>46</v>
          </cell>
          <cell r="AA77">
            <v>129.35000000000005</v>
          </cell>
          <cell r="AD77">
            <v>464.68333333333339</v>
          </cell>
          <cell r="AE77">
            <v>384.25</v>
          </cell>
          <cell r="AF77">
            <v>80.433333333333394</v>
          </cell>
        </row>
        <row r="78">
          <cell r="C78">
            <v>482</v>
          </cell>
          <cell r="D78">
            <v>363</v>
          </cell>
          <cell r="E78">
            <v>119</v>
          </cell>
          <cell r="N78">
            <v>520.7833333333333</v>
          </cell>
          <cell r="Q78">
            <v>689.04166666666674</v>
          </cell>
          <cell r="T78">
            <v>328.88666666666666</v>
          </cell>
          <cell r="U78">
            <v>48</v>
          </cell>
          <cell r="V78">
            <v>280.88666666666666</v>
          </cell>
          <cell r="Y78">
            <v>424</v>
          </cell>
          <cell r="Z78">
            <v>69</v>
          </cell>
          <cell r="AA78">
            <v>355</v>
          </cell>
          <cell r="AD78">
            <v>530.04999999999995</v>
          </cell>
          <cell r="AE78">
            <v>408</v>
          </cell>
          <cell r="AF78">
            <v>122.04999999999995</v>
          </cell>
        </row>
        <row r="79">
          <cell r="C79">
            <v>1484.6</v>
          </cell>
          <cell r="D79">
            <v>85</v>
          </cell>
          <cell r="E79">
            <v>1399.6</v>
          </cell>
          <cell r="N79">
            <v>15.1</v>
          </cell>
          <cell r="P79">
            <v>-15.1</v>
          </cell>
          <cell r="Q79">
            <v>7.5</v>
          </cell>
          <cell r="S79">
            <v>-7.5</v>
          </cell>
          <cell r="T79">
            <v>0</v>
          </cell>
          <cell r="U79">
            <v>0</v>
          </cell>
          <cell r="V79">
            <v>0</v>
          </cell>
          <cell r="X79">
            <v>0</v>
          </cell>
          <cell r="Y79">
            <v>6.7</v>
          </cell>
          <cell r="Z79">
            <v>0</v>
          </cell>
          <cell r="AA79">
            <v>6.7</v>
          </cell>
          <cell r="AC79">
            <v>-6.7</v>
          </cell>
          <cell r="AD79">
            <v>38.799999999999997</v>
          </cell>
          <cell r="AE79">
            <v>34</v>
          </cell>
          <cell r="AF79">
            <v>4.7999999999999972</v>
          </cell>
          <cell r="AJ79">
            <v>-38.799999999999997</v>
          </cell>
          <cell r="AP79">
            <v>1550.8999999999999</v>
          </cell>
          <cell r="AQ79">
            <v>103.1</v>
          </cell>
          <cell r="AS79">
            <v>0</v>
          </cell>
          <cell r="AT79">
            <v>-1550.8999999999999</v>
          </cell>
        </row>
        <row r="80">
          <cell r="C80">
            <v>11060.2</v>
          </cell>
          <cell r="D80">
            <v>2178</v>
          </cell>
          <cell r="E80">
            <v>8882.2000000000007</v>
          </cell>
          <cell r="N80">
            <v>30411.306727272728</v>
          </cell>
          <cell r="O80">
            <v>6571</v>
          </cell>
          <cell r="P80">
            <v>-23840.306727272728</v>
          </cell>
          <cell r="Q80">
            <v>210830.10936363638</v>
          </cell>
          <cell r="R80">
            <v>83057</v>
          </cell>
          <cell r="S80">
            <v>-127773.10936363638</v>
          </cell>
          <cell r="T80">
            <v>292652.47645454545</v>
          </cell>
          <cell r="U80">
            <v>123843.34756097561</v>
          </cell>
          <cell r="V80">
            <v>168809.12889356984</v>
          </cell>
          <cell r="W80">
            <v>101508</v>
          </cell>
          <cell r="X80">
            <v>-191144.47645454545</v>
          </cell>
          <cell r="Y80">
            <v>245835.77696969698</v>
          </cell>
          <cell r="Z80">
            <v>96838.750161952048</v>
          </cell>
          <cell r="AA80">
            <v>148997.02680774493</v>
          </cell>
          <cell r="AB80">
            <v>81399</v>
          </cell>
          <cell r="AC80">
            <v>-164436.77696969698</v>
          </cell>
          <cell r="AD80">
            <v>52867.905999999995</v>
          </cell>
          <cell r="AE80">
            <v>44109.144424242433</v>
          </cell>
          <cell r="AF80">
            <v>8759.7615757575732</v>
          </cell>
          <cell r="AG80">
            <v>9642</v>
          </cell>
          <cell r="AH80">
            <v>6481</v>
          </cell>
          <cell r="AI80">
            <v>2032</v>
          </cell>
          <cell r="AJ80">
            <v>-43225.905999999995</v>
          </cell>
          <cell r="AL80">
            <v>0</v>
          </cell>
          <cell r="AN80">
            <v>0</v>
          </cell>
          <cell r="AP80">
            <v>837388.26460606058</v>
          </cell>
          <cell r="AQ80" t="e">
            <v>#REF!</v>
          </cell>
          <cell r="AR80" t="e">
            <v>#REF!</v>
          </cell>
          <cell r="AS80">
            <v>278125</v>
          </cell>
          <cell r="AT80">
            <v>-559263.26460606058</v>
          </cell>
          <cell r="AU80">
            <v>219889.09772292766</v>
          </cell>
          <cell r="AV80">
            <v>469599</v>
          </cell>
          <cell r="AW80">
            <v>31626.72490909091</v>
          </cell>
          <cell r="AX80" t="e">
            <v>#REF!</v>
          </cell>
        </row>
        <row r="81">
          <cell r="C81">
            <v>10112.200000000001</v>
          </cell>
          <cell r="D81">
            <v>2108</v>
          </cell>
          <cell r="E81">
            <v>8004.2000000000007</v>
          </cell>
          <cell r="P81">
            <v>0</v>
          </cell>
          <cell r="S81">
            <v>0</v>
          </cell>
          <cell r="X81">
            <v>0</v>
          </cell>
          <cell r="AC81">
            <v>0</v>
          </cell>
          <cell r="AJ81">
            <v>0</v>
          </cell>
          <cell r="AP81">
            <v>238947.26460606058</v>
          </cell>
          <cell r="AQ81" t="e">
            <v>#REF!</v>
          </cell>
          <cell r="AR81" t="e">
            <v>#REF!</v>
          </cell>
          <cell r="AS81">
            <v>0</v>
          </cell>
          <cell r="AT81">
            <v>-238947.26460606058</v>
          </cell>
          <cell r="AU81">
            <v>24325</v>
          </cell>
          <cell r="AV81">
            <v>66723</v>
          </cell>
          <cell r="AW81">
            <v>31625.72490909091</v>
          </cell>
          <cell r="AX81" t="e">
            <v>#REF!</v>
          </cell>
        </row>
        <row r="82">
          <cell r="N82">
            <v>7407.2227272727268</v>
          </cell>
          <cell r="O82">
            <v>1501</v>
          </cell>
          <cell r="P82">
            <v>-5906.2227272727268</v>
          </cell>
          <cell r="Q82">
            <v>16281.220909090909</v>
          </cell>
          <cell r="R82">
            <v>3466</v>
          </cell>
          <cell r="S82">
            <v>-12815.220909090909</v>
          </cell>
          <cell r="T82">
            <v>6127.2482727272736</v>
          </cell>
          <cell r="U82">
            <v>2344</v>
          </cell>
          <cell r="V82">
            <v>3783.2482727272736</v>
          </cell>
          <cell r="W82">
            <v>1353</v>
          </cell>
          <cell r="X82">
            <v>-4774.2482727272736</v>
          </cell>
          <cell r="Y82">
            <v>5027.227272727273</v>
          </cell>
          <cell r="Z82">
            <v>1812</v>
          </cell>
          <cell r="AA82">
            <v>3215.227272727273</v>
          </cell>
          <cell r="AB82">
            <v>1097</v>
          </cell>
          <cell r="AC82">
            <v>-3930.227272727273</v>
          </cell>
          <cell r="AD82">
            <v>14784.886363636362</v>
          </cell>
          <cell r="AE82">
            <v>13450.863636363636</v>
          </cell>
          <cell r="AF82">
            <v>1334.0227272727263</v>
          </cell>
          <cell r="AG82">
            <v>2881</v>
          </cell>
          <cell r="AH82">
            <v>1984</v>
          </cell>
          <cell r="AI82">
            <v>306</v>
          </cell>
          <cell r="AJ82">
            <v>-11903.886363636362</v>
          </cell>
          <cell r="AN82">
            <v>0</v>
          </cell>
          <cell r="AP82">
            <v>49908.982818181816</v>
          </cell>
          <cell r="AS82">
            <v>9401</v>
          </cell>
          <cell r="AT82">
            <v>-40507.982818181816</v>
          </cell>
        </row>
        <row r="83">
          <cell r="C83">
            <v>4580</v>
          </cell>
          <cell r="D83">
            <v>11292</v>
          </cell>
          <cell r="E83">
            <v>0</v>
          </cell>
          <cell r="P83">
            <v>0</v>
          </cell>
          <cell r="S83">
            <v>0</v>
          </cell>
          <cell r="X83">
            <v>0</v>
          </cell>
          <cell r="AC83">
            <v>0</v>
          </cell>
          <cell r="AJ83">
            <v>0</v>
          </cell>
          <cell r="AP83">
            <v>4580</v>
          </cell>
          <cell r="AQ83">
            <v>11292</v>
          </cell>
          <cell r="AR83">
            <v>0</v>
          </cell>
          <cell r="AS83">
            <v>0</v>
          </cell>
          <cell r="AT83">
            <v>-4580</v>
          </cell>
          <cell r="AU83">
            <v>0</v>
          </cell>
          <cell r="AV83">
            <v>0</v>
          </cell>
          <cell r="AW83">
            <v>0</v>
          </cell>
          <cell r="AX83">
            <v>0</v>
          </cell>
        </row>
        <row r="84">
          <cell r="C84">
            <v>15640.2</v>
          </cell>
          <cell r="D84">
            <v>13470</v>
          </cell>
          <cell r="E84">
            <v>8882.2000000000007</v>
          </cell>
          <cell r="N84">
            <v>30411.306727272728</v>
          </cell>
          <cell r="O84">
            <v>6571</v>
          </cell>
          <cell r="P84">
            <v>-23840.306727272728</v>
          </cell>
          <cell r="Q84">
            <v>210830.10936363638</v>
          </cell>
          <cell r="R84">
            <v>83057</v>
          </cell>
          <cell r="S84">
            <v>-127773.10936363638</v>
          </cell>
          <cell r="T84">
            <v>292652.47645454545</v>
          </cell>
          <cell r="U84">
            <v>123843.34756097561</v>
          </cell>
          <cell r="V84">
            <v>168809.12889356984</v>
          </cell>
          <cell r="W84">
            <v>101508</v>
          </cell>
          <cell r="X84">
            <v>-191144.47645454545</v>
          </cell>
          <cell r="Y84">
            <v>245835.77696969698</v>
          </cell>
          <cell r="Z84">
            <v>96838.750161952048</v>
          </cell>
          <cell r="AA84">
            <v>148997.02680774493</v>
          </cell>
          <cell r="AB84">
            <v>81399</v>
          </cell>
          <cell r="AC84">
            <v>-164436.77696969698</v>
          </cell>
          <cell r="AD84">
            <v>52867.905999999995</v>
          </cell>
          <cell r="AE84">
            <v>44109.144424242433</v>
          </cell>
          <cell r="AF84">
            <v>8759.7615757575732</v>
          </cell>
          <cell r="AG84">
            <v>9642</v>
          </cell>
          <cell r="AH84">
            <v>6481</v>
          </cell>
          <cell r="AI84">
            <v>2032</v>
          </cell>
          <cell r="AJ84">
            <v>-43225.905999999995</v>
          </cell>
          <cell r="AL84">
            <v>0</v>
          </cell>
          <cell r="AN84">
            <v>0</v>
          </cell>
          <cell r="AP84">
            <v>841968.26460606058</v>
          </cell>
          <cell r="AQ84" t="e">
            <v>#REF!</v>
          </cell>
          <cell r="AR84" t="e">
            <v>#REF!</v>
          </cell>
          <cell r="AS84">
            <v>278125</v>
          </cell>
          <cell r="AT84">
            <v>-563843.26460606058</v>
          </cell>
          <cell r="AU84">
            <v>219889.09772292766</v>
          </cell>
          <cell r="AV84">
            <v>469599</v>
          </cell>
          <cell r="AW84">
            <v>31626.72490909091</v>
          </cell>
          <cell r="AX84" t="e">
            <v>#REF!</v>
          </cell>
        </row>
        <row r="85">
          <cell r="C85">
            <v>136</v>
          </cell>
          <cell r="D85">
            <v>0</v>
          </cell>
          <cell r="E85">
            <v>136</v>
          </cell>
          <cell r="P85">
            <v>0</v>
          </cell>
          <cell r="S85">
            <v>0</v>
          </cell>
          <cell r="U85">
            <v>0</v>
          </cell>
          <cell r="V85">
            <v>0</v>
          </cell>
          <cell r="X85">
            <v>0</v>
          </cell>
          <cell r="AC85">
            <v>0</v>
          </cell>
          <cell r="AI85">
            <v>0</v>
          </cell>
          <cell r="AJ85">
            <v>0</v>
          </cell>
          <cell r="AP85">
            <v>135</v>
          </cell>
          <cell r="AQ85">
            <v>0</v>
          </cell>
          <cell r="AR85">
            <v>135</v>
          </cell>
          <cell r="AS85">
            <v>0</v>
          </cell>
          <cell r="AT85">
            <v>-135</v>
          </cell>
          <cell r="AU85">
            <v>0</v>
          </cell>
          <cell r="AV85">
            <v>0</v>
          </cell>
          <cell r="AW85">
            <v>0</v>
          </cell>
          <cell r="AX85">
            <v>135</v>
          </cell>
        </row>
        <row r="86">
          <cell r="C86">
            <v>443</v>
          </cell>
          <cell r="D86">
            <v>1959</v>
          </cell>
          <cell r="E86">
            <v>-1516</v>
          </cell>
          <cell r="N86">
            <v>0</v>
          </cell>
          <cell r="P86">
            <v>0</v>
          </cell>
          <cell r="Q86">
            <v>0</v>
          </cell>
          <cell r="S86">
            <v>0</v>
          </cell>
          <cell r="T86">
            <v>0</v>
          </cell>
          <cell r="U86">
            <v>0</v>
          </cell>
          <cell r="V86">
            <v>0</v>
          </cell>
          <cell r="X86">
            <v>0</v>
          </cell>
          <cell r="Y86">
            <v>0</v>
          </cell>
          <cell r="AC86">
            <v>0</v>
          </cell>
          <cell r="AD86">
            <v>0</v>
          </cell>
          <cell r="AE86">
            <v>0</v>
          </cell>
          <cell r="AI86">
            <v>0</v>
          </cell>
          <cell r="AJ86">
            <v>0</v>
          </cell>
          <cell r="AP86">
            <v>443</v>
          </cell>
          <cell r="AQ86">
            <v>1959</v>
          </cell>
          <cell r="AR86">
            <v>-1516</v>
          </cell>
          <cell r="AS86">
            <v>0</v>
          </cell>
          <cell r="AT86">
            <v>-443</v>
          </cell>
          <cell r="AU86">
            <v>0</v>
          </cell>
          <cell r="AV86">
            <v>0</v>
          </cell>
          <cell r="AW86">
            <v>1959</v>
          </cell>
          <cell r="AX86">
            <v>-1516</v>
          </cell>
        </row>
        <row r="87">
          <cell r="C87">
            <v>30</v>
          </cell>
          <cell r="D87">
            <v>481</v>
          </cell>
          <cell r="E87">
            <v>-451</v>
          </cell>
          <cell r="N87">
            <v>0</v>
          </cell>
          <cell r="P87">
            <v>0</v>
          </cell>
          <cell r="Q87">
            <v>0</v>
          </cell>
          <cell r="S87">
            <v>0</v>
          </cell>
          <cell r="T87">
            <v>0</v>
          </cell>
          <cell r="U87">
            <v>0</v>
          </cell>
          <cell r="V87">
            <v>0</v>
          </cell>
          <cell r="X87">
            <v>0</v>
          </cell>
          <cell r="Y87">
            <v>0</v>
          </cell>
          <cell r="Z87">
            <v>0</v>
          </cell>
          <cell r="AA87">
            <v>0</v>
          </cell>
          <cell r="AC87">
            <v>0</v>
          </cell>
          <cell r="AD87">
            <v>0</v>
          </cell>
          <cell r="AE87">
            <v>0</v>
          </cell>
          <cell r="AI87">
            <v>0</v>
          </cell>
          <cell r="AJ87">
            <v>0</v>
          </cell>
          <cell r="AP87">
            <v>29</v>
          </cell>
          <cell r="AQ87">
            <v>481</v>
          </cell>
          <cell r="AR87">
            <v>-452</v>
          </cell>
          <cell r="AS87">
            <v>-1</v>
          </cell>
          <cell r="AT87">
            <v>-30</v>
          </cell>
          <cell r="AU87">
            <v>0</v>
          </cell>
          <cell r="AV87">
            <v>0</v>
          </cell>
          <cell r="AW87">
            <v>481</v>
          </cell>
          <cell r="AX87">
            <v>-452</v>
          </cell>
        </row>
        <row r="88">
          <cell r="C88">
            <v>37</v>
          </cell>
          <cell r="D88">
            <v>12</v>
          </cell>
          <cell r="E88">
            <v>25</v>
          </cell>
          <cell r="N88">
            <v>24</v>
          </cell>
          <cell r="O88">
            <v>51</v>
          </cell>
          <cell r="P88">
            <v>27</v>
          </cell>
          <cell r="Q88">
            <v>9.5999999999999943</v>
          </cell>
          <cell r="S88">
            <v>-9.5999999999999943</v>
          </cell>
          <cell r="T88">
            <v>169.93333333333331</v>
          </cell>
          <cell r="U88">
            <v>176</v>
          </cell>
          <cell r="V88">
            <v>-6.0666666666666913</v>
          </cell>
          <cell r="X88">
            <v>-169.93333333333331</v>
          </cell>
          <cell r="Y88">
            <v>389.93333333333328</v>
          </cell>
          <cell r="Z88">
            <v>0</v>
          </cell>
          <cell r="AB88">
            <v>0</v>
          </cell>
          <cell r="AC88">
            <v>-389.93333333333328</v>
          </cell>
          <cell r="AD88">
            <v>148</v>
          </cell>
          <cell r="AE88">
            <v>142</v>
          </cell>
          <cell r="AF88">
            <v>6</v>
          </cell>
          <cell r="AG88">
            <v>44</v>
          </cell>
          <cell r="AH88">
            <v>15</v>
          </cell>
          <cell r="AI88">
            <v>29</v>
          </cell>
          <cell r="AJ88">
            <v>-104</v>
          </cell>
          <cell r="AP88">
            <v>677.46666666666658</v>
          </cell>
          <cell r="AQ88">
            <v>143</v>
          </cell>
          <cell r="AR88">
            <v>534.46666666666658</v>
          </cell>
          <cell r="AS88">
            <v>65</v>
          </cell>
          <cell r="AT88">
            <v>-612.46666666666658</v>
          </cell>
          <cell r="AU88">
            <v>176</v>
          </cell>
          <cell r="AV88">
            <v>-3</v>
          </cell>
          <cell r="AW88">
            <v>-33</v>
          </cell>
          <cell r="AX88">
            <v>537.46666666666658</v>
          </cell>
        </row>
        <row r="89">
          <cell r="C89">
            <v>16286.2</v>
          </cell>
          <cell r="D89">
            <v>15922</v>
          </cell>
          <cell r="E89">
            <v>7076.2000000000007</v>
          </cell>
          <cell r="N89">
            <v>30435.306727272728</v>
          </cell>
          <cell r="O89">
            <v>6622</v>
          </cell>
          <cell r="P89">
            <v>-23813.306727272728</v>
          </cell>
          <cell r="Q89">
            <v>210839.70936363639</v>
          </cell>
          <cell r="R89">
            <v>83057</v>
          </cell>
          <cell r="S89">
            <v>-127782.70936363639</v>
          </cell>
          <cell r="T89">
            <v>292822.4097878788</v>
          </cell>
          <cell r="U89">
            <v>124019.34756097561</v>
          </cell>
          <cell r="V89">
            <v>168803.06222690316</v>
          </cell>
          <cell r="W89">
            <v>101508</v>
          </cell>
          <cell r="X89">
            <v>-191314.4097878788</v>
          </cell>
          <cell r="Y89">
            <v>246225.7103030303</v>
          </cell>
          <cell r="Z89">
            <v>96838.750161952048</v>
          </cell>
          <cell r="AA89">
            <v>148997.02680774493</v>
          </cell>
          <cell r="AB89">
            <v>81399</v>
          </cell>
          <cell r="AC89">
            <v>-164826.7103030303</v>
          </cell>
          <cell r="AD89">
            <v>53015.905999999995</v>
          </cell>
          <cell r="AE89">
            <v>44251.144424242433</v>
          </cell>
          <cell r="AF89">
            <v>8765.7615757575732</v>
          </cell>
          <cell r="AG89">
            <v>9686</v>
          </cell>
          <cell r="AH89">
            <v>6496</v>
          </cell>
          <cell r="AI89">
            <v>2061</v>
          </cell>
          <cell r="AJ89">
            <v>-43329.905999999995</v>
          </cell>
          <cell r="AK89">
            <v>0</v>
          </cell>
          <cell r="AN89">
            <v>0</v>
          </cell>
          <cell r="AP89">
            <v>843254.73127272725</v>
          </cell>
          <cell r="AQ89" t="e">
            <v>#REF!</v>
          </cell>
          <cell r="AR89" t="e">
            <v>#REF!</v>
          </cell>
          <cell r="AS89">
            <v>278189</v>
          </cell>
          <cell r="AT89">
            <v>-565065.73127272725</v>
          </cell>
          <cell r="AU89">
            <v>220065.09772292766</v>
          </cell>
          <cell r="AV89">
            <v>469596</v>
          </cell>
          <cell r="AW89">
            <v>34033.72490909091</v>
          </cell>
          <cell r="AX89" t="e">
            <v>#REF!</v>
          </cell>
        </row>
        <row r="90">
          <cell r="C90">
            <v>11706.2</v>
          </cell>
          <cell r="D90">
            <v>4630</v>
          </cell>
          <cell r="E90">
            <v>7076.2000000000007</v>
          </cell>
          <cell r="N90">
            <v>30435.306727272728</v>
          </cell>
          <cell r="O90">
            <v>6622</v>
          </cell>
          <cell r="P90">
            <v>-23813.306727272728</v>
          </cell>
          <cell r="Q90">
            <v>85265.709363636386</v>
          </cell>
          <cell r="R90">
            <v>21655</v>
          </cell>
          <cell r="S90">
            <v>-63610.709363636386</v>
          </cell>
          <cell r="T90">
            <v>39613.409787878802</v>
          </cell>
          <cell r="U90">
            <v>15213</v>
          </cell>
          <cell r="V90">
            <v>24400.409787878772</v>
          </cell>
          <cell r="W90">
            <v>7876</v>
          </cell>
          <cell r="X90">
            <v>-31737.409787878802</v>
          </cell>
          <cell r="Y90">
            <v>26568.710303030297</v>
          </cell>
          <cell r="Z90">
            <v>10081</v>
          </cell>
          <cell r="AA90">
            <v>16097.776969696977</v>
          </cell>
          <cell r="AB90">
            <v>5098</v>
          </cell>
          <cell r="AC90">
            <v>-21470.710303030297</v>
          </cell>
          <cell r="AD90">
            <v>53015.905999999995</v>
          </cell>
          <cell r="AE90">
            <v>44251.144424242433</v>
          </cell>
          <cell r="AF90">
            <v>8765.7615757575732</v>
          </cell>
          <cell r="AG90">
            <v>9686</v>
          </cell>
          <cell r="AH90">
            <v>6496</v>
          </cell>
          <cell r="AI90">
            <v>2061</v>
          </cell>
          <cell r="AJ90">
            <v>-43329.905999999995</v>
          </cell>
          <cell r="AN90">
            <v>0</v>
          </cell>
          <cell r="AP90">
            <v>240233.73127272725</v>
          </cell>
          <cell r="AQ90" t="e">
            <v>#REF!</v>
          </cell>
          <cell r="AR90" t="e">
            <v>#REF!</v>
          </cell>
          <cell r="AS90">
            <v>46854</v>
          </cell>
          <cell r="AT90">
            <v>-193379.73127272725</v>
          </cell>
          <cell r="AU90">
            <v>24501</v>
          </cell>
          <cell r="AV90">
            <v>66720</v>
          </cell>
          <cell r="AW90">
            <v>34032.72490909091</v>
          </cell>
          <cell r="AX90" t="e">
            <v>#REF!</v>
          </cell>
        </row>
        <row r="91">
          <cell r="C91">
            <v>844.2</v>
          </cell>
          <cell r="D91">
            <v>310</v>
          </cell>
          <cell r="E91">
            <v>534.20000000000005</v>
          </cell>
          <cell r="N91">
            <v>7407.2227272727268</v>
          </cell>
          <cell r="O91">
            <v>1501</v>
          </cell>
          <cell r="P91">
            <v>-5906.2227272727268</v>
          </cell>
          <cell r="Q91">
            <v>16281.220909090909</v>
          </cell>
          <cell r="R91">
            <v>3466</v>
          </cell>
          <cell r="S91">
            <v>-12815.220909090909</v>
          </cell>
          <cell r="T91">
            <v>6127.2482727272736</v>
          </cell>
          <cell r="U91">
            <v>2344</v>
          </cell>
          <cell r="V91">
            <v>3783.2482727272736</v>
          </cell>
          <cell r="W91">
            <v>1353</v>
          </cell>
          <cell r="X91">
            <v>-4774.2482727272736</v>
          </cell>
          <cell r="Y91">
            <v>5027.227272727273</v>
          </cell>
          <cell r="Z91">
            <v>1812</v>
          </cell>
          <cell r="AA91">
            <v>3215.227272727273</v>
          </cell>
          <cell r="AB91">
            <v>1097</v>
          </cell>
          <cell r="AC91">
            <v>-3930.227272727273</v>
          </cell>
          <cell r="AD91">
            <v>14784.886363636362</v>
          </cell>
          <cell r="AE91">
            <v>13450.863636363636</v>
          </cell>
          <cell r="AF91">
            <v>1334.0227272727263</v>
          </cell>
          <cell r="AG91">
            <v>2881</v>
          </cell>
          <cell r="AH91">
            <v>1984</v>
          </cell>
          <cell r="AI91">
            <v>306</v>
          </cell>
          <cell r="AJ91">
            <v>-11903.886363636362</v>
          </cell>
          <cell r="AN91">
            <v>0</v>
          </cell>
          <cell r="AP91">
            <v>49908.982818181816</v>
          </cell>
          <cell r="AQ91">
            <v>843407.73127272737</v>
          </cell>
          <cell r="AR91">
            <v>268661.82263201859</v>
          </cell>
          <cell r="AS91">
            <v>9401</v>
          </cell>
        </row>
        <row r="92">
          <cell r="C92">
            <v>-1122</v>
          </cell>
          <cell r="N92">
            <v>15020</v>
          </cell>
          <cell r="P92">
            <v>-15020</v>
          </cell>
          <cell r="Q92">
            <v>27603</v>
          </cell>
          <cell r="S92">
            <v>-27603</v>
          </cell>
          <cell r="T92">
            <v>2718</v>
          </cell>
          <cell r="X92">
            <v>-2718</v>
          </cell>
          <cell r="Y92">
            <v>1694</v>
          </cell>
          <cell r="AB92">
            <v>432</v>
          </cell>
          <cell r="AC92">
            <v>-1262</v>
          </cell>
          <cell r="AD92">
            <v>3355</v>
          </cell>
          <cell r="AE92">
            <v>3355</v>
          </cell>
          <cell r="AF92">
            <v>0</v>
          </cell>
          <cell r="AI92">
            <v>0</v>
          </cell>
          <cell r="AJ92" t="e">
            <v>#REF!</v>
          </cell>
          <cell r="AN92" t="e">
            <v>#REF!</v>
          </cell>
          <cell r="AO92">
            <v>1616</v>
          </cell>
          <cell r="AP92" t="e">
            <v>#REF!</v>
          </cell>
          <cell r="AS92">
            <v>2048</v>
          </cell>
        </row>
        <row r="93">
          <cell r="C93">
            <v>186</v>
          </cell>
          <cell r="N93">
            <v>0</v>
          </cell>
          <cell r="P93">
            <v>0</v>
          </cell>
          <cell r="Q93">
            <v>0</v>
          </cell>
          <cell r="S93">
            <v>0</v>
          </cell>
          <cell r="T93">
            <v>0</v>
          </cell>
          <cell r="W93">
            <v>0</v>
          </cell>
          <cell r="X93">
            <v>0</v>
          </cell>
          <cell r="Y93">
            <v>0</v>
          </cell>
          <cell r="AB93">
            <v>432</v>
          </cell>
          <cell r="AC93">
            <v>432</v>
          </cell>
          <cell r="AD93">
            <v>0</v>
          </cell>
          <cell r="AE93">
            <v>0</v>
          </cell>
          <cell r="AF93">
            <v>0</v>
          </cell>
          <cell r="AI93">
            <v>0</v>
          </cell>
          <cell r="AJ93">
            <v>0</v>
          </cell>
          <cell r="AN93" t="e">
            <v>#REF!</v>
          </cell>
          <cell r="AP93" t="e">
            <v>#REF!</v>
          </cell>
          <cell r="AS93">
            <v>432</v>
          </cell>
        </row>
        <row r="95">
          <cell r="C95">
            <v>-1308</v>
          </cell>
          <cell r="N95">
            <v>800</v>
          </cell>
          <cell r="P95">
            <v>-800</v>
          </cell>
          <cell r="Q95">
            <v>0</v>
          </cell>
          <cell r="R95">
            <v>0</v>
          </cell>
          <cell r="S95">
            <v>0</v>
          </cell>
          <cell r="T95">
            <v>0</v>
          </cell>
          <cell r="X95">
            <v>0</v>
          </cell>
          <cell r="Y95">
            <v>0</v>
          </cell>
          <cell r="AC95">
            <v>0</v>
          </cell>
          <cell r="AD95">
            <v>0</v>
          </cell>
          <cell r="AE95">
            <v>0</v>
          </cell>
          <cell r="AF95">
            <v>0</v>
          </cell>
          <cell r="AI95">
            <v>0</v>
          </cell>
          <cell r="AJ95">
            <v>0</v>
          </cell>
          <cell r="AN95" t="e">
            <v>#REF!</v>
          </cell>
          <cell r="AP95" t="e">
            <v>#REF!</v>
          </cell>
          <cell r="AS95">
            <v>0</v>
          </cell>
        </row>
        <row r="96">
          <cell r="P96">
            <v>0</v>
          </cell>
          <cell r="S96">
            <v>0</v>
          </cell>
          <cell r="X96">
            <v>0</v>
          </cell>
          <cell r="AC96">
            <v>0</v>
          </cell>
          <cell r="AF96">
            <v>0</v>
          </cell>
          <cell r="AI96">
            <v>0</v>
          </cell>
          <cell r="AJ96">
            <v>0</v>
          </cell>
          <cell r="AN96" t="e">
            <v>#REF!</v>
          </cell>
          <cell r="AP96" t="e">
            <v>#REF!</v>
          </cell>
          <cell r="AS96">
            <v>0</v>
          </cell>
        </row>
        <row r="97">
          <cell r="P97">
            <v>0</v>
          </cell>
          <cell r="S97">
            <v>0</v>
          </cell>
          <cell r="X97">
            <v>0</v>
          </cell>
          <cell r="AC97">
            <v>0</v>
          </cell>
          <cell r="AF97">
            <v>0</v>
          </cell>
          <cell r="AI97">
            <v>0</v>
          </cell>
          <cell r="AJ97">
            <v>0</v>
          </cell>
          <cell r="AN97" t="e">
            <v>#REF!</v>
          </cell>
          <cell r="AP97" t="e">
            <v>#REF!</v>
          </cell>
          <cell r="AS97">
            <v>0</v>
          </cell>
        </row>
        <row r="98">
          <cell r="P98">
            <v>0</v>
          </cell>
          <cell r="S98">
            <v>0</v>
          </cell>
          <cell r="X98">
            <v>0</v>
          </cell>
          <cell r="AC98">
            <v>0</v>
          </cell>
          <cell r="AF98">
            <v>0</v>
          </cell>
          <cell r="AI98">
            <v>0</v>
          </cell>
          <cell r="AJ98">
            <v>0</v>
          </cell>
          <cell r="AN98" t="e">
            <v>#REF!</v>
          </cell>
          <cell r="AP98" t="e">
            <v>#REF!</v>
          </cell>
          <cell r="AS98">
            <v>0</v>
          </cell>
        </row>
        <row r="99">
          <cell r="P99">
            <v>0</v>
          </cell>
          <cell r="S99">
            <v>0</v>
          </cell>
          <cell r="X99">
            <v>0</v>
          </cell>
          <cell r="AC99">
            <v>0</v>
          </cell>
          <cell r="AI99">
            <v>0</v>
          </cell>
          <cell r="AJ99">
            <v>0</v>
          </cell>
          <cell r="AN99" t="e">
            <v>#REF!</v>
          </cell>
          <cell r="AP99" t="e">
            <v>#REF!</v>
          </cell>
          <cell r="AS99">
            <v>0</v>
          </cell>
        </row>
        <row r="100">
          <cell r="C100">
            <v>-1308</v>
          </cell>
          <cell r="N100">
            <v>0.19200000000000017</v>
          </cell>
          <cell r="P100">
            <v>-0.19200000000000017</v>
          </cell>
          <cell r="Q100">
            <v>-0.32000000000000028</v>
          </cell>
          <cell r="R100">
            <v>31</v>
          </cell>
          <cell r="S100">
            <v>31.32</v>
          </cell>
          <cell r="T100">
            <v>-0.3360000000000003</v>
          </cell>
          <cell r="W100">
            <v>2</v>
          </cell>
          <cell r="X100">
            <v>2.3360000000000003</v>
          </cell>
          <cell r="Y100">
            <v>0.28000000000000114</v>
          </cell>
          <cell r="AB100">
            <v>10</v>
          </cell>
          <cell r="AC100">
            <v>9.7199999999999989</v>
          </cell>
          <cell r="AD100">
            <v>0.35200000000000031</v>
          </cell>
          <cell r="AE100">
            <v>0.35200000000000031</v>
          </cell>
          <cell r="AF100">
            <v>0</v>
          </cell>
          <cell r="AG100">
            <v>128</v>
          </cell>
          <cell r="AH100">
            <v>128</v>
          </cell>
          <cell r="AI100">
            <v>0</v>
          </cell>
          <cell r="AJ100">
            <v>127.648</v>
          </cell>
          <cell r="AN100" t="e">
            <v>#REF!</v>
          </cell>
          <cell r="AP100" t="e">
            <v>#REF!</v>
          </cell>
          <cell r="AS100">
            <v>140</v>
          </cell>
        </row>
        <row r="101">
          <cell r="C101">
            <v>-1308</v>
          </cell>
          <cell r="N101">
            <v>0</v>
          </cell>
          <cell r="P101">
            <v>0</v>
          </cell>
          <cell r="Q101">
            <v>0</v>
          </cell>
          <cell r="R101">
            <v>0</v>
          </cell>
          <cell r="S101">
            <v>0</v>
          </cell>
          <cell r="T101">
            <v>0</v>
          </cell>
          <cell r="X101">
            <v>0</v>
          </cell>
          <cell r="Y101">
            <v>0</v>
          </cell>
          <cell r="AC101">
            <v>0</v>
          </cell>
          <cell r="AD101">
            <v>0</v>
          </cell>
          <cell r="AE101">
            <v>0</v>
          </cell>
          <cell r="AF101">
            <v>0</v>
          </cell>
          <cell r="AI101">
            <v>0</v>
          </cell>
          <cell r="AJ101">
            <v>0</v>
          </cell>
          <cell r="AN101" t="e">
            <v>#REF!</v>
          </cell>
          <cell r="AP101" t="e">
            <v>#REF!</v>
          </cell>
          <cell r="AS101">
            <v>0</v>
          </cell>
        </row>
        <row r="102">
          <cell r="C102">
            <v>0</v>
          </cell>
          <cell r="N102">
            <v>0</v>
          </cell>
          <cell r="P102">
            <v>0</v>
          </cell>
          <cell r="Q102">
            <v>0</v>
          </cell>
          <cell r="S102">
            <v>0</v>
          </cell>
          <cell r="T102">
            <v>0</v>
          </cell>
          <cell r="X102">
            <v>0</v>
          </cell>
          <cell r="Y102">
            <v>0</v>
          </cell>
          <cell r="AC102">
            <v>0</v>
          </cell>
          <cell r="AD102">
            <v>0</v>
          </cell>
          <cell r="AE102">
            <v>0</v>
          </cell>
          <cell r="AF102">
            <v>0</v>
          </cell>
          <cell r="AI102">
            <v>0</v>
          </cell>
          <cell r="AJ102">
            <v>0</v>
          </cell>
          <cell r="AN102" t="e">
            <v>#REF!</v>
          </cell>
          <cell r="AP102" t="e">
            <v>#REF!</v>
          </cell>
          <cell r="AS102">
            <v>0</v>
          </cell>
        </row>
        <row r="103">
          <cell r="C103">
            <v>0</v>
          </cell>
          <cell r="N103">
            <v>0.19200000000000017</v>
          </cell>
          <cell r="P103">
            <v>-0.19200000000000017</v>
          </cell>
          <cell r="Q103">
            <v>-0.32000000000000028</v>
          </cell>
          <cell r="R103">
            <v>31</v>
          </cell>
          <cell r="S103">
            <v>31.32</v>
          </cell>
          <cell r="T103">
            <v>-0.3360000000000003</v>
          </cell>
          <cell r="W103">
            <v>2</v>
          </cell>
          <cell r="X103">
            <v>2.3360000000000003</v>
          </cell>
          <cell r="Y103">
            <v>0.28000000000000114</v>
          </cell>
          <cell r="AB103">
            <v>10</v>
          </cell>
          <cell r="AC103">
            <v>9.7199999999999989</v>
          </cell>
          <cell r="AD103">
            <v>0.35200000000000031</v>
          </cell>
          <cell r="AE103">
            <v>0.35200000000000031</v>
          </cell>
          <cell r="AF103">
            <v>0</v>
          </cell>
          <cell r="AG103">
            <v>128</v>
          </cell>
          <cell r="AH103">
            <v>128</v>
          </cell>
          <cell r="AI103">
            <v>0</v>
          </cell>
          <cell r="AJ103">
            <v>127.648</v>
          </cell>
          <cell r="AN103">
            <v>3701.768</v>
          </cell>
          <cell r="AP103">
            <v>3702</v>
          </cell>
          <cell r="AS103">
            <v>140</v>
          </cell>
        </row>
        <row r="104">
          <cell r="C104">
            <v>0</v>
          </cell>
          <cell r="N104">
            <v>0.20800000000000018</v>
          </cell>
          <cell r="P104">
            <v>-0.20800000000000018</v>
          </cell>
          <cell r="Q104">
            <v>234.404</v>
          </cell>
          <cell r="R104">
            <v>154</v>
          </cell>
          <cell r="S104">
            <v>-80.403999999999996</v>
          </cell>
          <cell r="T104">
            <v>-0.42800000000000082</v>
          </cell>
          <cell r="W104">
            <v>79</v>
          </cell>
          <cell r="X104">
            <v>79.427999999999997</v>
          </cell>
          <cell r="Y104">
            <v>6.799999999999784E-2</v>
          </cell>
          <cell r="AB104">
            <v>86</v>
          </cell>
          <cell r="AC104">
            <v>85.932000000000002</v>
          </cell>
          <cell r="AD104">
            <v>0.28399999999999892</v>
          </cell>
          <cell r="AE104">
            <v>0.28399999999999892</v>
          </cell>
          <cell r="AF104">
            <v>0</v>
          </cell>
          <cell r="AG104">
            <v>30</v>
          </cell>
          <cell r="AH104">
            <v>30</v>
          </cell>
          <cell r="AI104">
            <v>0</v>
          </cell>
          <cell r="AJ104">
            <v>29.716000000000001</v>
          </cell>
          <cell r="AN104" t="e">
            <v>#REF!</v>
          </cell>
          <cell r="AP104" t="e">
            <v>#REF!</v>
          </cell>
          <cell r="AS104">
            <v>195</v>
          </cell>
        </row>
        <row r="105">
          <cell r="C105">
            <v>0</v>
          </cell>
          <cell r="N105">
            <v>0</v>
          </cell>
          <cell r="P105">
            <v>0</v>
          </cell>
          <cell r="Q105">
            <v>233.64000000000001</v>
          </cell>
          <cell r="R105">
            <v>0</v>
          </cell>
          <cell r="S105">
            <v>-233.64000000000001</v>
          </cell>
          <cell r="T105">
            <v>0</v>
          </cell>
          <cell r="W105">
            <v>0</v>
          </cell>
          <cell r="X105">
            <v>0</v>
          </cell>
          <cell r="Y105">
            <v>0</v>
          </cell>
          <cell r="AB105">
            <v>0</v>
          </cell>
          <cell r="AC105">
            <v>0</v>
          </cell>
          <cell r="AD105">
            <v>0</v>
          </cell>
          <cell r="AE105">
            <v>0</v>
          </cell>
          <cell r="AF105">
            <v>0</v>
          </cell>
          <cell r="AI105">
            <v>0</v>
          </cell>
          <cell r="AJ105">
            <v>0</v>
          </cell>
          <cell r="AN105" t="e">
            <v>#REF!</v>
          </cell>
          <cell r="AP105" t="e">
            <v>#REF!</v>
          </cell>
          <cell r="AS105">
            <v>0</v>
          </cell>
        </row>
        <row r="106">
          <cell r="C106">
            <v>0</v>
          </cell>
          <cell r="N106">
            <v>0.20800000000000018</v>
          </cell>
          <cell r="P106">
            <v>-0.20800000000000018</v>
          </cell>
          <cell r="Q106">
            <v>-0.23600000000000065</v>
          </cell>
          <cell r="R106">
            <v>154</v>
          </cell>
          <cell r="S106">
            <v>154.23599999999999</v>
          </cell>
          <cell r="T106">
            <v>-0.42800000000000082</v>
          </cell>
          <cell r="W106">
            <v>79</v>
          </cell>
          <cell r="X106">
            <v>79.427999999999997</v>
          </cell>
          <cell r="Y106">
            <v>6.799999999999784E-2</v>
          </cell>
          <cell r="AB106">
            <v>86</v>
          </cell>
          <cell r="AC106">
            <v>85.932000000000002</v>
          </cell>
          <cell r="AD106">
            <v>0.28399999999999892</v>
          </cell>
          <cell r="AE106">
            <v>0.28399999999999892</v>
          </cell>
          <cell r="AF106">
            <v>0</v>
          </cell>
          <cell r="AG106">
            <v>30</v>
          </cell>
          <cell r="AH106">
            <v>30</v>
          </cell>
          <cell r="AI106">
            <v>0</v>
          </cell>
          <cell r="AJ106">
            <v>29.716000000000001</v>
          </cell>
          <cell r="AN106" t="e">
            <v>#REF!</v>
          </cell>
          <cell r="AP106" t="e">
            <v>#REF!</v>
          </cell>
          <cell r="AS106">
            <v>195</v>
          </cell>
        </row>
        <row r="107">
          <cell r="C107">
            <v>0</v>
          </cell>
          <cell r="N107">
            <v>0</v>
          </cell>
          <cell r="P107">
            <v>0</v>
          </cell>
          <cell r="Q107">
            <v>526.04999999999995</v>
          </cell>
          <cell r="R107">
            <v>800</v>
          </cell>
          <cell r="S107">
            <v>273.95000000000005</v>
          </cell>
          <cell r="T107">
            <v>0</v>
          </cell>
          <cell r="X107">
            <v>0</v>
          </cell>
          <cell r="Y107">
            <v>0</v>
          </cell>
          <cell r="AC107">
            <v>0</v>
          </cell>
          <cell r="AD107">
            <v>0</v>
          </cell>
          <cell r="AE107">
            <v>0</v>
          </cell>
          <cell r="AF107">
            <v>0</v>
          </cell>
          <cell r="AI107">
            <v>0</v>
          </cell>
          <cell r="AJ107">
            <v>0</v>
          </cell>
          <cell r="AN107" t="e">
            <v>#REF!</v>
          </cell>
          <cell r="AP107" t="e">
            <v>#REF!</v>
          </cell>
          <cell r="AQ107" t="e">
            <v>#REF!</v>
          </cell>
          <cell r="AR107" t="e">
            <v>#REF!</v>
          </cell>
          <cell r="AS107">
            <v>0</v>
          </cell>
        </row>
        <row r="108">
          <cell r="C108">
            <v>0</v>
          </cell>
          <cell r="N108">
            <v>0</v>
          </cell>
          <cell r="P108">
            <v>0</v>
          </cell>
          <cell r="Q108">
            <v>526.04999999999995</v>
          </cell>
          <cell r="R108">
            <v>800</v>
          </cell>
          <cell r="S108">
            <v>273.95000000000005</v>
          </cell>
          <cell r="T108">
            <v>0</v>
          </cell>
          <cell r="X108">
            <v>0</v>
          </cell>
          <cell r="Y108">
            <v>0</v>
          </cell>
          <cell r="AC108">
            <v>0</v>
          </cell>
          <cell r="AD108">
            <v>0</v>
          </cell>
          <cell r="AE108">
            <v>0</v>
          </cell>
          <cell r="AF108">
            <v>0</v>
          </cell>
          <cell r="AI108">
            <v>0</v>
          </cell>
          <cell r="AJ108">
            <v>0</v>
          </cell>
          <cell r="AN108" t="e">
            <v>#REF!</v>
          </cell>
          <cell r="AP108" t="e">
            <v>#REF!</v>
          </cell>
          <cell r="AS108">
            <v>0</v>
          </cell>
        </row>
        <row r="109">
          <cell r="C109">
            <v>0</v>
          </cell>
          <cell r="N109">
            <v>0</v>
          </cell>
          <cell r="P109">
            <v>0</v>
          </cell>
          <cell r="Q109">
            <v>0</v>
          </cell>
          <cell r="S109">
            <v>0</v>
          </cell>
          <cell r="T109">
            <v>0</v>
          </cell>
          <cell r="X109">
            <v>0</v>
          </cell>
          <cell r="Y109">
            <v>0</v>
          </cell>
          <cell r="AC109">
            <v>0</v>
          </cell>
          <cell r="AD109">
            <v>0</v>
          </cell>
          <cell r="AE109">
            <v>0</v>
          </cell>
          <cell r="AF109">
            <v>0</v>
          </cell>
          <cell r="AI109">
            <v>0</v>
          </cell>
          <cell r="AJ109">
            <v>0</v>
          </cell>
          <cell r="AN109" t="e">
            <v>#REF!</v>
          </cell>
          <cell r="AP109" t="e">
            <v>#REF!</v>
          </cell>
          <cell r="AQ109">
            <v>0</v>
          </cell>
          <cell r="AR109">
            <v>0</v>
          </cell>
          <cell r="AS109">
            <v>0</v>
          </cell>
        </row>
        <row r="110">
          <cell r="C110">
            <v>0</v>
          </cell>
          <cell r="N110">
            <v>0</v>
          </cell>
          <cell r="P110">
            <v>0</v>
          </cell>
          <cell r="Q110">
            <v>0</v>
          </cell>
          <cell r="S110">
            <v>0</v>
          </cell>
          <cell r="T110">
            <v>0</v>
          </cell>
          <cell r="X110">
            <v>0</v>
          </cell>
          <cell r="Y110">
            <v>0</v>
          </cell>
          <cell r="AC110">
            <v>0</v>
          </cell>
          <cell r="AD110">
            <v>0</v>
          </cell>
          <cell r="AE110">
            <v>0</v>
          </cell>
          <cell r="AF110">
            <v>0</v>
          </cell>
          <cell r="AI110">
            <v>0</v>
          </cell>
          <cell r="AJ110">
            <v>0</v>
          </cell>
          <cell r="AN110" t="e">
            <v>#REF!</v>
          </cell>
          <cell r="AP110" t="e">
            <v>#REF!</v>
          </cell>
          <cell r="AS110">
            <v>0</v>
          </cell>
        </row>
        <row r="111">
          <cell r="C111">
            <v>200</v>
          </cell>
          <cell r="N111">
            <v>0</v>
          </cell>
          <cell r="P111">
            <v>0</v>
          </cell>
          <cell r="Q111">
            <v>0</v>
          </cell>
          <cell r="R111">
            <v>928</v>
          </cell>
          <cell r="S111">
            <v>928</v>
          </cell>
          <cell r="T111">
            <v>0</v>
          </cell>
          <cell r="W111">
            <v>366</v>
          </cell>
          <cell r="X111">
            <v>366</v>
          </cell>
          <cell r="Y111">
            <v>0</v>
          </cell>
          <cell r="AB111">
            <v>251</v>
          </cell>
          <cell r="AC111">
            <v>251</v>
          </cell>
          <cell r="AD111">
            <v>0</v>
          </cell>
          <cell r="AE111">
            <v>0</v>
          </cell>
          <cell r="AF111">
            <v>0</v>
          </cell>
          <cell r="AG111">
            <v>535</v>
          </cell>
          <cell r="AH111">
            <v>535</v>
          </cell>
          <cell r="AI111">
            <v>0</v>
          </cell>
          <cell r="AJ111">
            <v>535</v>
          </cell>
          <cell r="AN111" t="e">
            <v>#REF!</v>
          </cell>
          <cell r="AP111" t="e">
            <v>#REF!</v>
          </cell>
          <cell r="AS111">
            <v>1152</v>
          </cell>
        </row>
        <row r="112">
          <cell r="C112">
            <v>0</v>
          </cell>
          <cell r="N112">
            <v>0</v>
          </cell>
          <cell r="P112">
            <v>0</v>
          </cell>
          <cell r="Q112">
            <v>0</v>
          </cell>
          <cell r="R112">
            <v>8</v>
          </cell>
          <cell r="S112">
            <v>8</v>
          </cell>
          <cell r="T112">
            <v>0</v>
          </cell>
          <cell r="W112">
            <v>57</v>
          </cell>
          <cell r="X112">
            <v>57</v>
          </cell>
          <cell r="Y112">
            <v>0</v>
          </cell>
          <cell r="AB112">
            <v>7</v>
          </cell>
          <cell r="AC112">
            <v>7</v>
          </cell>
          <cell r="AD112">
            <v>0</v>
          </cell>
          <cell r="AE112">
            <v>0</v>
          </cell>
          <cell r="AF112">
            <v>0</v>
          </cell>
          <cell r="AI112">
            <v>0</v>
          </cell>
          <cell r="AJ112">
            <v>0</v>
          </cell>
          <cell r="AN112">
            <v>19</v>
          </cell>
          <cell r="AP112">
            <v>19</v>
          </cell>
          <cell r="AS112">
            <v>64</v>
          </cell>
        </row>
        <row r="113">
          <cell r="C113">
            <v>7060</v>
          </cell>
          <cell r="N113">
            <v>0</v>
          </cell>
          <cell r="P113">
            <v>0</v>
          </cell>
          <cell r="Q113">
            <v>0</v>
          </cell>
          <cell r="S113">
            <v>0</v>
          </cell>
          <cell r="T113">
            <v>0</v>
          </cell>
          <cell r="X113">
            <v>0</v>
          </cell>
          <cell r="Y113">
            <v>0</v>
          </cell>
          <cell r="AC113">
            <v>0</v>
          </cell>
          <cell r="AD113">
            <v>0</v>
          </cell>
          <cell r="AE113">
            <v>0</v>
          </cell>
          <cell r="AF113">
            <v>0</v>
          </cell>
          <cell r="AI113">
            <v>0</v>
          </cell>
          <cell r="AJ113">
            <v>0</v>
          </cell>
          <cell r="AN113" t="e">
            <v>#REF!</v>
          </cell>
          <cell r="AP113" t="e">
            <v>#REF!</v>
          </cell>
          <cell r="AS113">
            <v>0</v>
          </cell>
        </row>
        <row r="114">
          <cell r="C114">
            <v>0</v>
          </cell>
          <cell r="P114">
            <v>0</v>
          </cell>
          <cell r="S114">
            <v>0</v>
          </cell>
          <cell r="X114">
            <v>0</v>
          </cell>
          <cell r="AC114">
            <v>0</v>
          </cell>
          <cell r="AF114">
            <v>0</v>
          </cell>
          <cell r="AI114">
            <v>0</v>
          </cell>
          <cell r="AJ114">
            <v>0</v>
          </cell>
          <cell r="AP114">
            <v>0</v>
          </cell>
          <cell r="AS114">
            <v>0</v>
          </cell>
        </row>
        <row r="115">
          <cell r="C115">
            <v>3500</v>
          </cell>
          <cell r="P115">
            <v>0</v>
          </cell>
          <cell r="S115">
            <v>0</v>
          </cell>
          <cell r="X115">
            <v>0</v>
          </cell>
          <cell r="AC115">
            <v>0</v>
          </cell>
          <cell r="AF115">
            <v>0</v>
          </cell>
          <cell r="AI115">
            <v>0</v>
          </cell>
          <cell r="AJ115">
            <v>0</v>
          </cell>
          <cell r="AP115">
            <v>3500</v>
          </cell>
          <cell r="AS115">
            <v>0</v>
          </cell>
        </row>
        <row r="116">
          <cell r="C116">
            <v>0</v>
          </cell>
        </row>
        <row r="119">
          <cell r="P119">
            <v>0</v>
          </cell>
          <cell r="S119">
            <v>0</v>
          </cell>
          <cell r="X119">
            <v>0</v>
          </cell>
          <cell r="AC119">
            <v>0</v>
          </cell>
          <cell r="AI119">
            <v>0</v>
          </cell>
          <cell r="AJ119">
            <v>0</v>
          </cell>
          <cell r="AN119" t="e">
            <v>#REF!</v>
          </cell>
          <cell r="AP119">
            <v>36465</v>
          </cell>
          <cell r="AQ119" t="e">
            <v>#REF!</v>
          </cell>
          <cell r="AS119">
            <v>0</v>
          </cell>
        </row>
        <row r="120">
          <cell r="C120">
            <v>0</v>
          </cell>
          <cell r="P120">
            <v>0</v>
          </cell>
          <cell r="S120">
            <v>0</v>
          </cell>
          <cell r="X120">
            <v>0</v>
          </cell>
          <cell r="AC120">
            <v>0</v>
          </cell>
          <cell r="AJ120">
            <v>0</v>
          </cell>
          <cell r="AN120" t="e">
            <v>#REF!</v>
          </cell>
          <cell r="AP120" t="e">
            <v>#REF!</v>
          </cell>
          <cell r="AS120">
            <v>0</v>
          </cell>
        </row>
        <row r="121">
          <cell r="C121">
            <v>11853</v>
          </cell>
          <cell r="D121">
            <v>0</v>
          </cell>
          <cell r="E121">
            <v>0</v>
          </cell>
          <cell r="N121">
            <v>0.40000000000000036</v>
          </cell>
          <cell r="O121">
            <v>0</v>
          </cell>
          <cell r="P121">
            <v>-0.40000000000000036</v>
          </cell>
          <cell r="Q121">
            <v>0</v>
          </cell>
          <cell r="R121">
            <v>1921</v>
          </cell>
          <cell r="S121">
            <v>1921</v>
          </cell>
          <cell r="T121">
            <v>-0.76400000000000112</v>
          </cell>
          <cell r="U121">
            <v>0</v>
          </cell>
          <cell r="V121">
            <v>0</v>
          </cell>
          <cell r="W121">
            <v>504</v>
          </cell>
          <cell r="X121">
            <v>504.76400000000001</v>
          </cell>
          <cell r="Y121">
            <v>0.34799999999999898</v>
          </cell>
          <cell r="Z121">
            <v>0</v>
          </cell>
          <cell r="AA121">
            <v>0</v>
          </cell>
          <cell r="AB121">
            <v>354</v>
          </cell>
          <cell r="AC121">
            <v>353.65199999999999</v>
          </cell>
          <cell r="AD121">
            <v>0.63599999999999923</v>
          </cell>
          <cell r="AE121">
            <v>0.63599999999999923</v>
          </cell>
          <cell r="AF121">
            <v>0</v>
          </cell>
          <cell r="AG121">
            <v>693</v>
          </cell>
          <cell r="AH121">
            <v>693</v>
          </cell>
          <cell r="AI121">
            <v>0</v>
          </cell>
          <cell r="AJ121">
            <v>692.36400000000003</v>
          </cell>
          <cell r="AN121" t="e">
            <v>#REF!</v>
          </cell>
          <cell r="AP121" t="e">
            <v>#REF!</v>
          </cell>
          <cell r="AU121">
            <v>0</v>
          </cell>
          <cell r="AV121">
            <v>0</v>
          </cell>
          <cell r="AW121">
            <v>0</v>
          </cell>
          <cell r="AX121">
            <v>0</v>
          </cell>
        </row>
        <row r="122">
          <cell r="C122">
            <v>9452</v>
          </cell>
          <cell r="D122">
            <v>0</v>
          </cell>
          <cell r="E122">
            <v>0</v>
          </cell>
          <cell r="N122">
            <v>800.4</v>
          </cell>
          <cell r="P122">
            <v>-800.4</v>
          </cell>
          <cell r="Q122">
            <v>760.13400000000001</v>
          </cell>
          <cell r="T122">
            <v>-0.76400000000000112</v>
          </cell>
          <cell r="U122">
            <v>0</v>
          </cell>
          <cell r="V122">
            <v>0</v>
          </cell>
          <cell r="X122">
            <v>0.76400000000000112</v>
          </cell>
          <cell r="Y122">
            <v>0.34799999999999898</v>
          </cell>
          <cell r="Z122">
            <v>0</v>
          </cell>
          <cell r="AA122">
            <v>0</v>
          </cell>
          <cell r="AC122">
            <v>-0.34799999999999898</v>
          </cell>
          <cell r="AJ122">
            <v>0</v>
          </cell>
          <cell r="AN122" t="e">
            <v>#REF!</v>
          </cell>
          <cell r="AP122" t="e">
            <v>#REF!</v>
          </cell>
        </row>
        <row r="123">
          <cell r="P123">
            <v>0</v>
          </cell>
          <cell r="X123">
            <v>0</v>
          </cell>
          <cell r="AC123">
            <v>0</v>
          </cell>
          <cell r="AJ123">
            <v>0</v>
          </cell>
          <cell r="AP123" t="e">
            <v>#REF!</v>
          </cell>
        </row>
        <row r="124">
          <cell r="P124">
            <v>0</v>
          </cell>
          <cell r="X124">
            <v>0</v>
          </cell>
          <cell r="AC124">
            <v>0</v>
          </cell>
          <cell r="AJ124">
            <v>0</v>
          </cell>
          <cell r="AP124" t="e">
            <v>#REF!</v>
          </cell>
        </row>
        <row r="125">
          <cell r="P125">
            <v>0</v>
          </cell>
          <cell r="X125">
            <v>0</v>
          </cell>
          <cell r="AC125">
            <v>0</v>
          </cell>
          <cell r="AJ125">
            <v>0</v>
          </cell>
          <cell r="AP125" t="e">
            <v>#REF!</v>
          </cell>
          <cell r="AQ125" t="e">
            <v>#REF!</v>
          </cell>
          <cell r="AR125" t="e">
            <v>#REF!</v>
          </cell>
        </row>
        <row r="126">
          <cell r="P126">
            <v>0</v>
          </cell>
          <cell r="X126">
            <v>0</v>
          </cell>
          <cell r="AC126">
            <v>0</v>
          </cell>
          <cell r="AJ126">
            <v>0</v>
          </cell>
        </row>
        <row r="127">
          <cell r="P127">
            <v>0</v>
          </cell>
          <cell r="X127">
            <v>0</v>
          </cell>
          <cell r="AC127">
            <v>0</v>
          </cell>
          <cell r="AJ127">
            <v>0</v>
          </cell>
          <cell r="AP127" t="e">
            <v>#REF!</v>
          </cell>
          <cell r="AU127">
            <v>0</v>
          </cell>
        </row>
        <row r="128">
          <cell r="P128">
            <v>0</v>
          </cell>
          <cell r="X128">
            <v>0</v>
          </cell>
          <cell r="AC128">
            <v>0</v>
          </cell>
          <cell r="AJ128">
            <v>0</v>
          </cell>
        </row>
        <row r="129">
          <cell r="P129">
            <v>0</v>
          </cell>
          <cell r="X129">
            <v>0</v>
          </cell>
          <cell r="AC129">
            <v>0</v>
          </cell>
          <cell r="AJ129">
            <v>0</v>
          </cell>
        </row>
        <row r="130">
          <cell r="P130">
            <v>0</v>
          </cell>
          <cell r="X130">
            <v>0</v>
          </cell>
          <cell r="AC130">
            <v>0</v>
          </cell>
          <cell r="AJ130">
            <v>0</v>
          </cell>
          <cell r="AP130" t="e">
            <v>#REF!</v>
          </cell>
          <cell r="AR130" t="e">
            <v>#REF!</v>
          </cell>
          <cell r="AU130">
            <v>0</v>
          </cell>
          <cell r="AW130">
            <v>0</v>
          </cell>
        </row>
        <row r="131">
          <cell r="P131">
            <v>0</v>
          </cell>
          <cell r="X131">
            <v>0</v>
          </cell>
          <cell r="AC131">
            <v>0</v>
          </cell>
          <cell r="AJ131">
            <v>0</v>
          </cell>
          <cell r="AP131" t="e">
            <v>#REF!</v>
          </cell>
          <cell r="AU131">
            <v>0</v>
          </cell>
        </row>
        <row r="132">
          <cell r="P132">
            <v>0</v>
          </cell>
          <cell r="X132">
            <v>0</v>
          </cell>
          <cell r="AC132">
            <v>0</v>
          </cell>
          <cell r="AJ132">
            <v>0</v>
          </cell>
          <cell r="AP132" t="e">
            <v>#REF!</v>
          </cell>
          <cell r="AU132" t="e">
            <v>#DIV/0!</v>
          </cell>
        </row>
        <row r="133">
          <cell r="P133">
            <v>0</v>
          </cell>
          <cell r="X133">
            <v>0</v>
          </cell>
          <cell r="AC133">
            <v>0</v>
          </cell>
          <cell r="AJ133">
            <v>0</v>
          </cell>
          <cell r="AP133" t="e">
            <v>#REF!</v>
          </cell>
          <cell r="AU133" t="e">
            <v>#DIV/0!</v>
          </cell>
        </row>
        <row r="134">
          <cell r="P134">
            <v>0</v>
          </cell>
          <cell r="X134">
            <v>0</v>
          </cell>
          <cell r="AC134">
            <v>0</v>
          </cell>
          <cell r="AJ134">
            <v>0</v>
          </cell>
          <cell r="AP134">
            <v>0</v>
          </cell>
          <cell r="AU134">
            <v>0</v>
          </cell>
        </row>
        <row r="135">
          <cell r="P135">
            <v>0</v>
          </cell>
          <cell r="X135">
            <v>0</v>
          </cell>
          <cell r="AC135">
            <v>0</v>
          </cell>
          <cell r="AJ135">
            <v>0</v>
          </cell>
        </row>
        <row r="136">
          <cell r="P136">
            <v>0</v>
          </cell>
          <cell r="X136">
            <v>0</v>
          </cell>
          <cell r="AC136">
            <v>0</v>
          </cell>
          <cell r="AJ136">
            <v>0</v>
          </cell>
          <cell r="AP136">
            <v>36.19</v>
          </cell>
          <cell r="AU136" t="e">
            <v>#DIV/0!</v>
          </cell>
        </row>
        <row r="137">
          <cell r="P137">
            <v>0</v>
          </cell>
          <cell r="X137">
            <v>0</v>
          </cell>
          <cell r="AC137">
            <v>0</v>
          </cell>
          <cell r="AJ137">
            <v>0</v>
          </cell>
        </row>
        <row r="138">
          <cell r="P138">
            <v>0</v>
          </cell>
          <cell r="X138">
            <v>0</v>
          </cell>
          <cell r="AC138">
            <v>0</v>
          </cell>
          <cell r="AJ138">
            <v>0</v>
          </cell>
          <cell r="AN138">
            <v>0</v>
          </cell>
          <cell r="AP138" t="e">
            <v>#REF!</v>
          </cell>
          <cell r="AU138" t="e">
            <v>#DIV/0!</v>
          </cell>
        </row>
        <row r="139">
          <cell r="P139">
            <v>0</v>
          </cell>
          <cell r="X139">
            <v>0</v>
          </cell>
          <cell r="AC139">
            <v>0</v>
          </cell>
          <cell r="AJ139">
            <v>0</v>
          </cell>
          <cell r="AP139">
            <v>180931</v>
          </cell>
          <cell r="AQ139">
            <v>180931</v>
          </cell>
        </row>
        <row r="140">
          <cell r="C140" t="str">
            <v>коп/кВтг</v>
          </cell>
          <cell r="P140">
            <v>0</v>
          </cell>
          <cell r="X140">
            <v>0</v>
          </cell>
          <cell r="AC140">
            <v>0</v>
          </cell>
          <cell r="AJ140">
            <v>0</v>
          </cell>
        </row>
        <row r="141">
          <cell r="P141">
            <v>0</v>
          </cell>
          <cell r="X141">
            <v>0</v>
          </cell>
          <cell r="AC141">
            <v>0</v>
          </cell>
          <cell r="AJ141">
            <v>0</v>
          </cell>
          <cell r="AN141">
            <v>0</v>
          </cell>
          <cell r="AP141">
            <v>0</v>
          </cell>
        </row>
        <row r="142">
          <cell r="P142">
            <v>0</v>
          </cell>
          <cell r="Q142">
            <v>0</v>
          </cell>
          <cell r="X142">
            <v>0</v>
          </cell>
          <cell r="AC142">
            <v>0</v>
          </cell>
          <cell r="AJ142">
            <v>0</v>
          </cell>
          <cell r="AP142">
            <v>2601</v>
          </cell>
        </row>
        <row r="143">
          <cell r="P143">
            <v>0</v>
          </cell>
          <cell r="X143">
            <v>0</v>
          </cell>
          <cell r="AC143">
            <v>0</v>
          </cell>
          <cell r="AJ143">
            <v>0</v>
          </cell>
          <cell r="AN143">
            <v>0</v>
          </cell>
          <cell r="AP143" t="e">
            <v>#REF!</v>
          </cell>
          <cell r="AQ143">
            <v>180931</v>
          </cell>
          <cell r="AR143" t="e">
            <v>#REF!</v>
          </cell>
          <cell r="AU143">
            <v>0</v>
          </cell>
        </row>
        <row r="144">
          <cell r="P144">
            <v>0</v>
          </cell>
          <cell r="X144">
            <v>0</v>
          </cell>
          <cell r="AC144">
            <v>0</v>
          </cell>
          <cell r="AJ144">
            <v>0</v>
          </cell>
          <cell r="AP144">
            <v>0</v>
          </cell>
        </row>
        <row r="145">
          <cell r="P145">
            <v>0</v>
          </cell>
          <cell r="X145">
            <v>0</v>
          </cell>
          <cell r="AC145">
            <v>0</v>
          </cell>
          <cell r="AJ145">
            <v>0</v>
          </cell>
          <cell r="AP145" t="e">
            <v>#REF!</v>
          </cell>
          <cell r="AQ145">
            <v>180931</v>
          </cell>
          <cell r="AR145" t="e">
            <v>#REF!</v>
          </cell>
        </row>
        <row r="146">
          <cell r="P146">
            <v>0</v>
          </cell>
          <cell r="X146">
            <v>0</v>
          </cell>
          <cell r="AC146">
            <v>0</v>
          </cell>
          <cell r="AJ146">
            <v>0</v>
          </cell>
          <cell r="AU146">
            <v>24501</v>
          </cell>
          <cell r="AV146">
            <v>66720</v>
          </cell>
          <cell r="AW146">
            <v>34032.72490909091</v>
          </cell>
          <cell r="AX146" t="e">
            <v>#REF!</v>
          </cell>
        </row>
        <row r="147">
          <cell r="P147">
            <v>0</v>
          </cell>
          <cell r="X147">
            <v>0</v>
          </cell>
          <cell r="AC147">
            <v>0</v>
          </cell>
          <cell r="AJ147">
            <v>0</v>
          </cell>
          <cell r="AP147" t="e">
            <v>#REF!</v>
          </cell>
          <cell r="AQ147" t="e">
            <v>#REF!</v>
          </cell>
          <cell r="AR147" t="e">
            <v>#REF!</v>
          </cell>
        </row>
        <row r="148">
          <cell r="P148">
            <v>0</v>
          </cell>
          <cell r="X148">
            <v>0</v>
          </cell>
          <cell r="AC148">
            <v>0</v>
          </cell>
          <cell r="AJ148">
            <v>0</v>
          </cell>
        </row>
        <row r="149">
          <cell r="C149">
            <v>0</v>
          </cell>
          <cell r="N149">
            <v>0</v>
          </cell>
          <cell r="P149">
            <v>0</v>
          </cell>
          <cell r="Q149">
            <v>0</v>
          </cell>
          <cell r="T149">
            <v>0</v>
          </cell>
          <cell r="X149">
            <v>0</v>
          </cell>
          <cell r="Y149">
            <v>0</v>
          </cell>
          <cell r="AC149">
            <v>0</v>
          </cell>
          <cell r="AJ149">
            <v>0</v>
          </cell>
          <cell r="AN149">
            <v>0</v>
          </cell>
        </row>
        <row r="151">
          <cell r="C151">
            <v>916.24199999999996</v>
          </cell>
          <cell r="N151">
            <v>1295.5</v>
          </cell>
          <cell r="P151">
            <v>-1295.5</v>
          </cell>
          <cell r="Q151">
            <v>2567.7454545454548</v>
          </cell>
          <cell r="S151">
            <v>-2567.7454545454548</v>
          </cell>
          <cell r="T151">
            <v>1558.3090909090909</v>
          </cell>
          <cell r="W151">
            <v>1510</v>
          </cell>
          <cell r="X151">
            <v>-48.309090909090855</v>
          </cell>
          <cell r="Y151">
            <v>1196.7</v>
          </cell>
          <cell r="AC151">
            <v>-1196.7</v>
          </cell>
          <cell r="AD151">
            <v>1791.7636363636364</v>
          </cell>
          <cell r="AE151">
            <v>1791.7636363636364</v>
          </cell>
          <cell r="AF151">
            <v>0</v>
          </cell>
          <cell r="AG151">
            <v>1946</v>
          </cell>
          <cell r="AH151">
            <v>938</v>
          </cell>
          <cell r="AI151">
            <v>0</v>
          </cell>
          <cell r="AJ151">
            <v>154.23636363636365</v>
          </cell>
          <cell r="AN151">
            <v>197</v>
          </cell>
          <cell r="AP151">
            <v>9542.2601818181811</v>
          </cell>
        </row>
        <row r="152">
          <cell r="C152">
            <v>916.24199999999996</v>
          </cell>
        </row>
        <row r="153">
          <cell r="N153">
            <v>2039.3333333333333</v>
          </cell>
          <cell r="O153">
            <v>272</v>
          </cell>
          <cell r="P153">
            <v>-1767.3333333333333</v>
          </cell>
          <cell r="Q153">
            <v>6546.5</v>
          </cell>
          <cell r="R153">
            <v>1487</v>
          </cell>
          <cell r="S153">
            <v>-5059.5</v>
          </cell>
          <cell r="T153">
            <v>3640.0909090909095</v>
          </cell>
          <cell r="U153">
            <v>1435</v>
          </cell>
          <cell r="V153">
            <v>2205.0909090909095</v>
          </cell>
          <cell r="W153">
            <v>831</v>
          </cell>
          <cell r="X153">
            <v>-2809.0909090909095</v>
          </cell>
          <cell r="Y153">
            <v>2323.3636363636365</v>
          </cell>
          <cell r="Z153">
            <v>874</v>
          </cell>
          <cell r="AA153">
            <v>1449.3636363636365</v>
          </cell>
          <cell r="AB153">
            <v>596</v>
          </cell>
          <cell r="AC153">
            <v>-1727.3636363636365</v>
          </cell>
          <cell r="AD153">
            <v>2497</v>
          </cell>
          <cell r="AE153">
            <v>2496.818181818182</v>
          </cell>
          <cell r="AF153">
            <v>0.18181818181824383</v>
          </cell>
          <cell r="AG153">
            <v>437</v>
          </cell>
          <cell r="AH153">
            <v>265</v>
          </cell>
          <cell r="AI153">
            <v>0</v>
          </cell>
          <cell r="AJ153">
            <v>-2060</v>
          </cell>
          <cell r="AN153">
            <v>0</v>
          </cell>
        </row>
        <row r="154">
          <cell r="N154">
            <v>0</v>
          </cell>
          <cell r="P154">
            <v>0</v>
          </cell>
          <cell r="Q154">
            <v>0</v>
          </cell>
          <cell r="S154">
            <v>0</v>
          </cell>
          <cell r="T154">
            <v>70</v>
          </cell>
          <cell r="X154">
            <v>-70</v>
          </cell>
          <cell r="Y154">
            <v>24</v>
          </cell>
          <cell r="AC154">
            <v>-24</v>
          </cell>
          <cell r="AJ154">
            <v>0</v>
          </cell>
          <cell r="AP154" t="e">
            <v>#REF!</v>
          </cell>
        </row>
        <row r="155">
          <cell r="N155">
            <v>0</v>
          </cell>
          <cell r="P155">
            <v>0</v>
          </cell>
          <cell r="Q155">
            <v>0</v>
          </cell>
          <cell r="S155">
            <v>0</v>
          </cell>
          <cell r="T155">
            <v>0</v>
          </cell>
          <cell r="X155">
            <v>0</v>
          </cell>
          <cell r="Y155">
            <v>0</v>
          </cell>
          <cell r="AC155">
            <v>0</v>
          </cell>
          <cell r="AJ155">
            <v>0</v>
          </cell>
          <cell r="AP155" t="e">
            <v>#REF!</v>
          </cell>
        </row>
        <row r="156">
          <cell r="C156" t="e">
            <v>#REF!</v>
          </cell>
          <cell r="N156">
            <v>681</v>
          </cell>
          <cell r="P156">
            <v>-681</v>
          </cell>
          <cell r="Q156">
            <v>1041.8333333333333</v>
          </cell>
          <cell r="S156">
            <v>-1041.8333333333333</v>
          </cell>
          <cell r="T156">
            <v>213</v>
          </cell>
          <cell r="X156">
            <v>-213</v>
          </cell>
          <cell r="Y156">
            <v>1171.0035872727274</v>
          </cell>
          <cell r="AC156">
            <v>-1171.0035872727274</v>
          </cell>
          <cell r="AJ156">
            <v>0</v>
          </cell>
          <cell r="AP156" t="e">
            <v>#REF!</v>
          </cell>
        </row>
        <row r="157">
          <cell r="C157" t="e">
            <v>#REF!</v>
          </cell>
          <cell r="N157">
            <v>47</v>
          </cell>
          <cell r="P157">
            <v>-47</v>
          </cell>
          <cell r="Q157">
            <v>140</v>
          </cell>
          <cell r="S157">
            <v>-140</v>
          </cell>
          <cell r="T157">
            <v>105</v>
          </cell>
          <cell r="X157">
            <v>-105</v>
          </cell>
          <cell r="Y157">
            <v>190</v>
          </cell>
          <cell r="AC157">
            <v>-190</v>
          </cell>
          <cell r="AJ157">
            <v>0</v>
          </cell>
          <cell r="AP157" t="e">
            <v>#REF!</v>
          </cell>
        </row>
        <row r="158">
          <cell r="C158" t="e">
            <v>#REF!</v>
          </cell>
          <cell r="N158">
            <v>1248.5</v>
          </cell>
          <cell r="P158">
            <v>-1248.5</v>
          </cell>
          <cell r="Q158">
            <v>140</v>
          </cell>
          <cell r="S158">
            <v>-140</v>
          </cell>
          <cell r="T158" t="str">
            <v xml:space="preserve">                   КОРИГУВАННЯ   ПЛАНУ   НА   СЕРПЕНЬ  1998 р</v>
          </cell>
          <cell r="X158" t="e">
            <v>#VALUE!</v>
          </cell>
          <cell r="Y158">
            <v>1006.7</v>
          </cell>
          <cell r="AC158">
            <v>-1006.7</v>
          </cell>
          <cell r="AJ158">
            <v>0</v>
          </cell>
          <cell r="AP158" t="e">
            <v>#REF!</v>
          </cell>
        </row>
        <row r="159">
          <cell r="C159" t="e">
            <v>#REF!</v>
          </cell>
          <cell r="N159">
            <v>1295.5</v>
          </cell>
          <cell r="P159">
            <v>-1295.5</v>
          </cell>
          <cell r="Q159">
            <v>280</v>
          </cell>
          <cell r="S159">
            <v>-280</v>
          </cell>
          <cell r="X159">
            <v>0</v>
          </cell>
          <cell r="Y159">
            <v>1196.7</v>
          </cell>
          <cell r="AC159">
            <v>-1196.7</v>
          </cell>
          <cell r="AJ159">
            <v>0</v>
          </cell>
        </row>
        <row r="160">
          <cell r="N160">
            <v>0</v>
          </cell>
          <cell r="P160">
            <v>0</v>
          </cell>
          <cell r="Q160">
            <v>2287.7454545454548</v>
          </cell>
          <cell r="S160">
            <v>-2287.7454545454548</v>
          </cell>
          <cell r="X160">
            <v>0</v>
          </cell>
          <cell r="Y160">
            <v>0</v>
          </cell>
          <cell r="AC160">
            <v>0</v>
          </cell>
          <cell r="AJ160">
            <v>0</v>
          </cell>
          <cell r="AP160" t="e">
            <v>#REF!</v>
          </cell>
        </row>
        <row r="161">
          <cell r="C161" t="e">
            <v>#REF!</v>
          </cell>
          <cell r="N161" t="e">
            <v>#REF!</v>
          </cell>
          <cell r="P161" t="e">
            <v>#REF!</v>
          </cell>
          <cell r="Q161">
            <v>776</v>
          </cell>
          <cell r="S161">
            <v>-776</v>
          </cell>
          <cell r="X161">
            <v>0</v>
          </cell>
          <cell r="Y161" t="e">
            <v>#REF!</v>
          </cell>
          <cell r="AC161" t="e">
            <v>#REF!</v>
          </cell>
          <cell r="AJ161">
            <v>0</v>
          </cell>
          <cell r="AP161" t="e">
            <v>#REF!</v>
          </cell>
        </row>
        <row r="162">
          <cell r="C162">
            <v>-1122</v>
          </cell>
          <cell r="N162">
            <v>15020</v>
          </cell>
          <cell r="O162">
            <v>0</v>
          </cell>
          <cell r="P162">
            <v>-15020</v>
          </cell>
          <cell r="Q162">
            <v>1739.5839999999998</v>
          </cell>
          <cell r="R162">
            <v>800</v>
          </cell>
          <cell r="S162">
            <v>-939.58399999999983</v>
          </cell>
          <cell r="T162">
            <v>2718</v>
          </cell>
          <cell r="U162">
            <v>0</v>
          </cell>
          <cell r="V162">
            <v>0</v>
          </cell>
          <cell r="W162">
            <v>0</v>
          </cell>
          <cell r="X162">
            <v>-2718</v>
          </cell>
          <cell r="Y162">
            <v>1694</v>
          </cell>
          <cell r="Z162">
            <v>0</v>
          </cell>
          <cell r="AA162">
            <v>0</v>
          </cell>
          <cell r="AB162">
            <v>432</v>
          </cell>
          <cell r="AC162">
            <v>-1262</v>
          </cell>
          <cell r="AD162" t="e">
            <v>#REF!</v>
          </cell>
          <cell r="AE162">
            <v>3355</v>
          </cell>
          <cell r="AF162">
            <v>0</v>
          </cell>
          <cell r="AG162">
            <v>0</v>
          </cell>
          <cell r="AH162">
            <v>0</v>
          </cell>
          <cell r="AI162">
            <v>0</v>
          </cell>
          <cell r="AJ162" t="e">
            <v>#REF!</v>
          </cell>
          <cell r="AK162">
            <v>0</v>
          </cell>
          <cell r="AL162">
            <v>0</v>
          </cell>
          <cell r="AM162">
            <v>0</v>
          </cell>
          <cell r="AN162" t="e">
            <v>#REF!</v>
          </cell>
          <cell r="AO162">
            <v>1616</v>
          </cell>
          <cell r="AP162" t="e">
            <v>#REF!</v>
          </cell>
          <cell r="AS162">
            <v>2048</v>
          </cell>
        </row>
        <row r="163">
          <cell r="C163">
            <v>0</v>
          </cell>
          <cell r="N163">
            <v>0.20800000000000018</v>
          </cell>
          <cell r="O163">
            <v>0</v>
          </cell>
          <cell r="P163">
            <v>-0.20800000000000018</v>
          </cell>
          <cell r="Q163">
            <v>-0.23600000000000065</v>
          </cell>
          <cell r="R163">
            <v>154</v>
          </cell>
          <cell r="S163">
            <v>154.23599999999999</v>
          </cell>
          <cell r="T163">
            <v>-0.42800000000000082</v>
          </cell>
          <cell r="U163">
            <v>0</v>
          </cell>
          <cell r="V163">
            <v>0</v>
          </cell>
          <cell r="W163">
            <v>79</v>
          </cell>
          <cell r="X163">
            <v>79.427999999999997</v>
          </cell>
          <cell r="Y163">
            <v>6.799999999999784E-2</v>
          </cell>
          <cell r="Z163">
            <v>0</v>
          </cell>
          <cell r="AA163">
            <v>0</v>
          </cell>
          <cell r="AB163">
            <v>86</v>
          </cell>
          <cell r="AC163">
            <v>85.932000000000002</v>
          </cell>
          <cell r="AD163">
            <v>0.28399999999999892</v>
          </cell>
          <cell r="AE163">
            <v>0.28399999999999892</v>
          </cell>
          <cell r="AF163">
            <v>0</v>
          </cell>
          <cell r="AG163">
            <v>30</v>
          </cell>
          <cell r="AH163">
            <v>30</v>
          </cell>
          <cell r="AI163">
            <v>0</v>
          </cell>
          <cell r="AJ163">
            <v>29.716000000000001</v>
          </cell>
          <cell r="AK163">
            <v>0</v>
          </cell>
          <cell r="AL163">
            <v>0</v>
          </cell>
          <cell r="AM163">
            <v>0</v>
          </cell>
          <cell r="AN163" t="e">
            <v>#REF!</v>
          </cell>
          <cell r="AO163">
            <v>0</v>
          </cell>
          <cell r="AP163" t="e">
            <v>#REF!</v>
          </cell>
          <cell r="AS163">
            <v>195</v>
          </cell>
        </row>
        <row r="164">
          <cell r="C164">
            <v>1416.2</v>
          </cell>
          <cell r="N164">
            <v>11176.222727272727</v>
          </cell>
          <cell r="O164">
            <v>2062</v>
          </cell>
          <cell r="P164">
            <v>-9114.2227272727268</v>
          </cell>
          <cell r="Q164">
            <v>22385.220909090909</v>
          </cell>
          <cell r="R164">
            <v>5523</v>
          </cell>
          <cell r="S164">
            <v>-16862.220909090909</v>
          </cell>
          <cell r="T164">
            <v>8424.2482727272745</v>
          </cell>
          <cell r="U164">
            <v>3221</v>
          </cell>
          <cell r="V164">
            <v>5203.2482727272736</v>
          </cell>
          <cell r="W164">
            <v>2210</v>
          </cell>
          <cell r="X164">
            <v>-6214.2482727272745</v>
          </cell>
          <cell r="Y164">
            <v>6912.2272727272721</v>
          </cell>
          <cell r="Z164">
            <v>2495</v>
          </cell>
          <cell r="AA164">
            <v>4417.227272727273</v>
          </cell>
          <cell r="AB164">
            <v>1749</v>
          </cell>
          <cell r="AC164">
            <v>-5163.2272727272721</v>
          </cell>
          <cell r="AD164">
            <v>20329.88636363636</v>
          </cell>
          <cell r="AE164">
            <v>18490.863636363636</v>
          </cell>
          <cell r="AF164">
            <v>1839.0227272727263</v>
          </cell>
          <cell r="AG164">
            <v>4464</v>
          </cell>
          <cell r="AH164">
            <v>3202</v>
          </cell>
          <cell r="AI164">
            <v>427</v>
          </cell>
          <cell r="AJ164">
            <v>-15865.88636363636</v>
          </cell>
          <cell r="AK164">
            <v>0</v>
          </cell>
          <cell r="AL164">
            <v>0</v>
          </cell>
          <cell r="AM164">
            <v>0</v>
          </cell>
          <cell r="AN164" t="e">
            <v>#REF!</v>
          </cell>
          <cell r="AO164">
            <v>0</v>
          </cell>
          <cell r="AP164" t="e">
            <v>#REF!</v>
          </cell>
          <cell r="AS164">
            <v>13703</v>
          </cell>
        </row>
        <row r="165">
          <cell r="C165">
            <v>37</v>
          </cell>
          <cell r="N165">
            <v>24</v>
          </cell>
          <cell r="O165">
            <v>51</v>
          </cell>
          <cell r="P165">
            <v>27</v>
          </cell>
          <cell r="Q165">
            <v>186.06666666666663</v>
          </cell>
          <cell r="R165">
            <v>62</v>
          </cell>
          <cell r="S165">
            <v>-124.06666666666663</v>
          </cell>
          <cell r="T165">
            <v>7992.3333333333339</v>
          </cell>
          <cell r="U165">
            <v>3406</v>
          </cell>
          <cell r="V165">
            <v>4586.3333333333339</v>
          </cell>
          <cell r="W165">
            <v>2464</v>
          </cell>
          <cell r="X165">
            <v>-5528.3333333333339</v>
          </cell>
          <cell r="Y165">
            <v>548.13333333333333</v>
          </cell>
          <cell r="Z165">
            <v>57</v>
          </cell>
          <cell r="AA165">
            <v>101.20000000000002</v>
          </cell>
          <cell r="AB165">
            <v>27</v>
          </cell>
          <cell r="AC165">
            <v>-521.13333333333333</v>
          </cell>
          <cell r="AD165">
            <v>153.6</v>
          </cell>
          <cell r="AE165">
            <v>146</v>
          </cell>
          <cell r="AF165">
            <v>7.6</v>
          </cell>
          <cell r="AG165">
            <v>44</v>
          </cell>
          <cell r="AH165">
            <v>15</v>
          </cell>
          <cell r="AI165">
            <v>29</v>
          </cell>
          <cell r="AJ165">
            <v>-109.6</v>
          </cell>
          <cell r="AK165">
            <v>0</v>
          </cell>
          <cell r="AL165">
            <v>0</v>
          </cell>
          <cell r="AM165">
            <v>0</v>
          </cell>
          <cell r="AN165">
            <v>19</v>
          </cell>
          <cell r="AO165">
            <v>0</v>
          </cell>
          <cell r="AP165">
            <v>8857.5333333333328</v>
          </cell>
          <cell r="AS165">
            <v>2610</v>
          </cell>
        </row>
        <row r="166">
          <cell r="C166">
            <v>7793.7580000000007</v>
          </cell>
          <cell r="N166">
            <v>5722.1093333333374</v>
          </cell>
          <cell r="Q166">
            <v>78586.828333333353</v>
          </cell>
          <cell r="T166">
            <v>18305.244000000013</v>
          </cell>
          <cell r="Y166">
            <v>12965.886666666664</v>
          </cell>
          <cell r="AE166">
            <v>20061.354000000007</v>
          </cell>
          <cell r="AG166">
            <v>2466</v>
          </cell>
          <cell r="AH166">
            <v>2561</v>
          </cell>
          <cell r="AN166" t="e">
            <v>#REF!</v>
          </cell>
          <cell r="AP166" t="e">
            <v>#REF!</v>
          </cell>
        </row>
        <row r="167">
          <cell r="C167" t="e">
            <v>#REF!</v>
          </cell>
          <cell r="N167">
            <v>6372</v>
          </cell>
        </row>
        <row r="168">
          <cell r="C168" t="e">
            <v>#REF!</v>
          </cell>
        </row>
        <row r="169">
          <cell r="C169" t="e">
            <v>#REF!</v>
          </cell>
        </row>
        <row r="170">
          <cell r="AV170">
            <v>1507.2</v>
          </cell>
        </row>
        <row r="173">
          <cell r="C173" t="str">
            <v>АПАРАТ ВСЬОГО</v>
          </cell>
          <cell r="D173" t="str">
            <v>АПАРАТ ЕЛЕКТРО</v>
          </cell>
          <cell r="E173" t="str">
            <v>АПАРАТ ТЕПЛО</v>
          </cell>
          <cell r="N173" t="str">
            <v>ККМ</v>
          </cell>
          <cell r="Q173" t="str">
            <v>КТМ</v>
          </cell>
          <cell r="U173">
            <v>250</v>
          </cell>
          <cell r="Y173" t="str">
            <v>ТЕЦ-6 ВСЬОГО</v>
          </cell>
          <cell r="Z173" t="str">
            <v>Е/Е</v>
          </cell>
          <cell r="AA173" t="str">
            <v xml:space="preserve"> Т/Е</v>
          </cell>
          <cell r="AN173" t="str">
            <v>ДОП.ВИР. СТ.ОРГ.</v>
          </cell>
          <cell r="AP173" t="str">
            <v>АК КЕ ВСЬОГО</v>
          </cell>
          <cell r="AQ173" t="str">
            <v>Е/Е</v>
          </cell>
          <cell r="AR173" t="str">
            <v xml:space="preserve"> Т/Е</v>
          </cell>
          <cell r="AU173" t="str">
            <v>очикуваемАК КЕ ВСЬОГО</v>
          </cell>
          <cell r="AV173" t="str">
            <v>Е/Е</v>
          </cell>
          <cell r="AW173" t="str">
            <v xml:space="preserve"> Т/Е</v>
          </cell>
        </row>
        <row r="174">
          <cell r="C174">
            <v>1.895</v>
          </cell>
          <cell r="N174">
            <v>1.847</v>
          </cell>
          <cell r="Q174">
            <v>1.895</v>
          </cell>
          <cell r="U174">
            <v>1.895</v>
          </cell>
          <cell r="V174">
            <v>1.895</v>
          </cell>
          <cell r="Y174">
            <v>1.895</v>
          </cell>
          <cell r="Z174">
            <v>1.895</v>
          </cell>
          <cell r="AA174">
            <v>1.895</v>
          </cell>
          <cell r="AN174">
            <v>1.895</v>
          </cell>
          <cell r="AP174">
            <v>1.895</v>
          </cell>
          <cell r="AQ174">
            <v>1.895</v>
          </cell>
          <cell r="AU174">
            <v>1.905</v>
          </cell>
          <cell r="AV174">
            <v>1.895</v>
          </cell>
        </row>
        <row r="176">
          <cell r="Q176">
            <v>132.19999999999999</v>
          </cell>
          <cell r="Y176">
            <v>68.7</v>
          </cell>
          <cell r="AP176">
            <v>200.89999999999998</v>
          </cell>
          <cell r="AU176">
            <v>251.12700000000001</v>
          </cell>
        </row>
        <row r="177">
          <cell r="Q177">
            <v>150.5</v>
          </cell>
          <cell r="U177">
            <v>150.5</v>
          </cell>
          <cell r="Y177">
            <v>78.3</v>
          </cell>
          <cell r="AP177">
            <v>228.8</v>
          </cell>
          <cell r="AU177">
            <v>288.28500000000003</v>
          </cell>
        </row>
        <row r="178">
          <cell r="N178">
            <v>0</v>
          </cell>
          <cell r="Q178">
            <v>82.5</v>
          </cell>
          <cell r="U178">
            <v>82.5</v>
          </cell>
          <cell r="Y178">
            <v>82.5</v>
          </cell>
          <cell r="AP178">
            <v>82.5</v>
          </cell>
          <cell r="AU178">
            <v>66</v>
          </cell>
        </row>
        <row r="179">
          <cell r="N179">
            <v>0</v>
          </cell>
          <cell r="Q179">
            <v>156.34</v>
          </cell>
          <cell r="U179">
            <v>156.34</v>
          </cell>
          <cell r="Y179">
            <v>156.34</v>
          </cell>
          <cell r="AP179">
            <v>156.34</v>
          </cell>
          <cell r="AU179">
            <v>125.73</v>
          </cell>
        </row>
        <row r="180">
          <cell r="Q180">
            <v>20668</v>
          </cell>
          <cell r="U180">
            <v>0</v>
          </cell>
          <cell r="Y180">
            <v>10741</v>
          </cell>
          <cell r="AP180">
            <v>31409</v>
          </cell>
          <cell r="AU180">
            <v>31574</v>
          </cell>
        </row>
        <row r="181">
          <cell r="AP181">
            <v>31409</v>
          </cell>
          <cell r="AU181" t="e">
            <v>#REF!</v>
          </cell>
        </row>
        <row r="182">
          <cell r="Q182">
            <v>0</v>
          </cell>
          <cell r="U182">
            <v>0</v>
          </cell>
          <cell r="Y182">
            <v>52.1</v>
          </cell>
          <cell r="AP182">
            <v>52.1</v>
          </cell>
          <cell r="AU182">
            <v>67.933000000000007</v>
          </cell>
        </row>
        <row r="183">
          <cell r="Q183">
            <v>0</v>
          </cell>
          <cell r="U183">
            <v>0</v>
          </cell>
          <cell r="Y183">
            <v>71.3</v>
          </cell>
          <cell r="AP183">
            <v>71.3</v>
          </cell>
          <cell r="AU183">
            <v>91.201999999999998</v>
          </cell>
        </row>
        <row r="184">
          <cell r="C184">
            <v>75</v>
          </cell>
          <cell r="N184">
            <v>75</v>
          </cell>
          <cell r="AN184">
            <v>0</v>
          </cell>
          <cell r="AP184">
            <v>98.96042216358839</v>
          </cell>
          <cell r="AU184">
            <v>98.96042216358839</v>
          </cell>
        </row>
        <row r="185">
          <cell r="Q185">
            <v>187.53</v>
          </cell>
          <cell r="U185">
            <v>0</v>
          </cell>
          <cell r="Y185">
            <v>187.53</v>
          </cell>
          <cell r="AP185">
            <v>187.53</v>
          </cell>
          <cell r="AU185">
            <v>187.53</v>
          </cell>
        </row>
        <row r="186">
          <cell r="Q186">
            <v>0</v>
          </cell>
          <cell r="T186">
            <v>0</v>
          </cell>
          <cell r="Y186">
            <v>9770</v>
          </cell>
          <cell r="AP186">
            <v>9770</v>
          </cell>
          <cell r="AU186">
            <v>12739</v>
          </cell>
        </row>
        <row r="187">
          <cell r="AP187">
            <v>9770</v>
          </cell>
          <cell r="AU187" t="e">
            <v>#REF!</v>
          </cell>
        </row>
        <row r="188">
          <cell r="Q188">
            <v>150.5</v>
          </cell>
          <cell r="T188">
            <v>0</v>
          </cell>
          <cell r="U188">
            <v>51.4</v>
          </cell>
          <cell r="V188">
            <v>-51.4</v>
          </cell>
          <cell r="Y188">
            <v>149.6</v>
          </cell>
          <cell r="Z188">
            <v>52.7</v>
          </cell>
          <cell r="AA188">
            <v>96.899999999999991</v>
          </cell>
          <cell r="AP188">
            <v>300.10000000000002</v>
          </cell>
          <cell r="AQ188">
            <v>104.1</v>
          </cell>
          <cell r="AR188">
            <v>196</v>
          </cell>
          <cell r="AU188">
            <v>379.48700000000002</v>
          </cell>
          <cell r="AV188">
            <v>83.676000000000002</v>
          </cell>
          <cell r="AW188">
            <v>295.81100000000004</v>
          </cell>
        </row>
        <row r="189">
          <cell r="Q189">
            <v>20668</v>
          </cell>
          <cell r="T189">
            <v>0</v>
          </cell>
          <cell r="U189" t="e">
            <v>#DIV/0!</v>
          </cell>
          <cell r="V189" t="e">
            <v>#DIV/0!</v>
          </cell>
          <cell r="Y189">
            <v>20511</v>
          </cell>
          <cell r="Z189">
            <v>7225</v>
          </cell>
          <cell r="AA189">
            <v>13286</v>
          </cell>
          <cell r="AP189" t="e">
            <v>#DIV/0!</v>
          </cell>
          <cell r="AQ189" t="e">
            <v>#DIV/0!</v>
          </cell>
          <cell r="AR189" t="e">
            <v>#DIV/0!</v>
          </cell>
          <cell r="AU189">
            <v>44313</v>
          </cell>
          <cell r="AV189">
            <v>9770.9133329995493</v>
          </cell>
          <cell r="AW189">
            <v>34542.086667000447</v>
          </cell>
        </row>
        <row r="190">
          <cell r="Q190">
            <v>137.33000000000001</v>
          </cell>
          <cell r="T190" t="e">
            <v>#DIV/0!</v>
          </cell>
          <cell r="U190" t="e">
            <v>#DIV/0!</v>
          </cell>
          <cell r="V190" t="e">
            <v>#DIV/0!</v>
          </cell>
          <cell r="Y190">
            <v>137.11000000000001</v>
          </cell>
          <cell r="Z190">
            <v>137.1</v>
          </cell>
          <cell r="AA190">
            <v>137.11000000000001</v>
          </cell>
          <cell r="AN190">
            <v>0</v>
          </cell>
          <cell r="AP190" t="e">
            <v>#DIV/0!</v>
          </cell>
          <cell r="AQ190" t="e">
            <v>#DIV/0!</v>
          </cell>
          <cell r="AR190" t="e">
            <v>#DIV/0!</v>
          </cell>
          <cell r="AU190">
            <v>116.77</v>
          </cell>
          <cell r="AV190">
            <v>116.77</v>
          </cell>
          <cell r="AW190">
            <v>116.77</v>
          </cell>
        </row>
        <row r="191">
          <cell r="AP191">
            <v>0</v>
          </cell>
          <cell r="AQ191">
            <v>0</v>
          </cell>
          <cell r="AR191">
            <v>0</v>
          </cell>
          <cell r="AU191">
            <v>0</v>
          </cell>
          <cell r="AV191">
            <v>0</v>
          </cell>
          <cell r="AW191">
            <v>0</v>
          </cell>
        </row>
        <row r="192">
          <cell r="T192" t="e">
            <v>#DIV/0!</v>
          </cell>
          <cell r="Y192">
            <v>20511</v>
          </cell>
          <cell r="AP192" t="e">
            <v>#DIV/0!</v>
          </cell>
          <cell r="AQ192" t="e">
            <v>#DIV/0!</v>
          </cell>
          <cell r="AR192" t="e">
            <v>#DIV/0!</v>
          </cell>
          <cell r="AU192">
            <v>44313</v>
          </cell>
          <cell r="AV192">
            <v>9770.9133329995493</v>
          </cell>
          <cell r="AW192">
            <v>34542.086667000447</v>
          </cell>
        </row>
        <row r="195">
          <cell r="T195" t="str">
            <v>ТЕЦ-5 ВСЬОГО</v>
          </cell>
          <cell r="U195" t="str">
            <v>Е/Е</v>
          </cell>
          <cell r="V195" t="str">
            <v xml:space="preserve"> Т/Е</v>
          </cell>
          <cell r="Y195" t="str">
            <v>ТЕЦ-6 ВСЬОГО</v>
          </cell>
          <cell r="Z195" t="str">
            <v>Е/Е</v>
          </cell>
          <cell r="AA195" t="str">
            <v xml:space="preserve"> Т/Е</v>
          </cell>
          <cell r="AP195" t="str">
            <v>АК КЕ ВСЬОГО</v>
          </cell>
          <cell r="AQ195" t="str">
            <v>Е/Е</v>
          </cell>
          <cell r="AR195" t="str">
            <v xml:space="preserve"> Т/Е</v>
          </cell>
        </row>
        <row r="196">
          <cell r="U196">
            <v>291.85000000000002</v>
          </cell>
          <cell r="V196">
            <v>750</v>
          </cell>
          <cell r="Z196">
            <v>268.14999999999998</v>
          </cell>
          <cell r="AA196">
            <v>590</v>
          </cell>
        </row>
        <row r="197">
          <cell r="U197">
            <v>176.1</v>
          </cell>
          <cell r="V197">
            <v>163.6</v>
          </cell>
          <cell r="Z197">
            <v>196.5</v>
          </cell>
          <cell r="AA197">
            <v>164.2</v>
          </cell>
        </row>
        <row r="198">
          <cell r="U198">
            <v>306.60000000000002</v>
          </cell>
          <cell r="V198">
            <v>112.8</v>
          </cell>
          <cell r="Z198">
            <v>301.89999999999998</v>
          </cell>
          <cell r="AA198">
            <v>116.3</v>
          </cell>
        </row>
        <row r="199">
          <cell r="U199">
            <v>130.50000000000003</v>
          </cell>
          <cell r="V199">
            <v>-50.8</v>
          </cell>
          <cell r="Z199">
            <v>105.39999999999998</v>
          </cell>
          <cell r="AA199">
            <v>-47.899999999999991</v>
          </cell>
        </row>
        <row r="200">
          <cell r="U200" t="e">
            <v>#DIV/0!</v>
          </cell>
          <cell r="V200" t="e">
            <v>#DIV/0!</v>
          </cell>
          <cell r="Z200">
            <v>137.1</v>
          </cell>
          <cell r="AA200">
            <v>137.11000000000001</v>
          </cell>
        </row>
        <row r="201">
          <cell r="U201" t="e">
            <v>#DIV/0!</v>
          </cell>
          <cell r="V201" t="e">
            <v>#DIV/0!</v>
          </cell>
          <cell r="Z201">
            <v>14.450339999999997</v>
          </cell>
          <cell r="AA201">
            <v>-6.5675689999999998</v>
          </cell>
        </row>
        <row r="202">
          <cell r="U202" t="e">
            <v>#DIV/0!</v>
          </cell>
          <cell r="V202" t="e">
            <v>#DIV/0!</v>
          </cell>
          <cell r="Z202">
            <v>3874.858670999999</v>
          </cell>
          <cell r="AA202">
            <v>-3874.86571</v>
          </cell>
          <cell r="AQ202" t="e">
            <v>#DIV/0!</v>
          </cell>
          <cell r="AR202" t="e">
            <v>#DIV/0!</v>
          </cell>
        </row>
        <row r="204">
          <cell r="AV204">
            <v>1507.2</v>
          </cell>
        </row>
        <row r="218">
          <cell r="Y218" t="str">
            <v>ЗАТВЕРДЖУЮ</v>
          </cell>
        </row>
        <row r="219">
          <cell r="Y219" t="str">
            <v>ГОЛОВА ПРАЛІННЯ АК КЕ</v>
          </cell>
        </row>
        <row r="220">
          <cell r="Z220" t="str">
            <v>І.В.ПЛАЧКОВ</v>
          </cell>
        </row>
        <row r="221">
          <cell r="C221" t="str">
            <v>ПОТРЕБА   В КОШТАХ НА  1 КВАРТАЛ 1998 року</v>
          </cell>
        </row>
        <row r="222">
          <cell r="C222" t="str">
            <v>ПО ФІЛІАЛАХ АК КИЇВЕНЕРГО</v>
          </cell>
        </row>
        <row r="224">
          <cell r="C224" t="str">
            <v>ВИКОН.ДИР.</v>
          </cell>
          <cell r="D224" t="str">
            <v>АПАРАТ ЕЛЕКТРО</v>
          </cell>
          <cell r="E224" t="str">
            <v>АПАРАТ ТЕПЛО</v>
          </cell>
          <cell r="N224" t="str">
            <v>ККМ</v>
          </cell>
          <cell r="Q224" t="str">
            <v>КТМ</v>
          </cell>
          <cell r="T224" t="str">
            <v>ТЕЦ-5 ВСЬОГО</v>
          </cell>
          <cell r="U224" t="str">
            <v>Е/Е</v>
          </cell>
          <cell r="V224" t="str">
            <v xml:space="preserve"> Т/Е</v>
          </cell>
          <cell r="Y224" t="str">
            <v>ТЕЦ-6 ВСЬОГО</v>
          </cell>
          <cell r="Z224" t="str">
            <v>Е/Е</v>
          </cell>
          <cell r="AA224" t="str">
            <v xml:space="preserve"> Т/Е</v>
          </cell>
          <cell r="AN224" t="str">
            <v>ДОП.ВИР. СТ.ОРГ.</v>
          </cell>
          <cell r="AP224" t="str">
            <v>АК КЕ ВСЬОГО</v>
          </cell>
          <cell r="AQ224" t="str">
            <v>Е/Е</v>
          </cell>
          <cell r="AR224" t="str">
            <v xml:space="preserve"> Т/Е</v>
          </cell>
          <cell r="AU224" t="str">
            <v>СТАНЦІї ЕЛЕКТРО</v>
          </cell>
          <cell r="AV224" t="str">
            <v>СТАНЦІІ ТЕПЛОВІ</v>
          </cell>
          <cell r="AW224" t="str">
            <v>МЕРЕЖІ ЕЛЕКТРО</v>
          </cell>
          <cell r="AX224" t="str">
            <v>МЕРЕЖІ ТЕПЛОВІ</v>
          </cell>
        </row>
        <row r="227">
          <cell r="C227" t="e">
            <v>#REF!</v>
          </cell>
          <cell r="N227" t="e">
            <v>#REF!</v>
          </cell>
          <cell r="Q227">
            <v>86041.709363636386</v>
          </cell>
          <cell r="T227">
            <v>39612.645787878799</v>
          </cell>
          <cell r="Y227" t="e">
            <v>#REF!</v>
          </cell>
          <cell r="AN227" t="e">
            <v>#REF!</v>
          </cell>
          <cell r="AP227" t="e">
            <v>#REF!</v>
          </cell>
          <cell r="AQ227" t="e">
            <v>#REF!</v>
          </cell>
        </row>
        <row r="228">
          <cell r="C228" t="e">
            <v>#REF!</v>
          </cell>
          <cell r="N228" t="e">
            <v>#REF!</v>
          </cell>
          <cell r="Q228">
            <v>34634.131121212144</v>
          </cell>
          <cell r="T228">
            <v>21030.919515151523</v>
          </cell>
          <cell r="Y228" t="e">
            <v>#REF!</v>
          </cell>
          <cell r="AP228" t="e">
            <v>#REF!</v>
          </cell>
          <cell r="AQ228" t="e">
            <v>#REF!</v>
          </cell>
        </row>
        <row r="230">
          <cell r="C230">
            <v>1416.2</v>
          </cell>
          <cell r="N230">
            <v>11176.222727272727</v>
          </cell>
          <cell r="Q230">
            <v>22385.220909090909</v>
          </cell>
          <cell r="T230">
            <v>8424.2482727272745</v>
          </cell>
          <cell r="Y230">
            <v>6912.2272727272721</v>
          </cell>
          <cell r="AN230" t="e">
            <v>#REF!</v>
          </cell>
          <cell r="AP230" t="e">
            <v>#REF!</v>
          </cell>
          <cell r="AQ230" t="e">
            <v>#REF!</v>
          </cell>
        </row>
        <row r="231">
          <cell r="C231">
            <v>426.54545454545456</v>
          </cell>
          <cell r="N231">
            <v>3769</v>
          </cell>
          <cell r="Q231">
            <v>6104</v>
          </cell>
          <cell r="T231">
            <v>2297</v>
          </cell>
          <cell r="Y231">
            <v>1885</v>
          </cell>
          <cell r="AP231" t="e">
            <v>#REF!</v>
          </cell>
          <cell r="AQ231" t="e">
            <v>#REF!</v>
          </cell>
        </row>
        <row r="232">
          <cell r="AQ232" t="e">
            <v>#REF!</v>
          </cell>
        </row>
        <row r="233">
          <cell r="C233">
            <v>0</v>
          </cell>
          <cell r="N233">
            <v>0</v>
          </cell>
          <cell r="Q233">
            <v>176.46666666666664</v>
          </cell>
          <cell r="T233">
            <v>7822.4000000000005</v>
          </cell>
          <cell r="Y233">
            <v>158.20000000000002</v>
          </cell>
          <cell r="AP233">
            <v>8161.0666666666666</v>
          </cell>
          <cell r="AQ233" t="e">
            <v>#REF!</v>
          </cell>
        </row>
        <row r="234">
          <cell r="C234">
            <v>0</v>
          </cell>
          <cell r="N234">
            <v>0</v>
          </cell>
          <cell r="Q234">
            <v>0</v>
          </cell>
          <cell r="T234">
            <v>0</v>
          </cell>
          <cell r="Y234">
            <v>0</v>
          </cell>
          <cell r="AP234">
            <v>19</v>
          </cell>
          <cell r="AQ234" t="e">
            <v>#REF!</v>
          </cell>
        </row>
        <row r="235">
          <cell r="C235">
            <v>609</v>
          </cell>
          <cell r="N235">
            <v>0</v>
          </cell>
          <cell r="Q235">
            <v>526.04999999999995</v>
          </cell>
          <cell r="T235">
            <v>0</v>
          </cell>
          <cell r="Y235">
            <v>0</v>
          </cell>
          <cell r="AP235" t="e">
            <v>#REF!</v>
          </cell>
          <cell r="AQ235" t="e">
            <v>#REF!</v>
          </cell>
        </row>
        <row r="236">
          <cell r="AQ236" t="e">
            <v>#REF!</v>
          </cell>
        </row>
        <row r="237">
          <cell r="C237">
            <v>-1122</v>
          </cell>
          <cell r="N237">
            <v>15020</v>
          </cell>
          <cell r="Q237">
            <v>1739.5839999999998</v>
          </cell>
          <cell r="T237">
            <v>2718</v>
          </cell>
          <cell r="Y237">
            <v>1694</v>
          </cell>
          <cell r="AP237" t="e">
            <v>#REF!</v>
          </cell>
          <cell r="AQ237" t="e">
            <v>#REF!</v>
          </cell>
        </row>
        <row r="238">
          <cell r="C238">
            <v>916.24199999999996</v>
          </cell>
          <cell r="N238">
            <v>0</v>
          </cell>
          <cell r="Q238">
            <v>0</v>
          </cell>
          <cell r="T238">
            <v>0</v>
          </cell>
          <cell r="Y238">
            <v>0</v>
          </cell>
          <cell r="AP238">
            <v>0</v>
          </cell>
          <cell r="AQ238" t="e">
            <v>#REF!</v>
          </cell>
        </row>
        <row r="239">
          <cell r="AQ239" t="e">
            <v>#REF!</v>
          </cell>
        </row>
        <row r="240">
          <cell r="C240" t="e">
            <v>#REF!</v>
          </cell>
          <cell r="N240" t="e">
            <v>#REF!</v>
          </cell>
          <cell r="Q240">
            <v>776</v>
          </cell>
          <cell r="T240">
            <v>0</v>
          </cell>
          <cell r="Y240" t="e">
            <v>#REF!</v>
          </cell>
          <cell r="AP240" t="e">
            <v>#REF!</v>
          </cell>
          <cell r="AQ240" t="e">
            <v>#REF!</v>
          </cell>
        </row>
        <row r="241">
          <cell r="AQ241" t="e">
            <v>#REF!</v>
          </cell>
        </row>
        <row r="242">
          <cell r="AQ242" t="e">
            <v>#REF!</v>
          </cell>
        </row>
        <row r="243">
          <cell r="C243">
            <v>1252</v>
          </cell>
          <cell r="N243">
            <v>3964</v>
          </cell>
          <cell r="Q243">
            <v>7771</v>
          </cell>
          <cell r="T243">
            <v>1077.2586666666666</v>
          </cell>
          <cell r="Y243">
            <v>917.22533333333331</v>
          </cell>
          <cell r="AP243">
            <v>19218.366500142667</v>
          </cell>
          <cell r="AQ243" t="e">
            <v>#REF!</v>
          </cell>
        </row>
        <row r="244">
          <cell r="C244">
            <v>521</v>
          </cell>
          <cell r="N244">
            <v>143</v>
          </cell>
          <cell r="Q244">
            <v>963</v>
          </cell>
          <cell r="T244">
            <v>492.62666666666667</v>
          </cell>
          <cell r="Y244">
            <v>480.78399999999999</v>
          </cell>
          <cell r="AP244">
            <v>2816.6078749021572</v>
          </cell>
          <cell r="AQ244" t="e">
            <v>#REF!</v>
          </cell>
        </row>
        <row r="245">
          <cell r="AQ245" t="e">
            <v>#REF!</v>
          </cell>
        </row>
        <row r="246">
          <cell r="C246">
            <v>2</v>
          </cell>
          <cell r="N246">
            <v>1</v>
          </cell>
          <cell r="Q246">
            <v>0</v>
          </cell>
          <cell r="T246">
            <v>285.19266666666664</v>
          </cell>
          <cell r="Y246">
            <v>-46.472000000000008</v>
          </cell>
          <cell r="AP246">
            <v>241.72066666666663</v>
          </cell>
          <cell r="AQ246" t="e">
            <v>#REF!</v>
          </cell>
        </row>
        <row r="247">
          <cell r="C247">
            <v>67</v>
          </cell>
          <cell r="N247">
            <v>439.28600000000006</v>
          </cell>
          <cell r="Q247">
            <v>19570.890666666666</v>
          </cell>
          <cell r="T247">
            <v>0</v>
          </cell>
          <cell r="Y247">
            <v>0</v>
          </cell>
          <cell r="AP247">
            <v>23495.848666666665</v>
          </cell>
          <cell r="AQ247" t="e">
            <v>#REF!</v>
          </cell>
        </row>
        <row r="248">
          <cell r="C248">
            <v>0</v>
          </cell>
          <cell r="N248">
            <v>0</v>
          </cell>
          <cell r="Q248">
            <v>0</v>
          </cell>
          <cell r="T248">
            <v>0</v>
          </cell>
          <cell r="Y248">
            <v>0</v>
          </cell>
          <cell r="AP248">
            <v>658.33066666666662</v>
          </cell>
          <cell r="AQ248" t="e">
            <v>#REF!</v>
          </cell>
        </row>
        <row r="249">
          <cell r="C249">
            <v>948</v>
          </cell>
          <cell r="N249">
            <v>0</v>
          </cell>
          <cell r="Q249">
            <v>0</v>
          </cell>
          <cell r="T249">
            <v>0</v>
          </cell>
          <cell r="Y249">
            <v>18</v>
          </cell>
          <cell r="AP249">
            <v>966</v>
          </cell>
          <cell r="AQ249" t="e">
            <v>#REF!</v>
          </cell>
        </row>
        <row r="250">
          <cell r="C250">
            <v>0</v>
          </cell>
          <cell r="N250">
            <v>0.20800000000000018</v>
          </cell>
          <cell r="Q250">
            <v>0.76399999999998158</v>
          </cell>
          <cell r="T250">
            <v>-0.42800000000000082</v>
          </cell>
          <cell r="Y250">
            <v>6.799999999999784E-2</v>
          </cell>
          <cell r="AP250" t="e">
            <v>#REF!</v>
          </cell>
          <cell r="AQ250" t="e">
            <v>#REF!</v>
          </cell>
        </row>
        <row r="251">
          <cell r="C251">
            <v>0</v>
          </cell>
          <cell r="N251">
            <v>0.19200000000000017</v>
          </cell>
          <cell r="Q251">
            <v>-0.32000000000000028</v>
          </cell>
          <cell r="T251">
            <v>-0.3360000000000003</v>
          </cell>
          <cell r="Y251">
            <v>0.28000000000000114</v>
          </cell>
          <cell r="AP251" t="e">
            <v>#REF!</v>
          </cell>
          <cell r="AQ251" t="e">
            <v>#REF!</v>
          </cell>
        </row>
        <row r="252">
          <cell r="C252" t="e">
            <v>#REF!</v>
          </cell>
          <cell r="N252" t="e">
            <v>#REF!</v>
          </cell>
          <cell r="Q252">
            <v>31592.053121212139</v>
          </cell>
          <cell r="T252">
            <v>18313.683515151522</v>
          </cell>
          <cell r="Y252" t="e">
            <v>#REF!</v>
          </cell>
          <cell r="AP252" t="e">
            <v>#REF!</v>
          </cell>
          <cell r="AQ252" t="e">
            <v>#REF!</v>
          </cell>
        </row>
        <row r="253">
          <cell r="Q253">
            <v>541</v>
          </cell>
          <cell r="T253">
            <v>480</v>
          </cell>
          <cell r="Y253">
            <v>44</v>
          </cell>
          <cell r="AP253">
            <v>524</v>
          </cell>
          <cell r="AQ253" t="e">
            <v>#REF!</v>
          </cell>
        </row>
        <row r="293">
          <cell r="T293" t="str">
            <v>Собівартість</v>
          </cell>
        </row>
        <row r="294">
          <cell r="V294">
            <v>-25</v>
          </cell>
        </row>
        <row r="295">
          <cell r="V295">
            <v>-1.375</v>
          </cell>
        </row>
        <row r="296">
          <cell r="V296">
            <v>-8</v>
          </cell>
        </row>
        <row r="297">
          <cell r="V297">
            <v>-2.1590909090909096</v>
          </cell>
        </row>
        <row r="303">
          <cell r="T303" t="str">
            <v>ФМЗ ( з відрахуван)</v>
          </cell>
          <cell r="V303">
            <v>25</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ow r="1">
          <cell r="L1" t="str">
            <v>п</v>
          </cell>
        </row>
      </sheetData>
      <sheetData sheetId="72"/>
      <sheetData sheetId="73">
        <row r="1">
          <cell r="L1" t="str">
            <v>п</v>
          </cell>
        </row>
      </sheetData>
      <sheetData sheetId="74">
        <row r="1">
          <cell r="L1" t="str">
            <v>п</v>
          </cell>
        </row>
      </sheetData>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ables/table1.xml><?xml version="1.0" encoding="utf-8"?>
<table xmlns="http://schemas.openxmlformats.org/spreadsheetml/2006/main" id="1" name="Таблица52" displayName="Таблица52" ref="A2:S487" totalsRowCount="1" headerRowDxfId="39" tableBorderDxfId="38">
  <autoFilter ref="A2:S486"/>
  <tableColumns count="19">
    <tableColumn id="1" name="№ з/п" totalsRowLabel="Итог" dataDxfId="37" totalsRowDxfId="36"/>
    <tableColumn id="3" name="Адреса житлового та нежитлового приміщення ( вулиця, будинок, корпус)" dataDxfId="35" totalsRowDxfId="34"/>
    <tableColumn id="4" name="Найменування споживача" dataDxfId="33" totalsRowDxfId="32"/>
    <tableColumn id="5" name="Категорія споживачів" dataDxfId="31" totalsRowDxfId="30"/>
    <tableColumn id="6" name="Кількість поверхів*" dataDxfId="29" totalsRowDxfId="28"/>
    <tableColumn id="7" name="Рік введення в експлуатацію*" dataDxfId="27" totalsRowDxfId="26"/>
    <tableColumn id="8" name="Наявність будинкових приладів обліку теплової енергії на потреби опалення (наявний/ відсутній)" dataDxfId="25" totalsRowDxfId="24"/>
    <tableColumn id="9" name="Наявність будинкових приладів  обліку теплової енергії на постачання гарячої води (наявний/ відсутній)" dataDxfId="23" totalsRowDxfId="22"/>
    <tableColumn id="10" name="Кількість абонентів послуги постачання теплової енергії" totalsRowFunction="sum" dataDxfId="21" totalsRowDxfId="20"/>
    <tableColumn id="11" name="Зокрема за квартирними засобами обліку теплової енергії" dataDxfId="19" totalsRowDxfId="18"/>
    <tableColumn id="12" name="Кількість абонентів які отримують послугу з постачання гарячої води, усього," dataDxfId="17" totalsRowDxfId="16"/>
    <tableColumn id="13" name="Зокрема з квартирними засобами обліку гарячого водопостачання" dataDxfId="15" totalsRowDxfId="14"/>
    <tableColumn id="14" name="Загальна опалювальна площа приміщень житлового будинку усього, тис. м.кв." totalsRowFunction="sum" dataDxfId="13" totalsRowDxfId="12" dataCellStyle="Финансовый">
      <calculatedColumnFormula>N3+O3+P3</calculatedColumnFormula>
    </tableColumn>
    <tableColumn id="15" name="Загальна опалювальна площа житлових приміщень (квартир), де надається послуга з постачання теплової енергії, тис.м.кв." totalsRowFunction="sum" dataDxfId="11" totalsRowDxfId="10"/>
    <tableColumn id="16" name="Загальна опалювальна площа приміщень з автономним опаленням, тис.м.кв." totalsRowFunction="sum" dataDxfId="9" totalsRowDxfId="8"/>
    <tableColumn id="17" name="Загальна опалювальна площа вбудованих приміщень юридичних осіб , тис.м.кв." totalsRowFunction="sum" dataDxfId="7" totalsRowDxfId="6"/>
    <tableColumn id="18" name="Загальна опалювальна площа окремо розміщуваних будівель, тис.кв.м" totalsRowFunction="sum" dataDxfId="5" totalsRowDxfId="4"/>
    <tableColumn id="19" name="Максим. тепл. навантаження, Гкал/год" totalsRowFunction="sum" dataDxfId="3" totalsRowDxfId="2"/>
    <tableColumn id="20" name="Річна потреба всього, Гкал" totalsRowFunction="sum" dataDxfId="1" totalsRowDxfId="0">
      <calculatedColumnFormula>R3*24*158*((18-3.4)/36)</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O72"/>
  <sheetViews>
    <sheetView showFormulas="1" view="pageBreakPreview" zoomScale="40" zoomScaleNormal="100" zoomScaleSheetLayoutView="40" workbookViewId="0">
      <selection activeCell="T24" sqref="T24"/>
    </sheetView>
  </sheetViews>
  <sheetFormatPr defaultRowHeight="15"/>
  <cols>
    <col min="1" max="1" width="4.140625" customWidth="1"/>
    <col min="2" max="2" width="28" customWidth="1"/>
    <col min="3" max="3" width="7.85546875" customWidth="1"/>
    <col min="4" max="4" width="8.85546875" customWidth="1"/>
    <col min="6" max="6" width="10.5703125" customWidth="1"/>
    <col min="9" max="11" width="8.42578125" customWidth="1"/>
    <col min="15" max="15" width="11.7109375" customWidth="1"/>
  </cols>
  <sheetData>
    <row r="1" spans="1:15" s="3" customFormat="1" ht="13.9" customHeight="1">
      <c r="K1" s="57"/>
      <c r="L1" s="57"/>
      <c r="M1" s="57"/>
      <c r="N1" s="57"/>
      <c r="O1" s="56" t="s">
        <v>280</v>
      </c>
    </row>
    <row r="2" spans="1:15" s="3" customFormat="1">
      <c r="J2" s="59"/>
      <c r="K2" s="57"/>
      <c r="L2" s="57"/>
      <c r="M2" s="57"/>
      <c r="N2" s="57"/>
      <c r="O2" s="57"/>
    </row>
    <row r="3" spans="1:15" s="3" customFormat="1">
      <c r="A3" s="619" t="s">
        <v>282</v>
      </c>
      <c r="B3" s="619"/>
      <c r="C3" s="619"/>
      <c r="D3" s="619"/>
      <c r="E3" s="619"/>
      <c r="F3" s="619"/>
      <c r="G3" s="619"/>
      <c r="H3" s="619"/>
      <c r="I3" s="619"/>
      <c r="J3" s="619"/>
      <c r="K3" s="619"/>
      <c r="L3" s="619"/>
      <c r="M3" s="619"/>
      <c r="N3" s="619"/>
      <c r="O3" s="619"/>
    </row>
    <row r="4" spans="1:15" s="3" customFormat="1">
      <c r="A4" s="619" t="s">
        <v>281</v>
      </c>
      <c r="B4" s="619"/>
      <c r="C4" s="619"/>
      <c r="D4" s="619"/>
      <c r="E4" s="619"/>
      <c r="F4" s="619"/>
      <c r="G4" s="619"/>
      <c r="H4" s="619"/>
      <c r="I4" s="619"/>
      <c r="J4" s="619"/>
      <c r="K4" s="619"/>
      <c r="L4" s="619"/>
      <c r="M4" s="619"/>
      <c r="N4" s="619"/>
      <c r="O4" s="619"/>
    </row>
    <row r="5" spans="1:15" s="3" customFormat="1">
      <c r="A5" s="620" t="e">
        <f>#REF!</f>
        <v>#REF!</v>
      </c>
      <c r="B5" s="620"/>
      <c r="C5" s="620"/>
      <c r="D5" s="620"/>
      <c r="E5" s="620"/>
      <c r="F5" s="620"/>
      <c r="G5" s="620"/>
      <c r="H5" s="620"/>
      <c r="I5" s="620"/>
      <c r="J5" s="620"/>
      <c r="K5" s="620"/>
      <c r="L5" s="620"/>
      <c r="M5" s="620"/>
      <c r="N5" s="620"/>
      <c r="O5" s="620"/>
    </row>
    <row r="6" spans="1:15" s="3" customFormat="1" ht="18">
      <c r="A6" s="621" t="s">
        <v>138</v>
      </c>
      <c r="B6" s="621"/>
      <c r="C6" s="621"/>
      <c r="D6" s="621"/>
      <c r="E6" s="621"/>
      <c r="F6" s="621"/>
      <c r="G6" s="621"/>
      <c r="H6" s="621"/>
      <c r="I6" s="621"/>
      <c r="J6" s="621"/>
      <c r="K6" s="621"/>
      <c r="L6" s="621"/>
      <c r="M6" s="621"/>
      <c r="N6" s="621"/>
      <c r="O6" s="621"/>
    </row>
    <row r="7" spans="1:15" s="3" customFormat="1">
      <c r="A7" s="622" t="s">
        <v>134</v>
      </c>
      <c r="B7" s="623"/>
      <c r="C7" s="623"/>
      <c r="D7" s="623"/>
      <c r="E7" s="623"/>
      <c r="F7" s="623"/>
      <c r="G7" s="623"/>
      <c r="H7" s="623"/>
      <c r="I7" s="623"/>
      <c r="J7" s="623"/>
      <c r="K7" s="623"/>
      <c r="L7" s="623"/>
      <c r="M7" s="623"/>
      <c r="N7" s="623"/>
      <c r="O7" s="623"/>
    </row>
    <row r="8" spans="1:15" s="3" customFormat="1">
      <c r="A8" s="629" t="s">
        <v>135</v>
      </c>
      <c r="B8" s="629"/>
      <c r="C8" s="629"/>
      <c r="D8" s="629"/>
      <c r="E8" s="629"/>
      <c r="F8" s="629"/>
      <c r="G8" s="629"/>
      <c r="H8" s="629"/>
      <c r="I8" s="629"/>
      <c r="J8" s="629"/>
      <c r="K8" s="629"/>
      <c r="L8" s="629"/>
      <c r="M8" s="629"/>
      <c r="N8" s="629"/>
      <c r="O8" s="629"/>
    </row>
    <row r="9" spans="1:15" s="3" customFormat="1"/>
    <row r="10" spans="1:15" ht="36" customHeight="1">
      <c r="A10" s="609" t="s">
        <v>4</v>
      </c>
      <c r="B10" s="609" t="s">
        <v>124</v>
      </c>
      <c r="C10" s="613" t="s">
        <v>102</v>
      </c>
      <c r="D10" s="613" t="s">
        <v>103</v>
      </c>
      <c r="E10" s="613" t="s">
        <v>125</v>
      </c>
      <c r="F10" s="613" t="s">
        <v>104</v>
      </c>
      <c r="G10" s="613" t="s">
        <v>105</v>
      </c>
      <c r="H10" s="613" t="s">
        <v>126</v>
      </c>
      <c r="I10" s="613" t="s">
        <v>106</v>
      </c>
      <c r="J10" s="613" t="s">
        <v>127</v>
      </c>
      <c r="K10" s="613" t="s">
        <v>128</v>
      </c>
      <c r="L10" s="609" t="s">
        <v>107</v>
      </c>
      <c r="M10" s="609"/>
      <c r="N10" s="609"/>
      <c r="O10" s="628" t="s">
        <v>129</v>
      </c>
    </row>
    <row r="11" spans="1:15" ht="149.25" customHeight="1">
      <c r="A11" s="630"/>
      <c r="B11" s="630"/>
      <c r="C11" s="614"/>
      <c r="D11" s="614"/>
      <c r="E11" s="614"/>
      <c r="F11" s="614"/>
      <c r="G11" s="614"/>
      <c r="H11" s="614"/>
      <c r="I11" s="614"/>
      <c r="J11" s="614"/>
      <c r="K11" s="614"/>
      <c r="L11" s="9" t="s">
        <v>136</v>
      </c>
      <c r="M11" s="2" t="s">
        <v>131</v>
      </c>
      <c r="N11" s="2" t="s">
        <v>137</v>
      </c>
      <c r="O11" s="614"/>
    </row>
    <row r="12" spans="1:15" s="5" customFormat="1">
      <c r="A12" s="7">
        <v>1</v>
      </c>
      <c r="B12" s="7">
        <v>2</v>
      </c>
      <c r="C12" s="7">
        <v>3</v>
      </c>
      <c r="D12" s="7">
        <v>4</v>
      </c>
      <c r="E12" s="7">
        <v>5</v>
      </c>
      <c r="F12" s="7">
        <v>6</v>
      </c>
      <c r="G12" s="7">
        <v>7</v>
      </c>
      <c r="H12" s="7" t="s">
        <v>35</v>
      </c>
      <c r="I12" s="7">
        <v>8</v>
      </c>
      <c r="J12" s="7" t="s">
        <v>59</v>
      </c>
      <c r="K12" s="7">
        <v>9</v>
      </c>
      <c r="L12" s="7" t="s">
        <v>63</v>
      </c>
      <c r="M12" s="7" t="s">
        <v>79</v>
      </c>
      <c r="N12" s="7" t="s">
        <v>130</v>
      </c>
      <c r="O12" s="7">
        <v>10</v>
      </c>
    </row>
    <row r="13" spans="1:15">
      <c r="A13" s="1">
        <v>1</v>
      </c>
      <c r="B13" s="8"/>
      <c r="C13" s="64">
        <v>7</v>
      </c>
      <c r="D13" s="60"/>
      <c r="E13" s="60" t="s">
        <v>283</v>
      </c>
      <c r="F13" s="60" t="s">
        <v>283</v>
      </c>
      <c r="G13" s="64">
        <v>1</v>
      </c>
      <c r="H13" s="64">
        <v>1</v>
      </c>
      <c r="I13" s="64">
        <v>1</v>
      </c>
      <c r="J13" s="64">
        <v>1</v>
      </c>
      <c r="K13" s="61">
        <f>SUM(L13:N13)</f>
        <v>0</v>
      </c>
      <c r="L13" s="1"/>
      <c r="M13" s="1"/>
      <c r="N13" s="1"/>
      <c r="O13" s="1"/>
    </row>
    <row r="14" spans="1:15">
      <c r="A14" s="1">
        <v>2</v>
      </c>
      <c r="B14" s="8"/>
      <c r="C14" s="64">
        <v>8</v>
      </c>
      <c r="D14" s="60"/>
      <c r="E14" s="60" t="s">
        <v>284</v>
      </c>
      <c r="F14" s="60" t="s">
        <v>284</v>
      </c>
      <c r="G14" s="64">
        <v>7</v>
      </c>
      <c r="H14" s="64"/>
      <c r="I14" s="64"/>
      <c r="J14" s="64"/>
      <c r="K14" s="61">
        <f t="shared" ref="K14:K38" si="0">SUM(L14:N14)</f>
        <v>0</v>
      </c>
      <c r="L14" s="1"/>
      <c r="M14" s="1"/>
      <c r="N14" s="1"/>
      <c r="O14" s="1"/>
    </row>
    <row r="15" spans="1:15">
      <c r="A15" s="1">
        <v>3</v>
      </c>
      <c r="B15" s="8"/>
      <c r="C15" s="1"/>
      <c r="D15" s="1"/>
      <c r="E15" s="1"/>
      <c r="F15" s="1"/>
      <c r="G15" s="1"/>
      <c r="H15" s="1"/>
      <c r="I15" s="1"/>
      <c r="J15" s="1"/>
      <c r="K15" s="61">
        <f t="shared" si="0"/>
        <v>0</v>
      </c>
      <c r="L15" s="1"/>
      <c r="M15" s="1"/>
      <c r="N15" s="1"/>
      <c r="O15" s="1"/>
    </row>
    <row r="16" spans="1:15">
      <c r="A16" s="1">
        <v>4</v>
      </c>
      <c r="B16" s="8"/>
      <c r="C16" s="1"/>
      <c r="D16" s="1"/>
      <c r="E16" s="1"/>
      <c r="F16" s="1"/>
      <c r="G16" s="1"/>
      <c r="H16" s="1"/>
      <c r="I16" s="1"/>
      <c r="J16" s="1"/>
      <c r="K16" s="61">
        <f t="shared" si="0"/>
        <v>0</v>
      </c>
      <c r="L16" s="1"/>
      <c r="M16" s="1"/>
      <c r="N16" s="1"/>
      <c r="O16" s="1"/>
    </row>
    <row r="17" spans="1:15">
      <c r="A17" s="1">
        <v>5</v>
      </c>
      <c r="B17" s="8"/>
      <c r="C17" s="1"/>
      <c r="D17" s="1"/>
      <c r="E17" s="1"/>
      <c r="F17" s="1"/>
      <c r="G17" s="1"/>
      <c r="H17" s="1"/>
      <c r="I17" s="1"/>
      <c r="J17" s="1"/>
      <c r="K17" s="61">
        <f t="shared" si="0"/>
        <v>0</v>
      </c>
      <c r="L17" s="1"/>
      <c r="M17" s="1"/>
      <c r="N17" s="1"/>
      <c r="O17" s="1"/>
    </row>
    <row r="18" spans="1:15">
      <c r="A18" s="1">
        <v>6</v>
      </c>
      <c r="B18" s="8"/>
      <c r="C18" s="1"/>
      <c r="D18" s="1"/>
      <c r="E18" s="1"/>
      <c r="F18" s="1"/>
      <c r="G18" s="1"/>
      <c r="H18" s="1"/>
      <c r="I18" s="1"/>
      <c r="J18" s="1"/>
      <c r="K18" s="61">
        <f t="shared" si="0"/>
        <v>0</v>
      </c>
      <c r="L18" s="1"/>
      <c r="M18" s="1"/>
      <c r="N18" s="1"/>
      <c r="O18" s="1"/>
    </row>
    <row r="19" spans="1:15">
      <c r="A19" s="1">
        <v>7</v>
      </c>
      <c r="B19" s="8"/>
      <c r="C19" s="1"/>
      <c r="D19" s="1"/>
      <c r="E19" s="1"/>
      <c r="F19" s="1"/>
      <c r="G19" s="1"/>
      <c r="H19" s="1"/>
      <c r="I19" s="1"/>
      <c r="J19" s="1"/>
      <c r="K19" s="61">
        <f t="shared" si="0"/>
        <v>0</v>
      </c>
      <c r="L19" s="1"/>
      <c r="M19" s="1"/>
      <c r="N19" s="1"/>
      <c r="O19" s="1"/>
    </row>
    <row r="20" spans="1:15">
      <c r="A20" s="58"/>
      <c r="B20" s="8"/>
      <c r="C20" s="58"/>
      <c r="D20" s="58"/>
      <c r="E20" s="58"/>
      <c r="F20" s="58"/>
      <c r="G20" s="58"/>
      <c r="H20" s="58"/>
      <c r="I20" s="58"/>
      <c r="J20" s="58"/>
      <c r="K20" s="61">
        <f t="shared" si="0"/>
        <v>0</v>
      </c>
      <c r="L20" s="58"/>
      <c r="M20" s="58"/>
      <c r="N20" s="58"/>
      <c r="O20" s="58"/>
    </row>
    <row r="21" spans="1:15">
      <c r="A21" s="58"/>
      <c r="B21" s="8"/>
      <c r="C21" s="58"/>
      <c r="D21" s="58"/>
      <c r="E21" s="58"/>
      <c r="F21" s="58"/>
      <c r="G21" s="58"/>
      <c r="H21" s="58"/>
      <c r="I21" s="58"/>
      <c r="J21" s="58"/>
      <c r="K21" s="61">
        <f t="shared" si="0"/>
        <v>0</v>
      </c>
      <c r="L21" s="58"/>
      <c r="M21" s="58"/>
      <c r="N21" s="58"/>
      <c r="O21" s="58"/>
    </row>
    <row r="22" spans="1:15">
      <c r="A22" s="58"/>
      <c r="B22" s="8"/>
      <c r="C22" s="58"/>
      <c r="D22" s="58"/>
      <c r="E22" s="58"/>
      <c r="F22" s="58"/>
      <c r="G22" s="58"/>
      <c r="H22" s="58"/>
      <c r="I22" s="58"/>
      <c r="J22" s="58"/>
      <c r="K22" s="61">
        <f t="shared" si="0"/>
        <v>0</v>
      </c>
      <c r="L22" s="58"/>
      <c r="M22" s="58"/>
      <c r="N22" s="58"/>
      <c r="O22" s="58"/>
    </row>
    <row r="23" spans="1:15">
      <c r="A23" s="58"/>
      <c r="B23" s="8"/>
      <c r="C23" s="58"/>
      <c r="D23" s="58"/>
      <c r="E23" s="58"/>
      <c r="F23" s="58"/>
      <c r="G23" s="58"/>
      <c r="H23" s="58"/>
      <c r="I23" s="58"/>
      <c r="J23" s="58"/>
      <c r="K23" s="61">
        <f t="shared" si="0"/>
        <v>0</v>
      </c>
      <c r="L23" s="58"/>
      <c r="M23" s="58"/>
      <c r="N23" s="58"/>
      <c r="O23" s="58"/>
    </row>
    <row r="24" spans="1:15">
      <c r="A24" s="58"/>
      <c r="B24" s="8"/>
      <c r="C24" s="58"/>
      <c r="D24" s="58"/>
      <c r="E24" s="58"/>
      <c r="F24" s="58"/>
      <c r="G24" s="58"/>
      <c r="H24" s="58"/>
      <c r="I24" s="58"/>
      <c r="J24" s="58"/>
      <c r="K24" s="61">
        <f t="shared" si="0"/>
        <v>0</v>
      </c>
      <c r="L24" s="58"/>
      <c r="M24" s="58"/>
      <c r="N24" s="58"/>
      <c r="O24" s="58"/>
    </row>
    <row r="25" spans="1:15">
      <c r="A25" s="58"/>
      <c r="B25" s="8"/>
      <c r="C25" s="58"/>
      <c r="D25" s="58"/>
      <c r="E25" s="58"/>
      <c r="F25" s="58"/>
      <c r="G25" s="58"/>
      <c r="H25" s="58"/>
      <c r="I25" s="58"/>
      <c r="J25" s="58"/>
      <c r="K25" s="61">
        <f t="shared" si="0"/>
        <v>0</v>
      </c>
      <c r="L25" s="58"/>
      <c r="M25" s="58"/>
      <c r="N25" s="58"/>
      <c r="O25" s="58"/>
    </row>
    <row r="26" spans="1:15">
      <c r="A26" s="58"/>
      <c r="B26" s="8"/>
      <c r="C26" s="58"/>
      <c r="D26" s="58"/>
      <c r="E26" s="58"/>
      <c r="F26" s="58"/>
      <c r="G26" s="58"/>
      <c r="H26" s="58"/>
      <c r="I26" s="58"/>
      <c r="J26" s="58"/>
      <c r="K26" s="61">
        <f t="shared" si="0"/>
        <v>0</v>
      </c>
      <c r="L26" s="58"/>
      <c r="M26" s="58"/>
      <c r="N26" s="58"/>
      <c r="O26" s="58"/>
    </row>
    <row r="27" spans="1:15">
      <c r="A27" s="58"/>
      <c r="B27" s="8"/>
      <c r="C27" s="58"/>
      <c r="D27" s="58"/>
      <c r="E27" s="58"/>
      <c r="F27" s="58"/>
      <c r="G27" s="58"/>
      <c r="H27" s="58"/>
      <c r="I27" s="58"/>
      <c r="J27" s="58"/>
      <c r="K27" s="61">
        <f t="shared" si="0"/>
        <v>0</v>
      </c>
      <c r="L27" s="58"/>
      <c r="M27" s="58"/>
      <c r="N27" s="58"/>
      <c r="O27" s="58"/>
    </row>
    <row r="28" spans="1:15">
      <c r="A28" s="58"/>
      <c r="B28" s="8"/>
      <c r="C28" s="58"/>
      <c r="D28" s="58"/>
      <c r="E28" s="58"/>
      <c r="F28" s="58"/>
      <c r="G28" s="58"/>
      <c r="H28" s="58"/>
      <c r="I28" s="58"/>
      <c r="J28" s="58"/>
      <c r="K28" s="61">
        <f t="shared" si="0"/>
        <v>0</v>
      </c>
      <c r="L28" s="58"/>
      <c r="M28" s="58"/>
      <c r="N28" s="58"/>
      <c r="O28" s="58"/>
    </row>
    <row r="29" spans="1:15">
      <c r="A29" s="58"/>
      <c r="B29" s="8"/>
      <c r="C29" s="58"/>
      <c r="D29" s="58"/>
      <c r="E29" s="58"/>
      <c r="F29" s="58"/>
      <c r="G29" s="58"/>
      <c r="H29" s="58"/>
      <c r="I29" s="58"/>
      <c r="J29" s="58"/>
      <c r="K29" s="61">
        <f t="shared" si="0"/>
        <v>0</v>
      </c>
      <c r="L29" s="58"/>
      <c r="M29" s="58"/>
      <c r="N29" s="58"/>
      <c r="O29" s="58"/>
    </row>
    <row r="30" spans="1:15">
      <c r="A30" s="58"/>
      <c r="B30" s="8"/>
      <c r="C30" s="58"/>
      <c r="D30" s="58"/>
      <c r="E30" s="58"/>
      <c r="F30" s="58"/>
      <c r="G30" s="58"/>
      <c r="H30" s="58"/>
      <c r="I30" s="58"/>
      <c r="J30" s="58"/>
      <c r="K30" s="61">
        <f t="shared" si="0"/>
        <v>0</v>
      </c>
      <c r="L30" s="58"/>
      <c r="M30" s="58"/>
      <c r="N30" s="58"/>
      <c r="O30" s="58"/>
    </row>
    <row r="31" spans="1:15">
      <c r="A31" s="58"/>
      <c r="B31" s="8"/>
      <c r="C31" s="58"/>
      <c r="D31" s="58"/>
      <c r="E31" s="58"/>
      <c r="F31" s="58"/>
      <c r="G31" s="58"/>
      <c r="H31" s="58"/>
      <c r="I31" s="58"/>
      <c r="J31" s="58"/>
      <c r="K31" s="61">
        <f t="shared" si="0"/>
        <v>0</v>
      </c>
      <c r="L31" s="58"/>
      <c r="M31" s="58"/>
      <c r="N31" s="58"/>
      <c r="O31" s="58"/>
    </row>
    <row r="32" spans="1:15">
      <c r="A32" s="58"/>
      <c r="B32" s="8"/>
      <c r="C32" s="58"/>
      <c r="D32" s="58"/>
      <c r="E32" s="58"/>
      <c r="F32" s="58"/>
      <c r="G32" s="58"/>
      <c r="H32" s="58"/>
      <c r="I32" s="58"/>
      <c r="J32" s="58"/>
      <c r="K32" s="61">
        <f t="shared" si="0"/>
        <v>0</v>
      </c>
      <c r="L32" s="58"/>
      <c r="M32" s="58"/>
      <c r="N32" s="58"/>
      <c r="O32" s="58"/>
    </row>
    <row r="33" spans="1:15">
      <c r="A33" s="58"/>
      <c r="B33" s="8"/>
      <c r="C33" s="58"/>
      <c r="D33" s="58"/>
      <c r="E33" s="58"/>
      <c r="F33" s="58"/>
      <c r="G33" s="58"/>
      <c r="H33" s="58"/>
      <c r="I33" s="58"/>
      <c r="J33" s="58"/>
      <c r="K33" s="61">
        <f t="shared" si="0"/>
        <v>0</v>
      </c>
      <c r="L33" s="58"/>
      <c r="M33" s="58"/>
      <c r="N33" s="58"/>
      <c r="O33" s="58"/>
    </row>
    <row r="34" spans="1:15">
      <c r="A34" s="58"/>
      <c r="B34" s="8"/>
      <c r="C34" s="58"/>
      <c r="D34" s="58"/>
      <c r="E34" s="58"/>
      <c r="F34" s="58"/>
      <c r="G34" s="58"/>
      <c r="H34" s="58"/>
      <c r="I34" s="58"/>
      <c r="J34" s="58"/>
      <c r="K34" s="61">
        <f t="shared" si="0"/>
        <v>0</v>
      </c>
      <c r="L34" s="58"/>
      <c r="M34" s="58"/>
      <c r="N34" s="58"/>
      <c r="O34" s="58"/>
    </row>
    <row r="35" spans="1:15">
      <c r="A35" s="58"/>
      <c r="B35" s="8"/>
      <c r="C35" s="58"/>
      <c r="D35" s="58"/>
      <c r="E35" s="58"/>
      <c r="F35" s="58"/>
      <c r="G35" s="58"/>
      <c r="H35" s="58"/>
      <c r="I35" s="58"/>
      <c r="J35" s="58"/>
      <c r="K35" s="61">
        <f t="shared" si="0"/>
        <v>0</v>
      </c>
      <c r="L35" s="58"/>
      <c r="M35" s="58"/>
      <c r="N35" s="58"/>
      <c r="O35" s="58"/>
    </row>
    <row r="36" spans="1:15">
      <c r="A36" s="58"/>
      <c r="B36" s="8"/>
      <c r="C36" s="58"/>
      <c r="D36" s="58"/>
      <c r="E36" s="58"/>
      <c r="F36" s="58"/>
      <c r="G36" s="58"/>
      <c r="H36" s="58"/>
      <c r="I36" s="58"/>
      <c r="J36" s="58"/>
      <c r="K36" s="61">
        <f t="shared" si="0"/>
        <v>0</v>
      </c>
      <c r="L36" s="58"/>
      <c r="M36" s="58"/>
      <c r="N36" s="58"/>
      <c r="O36" s="58"/>
    </row>
    <row r="37" spans="1:15">
      <c r="A37" s="58"/>
      <c r="B37" s="8"/>
      <c r="C37" s="58"/>
      <c r="D37" s="58"/>
      <c r="E37" s="58"/>
      <c r="F37" s="58"/>
      <c r="G37" s="58"/>
      <c r="H37" s="58"/>
      <c r="I37" s="58"/>
      <c r="J37" s="58"/>
      <c r="K37" s="61">
        <f t="shared" si="0"/>
        <v>0</v>
      </c>
      <c r="L37" s="58"/>
      <c r="M37" s="58"/>
      <c r="N37" s="58"/>
      <c r="O37" s="58"/>
    </row>
    <row r="38" spans="1:15">
      <c r="A38" s="58"/>
      <c r="B38" s="8"/>
      <c r="C38" s="58"/>
      <c r="D38" s="58"/>
      <c r="E38" s="58"/>
      <c r="F38" s="58"/>
      <c r="G38" s="58"/>
      <c r="H38" s="58"/>
      <c r="I38" s="58"/>
      <c r="J38" s="58"/>
      <c r="K38" s="61">
        <f t="shared" si="0"/>
        <v>0</v>
      </c>
      <c r="L38" s="58"/>
      <c r="M38" s="58"/>
      <c r="N38" s="58"/>
      <c r="O38" s="58"/>
    </row>
    <row r="39" spans="1:15">
      <c r="A39" s="1"/>
      <c r="B39" s="8" t="s">
        <v>108</v>
      </c>
      <c r="C39" s="1" t="s">
        <v>90</v>
      </c>
      <c r="D39" s="1" t="s">
        <v>90</v>
      </c>
      <c r="E39" s="1" t="s">
        <v>90</v>
      </c>
      <c r="F39" s="1" t="s">
        <v>90</v>
      </c>
      <c r="G39" s="62">
        <f>SUM(G13:G38)</f>
        <v>8</v>
      </c>
      <c r="H39" s="62">
        <f t="shared" ref="H39:O39" si="1">SUM(H13:H38)</f>
        <v>1</v>
      </c>
      <c r="I39" s="62">
        <f t="shared" si="1"/>
        <v>1</v>
      </c>
      <c r="J39" s="62">
        <f t="shared" si="1"/>
        <v>1</v>
      </c>
      <c r="K39" s="62">
        <f t="shared" si="1"/>
        <v>0</v>
      </c>
      <c r="L39" s="62">
        <f t="shared" si="1"/>
        <v>0</v>
      </c>
      <c r="M39" s="62">
        <f t="shared" si="1"/>
        <v>0</v>
      </c>
      <c r="N39" s="62">
        <f t="shared" si="1"/>
        <v>0</v>
      </c>
      <c r="O39" s="62">
        <f t="shared" si="1"/>
        <v>0</v>
      </c>
    </row>
    <row r="40" spans="1:15" ht="51">
      <c r="A40" s="624"/>
      <c r="B40" s="55" t="s">
        <v>279</v>
      </c>
      <c r="C40" s="1" t="s">
        <v>90</v>
      </c>
      <c r="D40" s="1" t="s">
        <v>90</v>
      </c>
      <c r="E40" s="1" t="s">
        <v>90</v>
      </c>
      <c r="F40" s="1" t="s">
        <v>90</v>
      </c>
      <c r="G40" s="61">
        <f>SUM(G41:G43)</f>
        <v>8</v>
      </c>
      <c r="H40" s="61">
        <f t="shared" ref="H40:O40" ca="1" si="2">SUM(H41:H43)</f>
        <v>1</v>
      </c>
      <c r="I40" s="61">
        <f t="shared" si="2"/>
        <v>1</v>
      </c>
      <c r="J40" s="61">
        <f t="shared" si="2"/>
        <v>1</v>
      </c>
      <c r="K40" s="61">
        <f t="shared" si="2"/>
        <v>0</v>
      </c>
      <c r="L40" s="61">
        <f t="shared" si="2"/>
        <v>0</v>
      </c>
      <c r="M40" s="61">
        <f t="shared" si="2"/>
        <v>0</v>
      </c>
      <c r="N40" s="61">
        <f t="shared" si="2"/>
        <v>0</v>
      </c>
      <c r="O40" s="61">
        <f t="shared" si="2"/>
        <v>0</v>
      </c>
    </row>
    <row r="41" spans="1:15">
      <c r="A41" s="625"/>
      <c r="B41" s="8" t="s">
        <v>109</v>
      </c>
      <c r="C41" s="1" t="s">
        <v>90</v>
      </c>
      <c r="D41" s="1" t="s">
        <v>90</v>
      </c>
      <c r="E41" s="1" t="s">
        <v>90</v>
      </c>
      <c r="F41" s="1" t="s">
        <v>90</v>
      </c>
      <c r="G41" s="61">
        <f>SUMIF($C13:$C38,"1",$G13:$G38)+SUMIF($C13:$C38,"2",$G13:$G38)</f>
        <v>0</v>
      </c>
      <c r="H41" s="61">
        <f>SUMIF($C13:$C38,"1",$H13:$H38)+SUMIF($C13:$C38,"2",$H13:$H38)</f>
        <v>0</v>
      </c>
      <c r="I41" s="61">
        <f>SUMIF($C13:$C38,"1",$I13:$I38)+SUMIF($C13:$C38,"2",$I13:$I38)</f>
        <v>0</v>
      </c>
      <c r="J41" s="61">
        <f>SUMIF($C13:$C38,"1",$J13:$J38)+SUMIF($C13:$C38,"2",$J13:$J38)</f>
        <v>0</v>
      </c>
      <c r="K41" s="1"/>
      <c r="L41" s="1"/>
      <c r="M41" s="1"/>
      <c r="N41" s="1"/>
      <c r="O41" s="1"/>
    </row>
    <row r="42" spans="1:15">
      <c r="A42" s="625"/>
      <c r="B42" s="8" t="s">
        <v>110</v>
      </c>
      <c r="C42" s="1" t="s">
        <v>90</v>
      </c>
      <c r="D42" s="1" t="s">
        <v>90</v>
      </c>
      <c r="E42" s="1" t="s">
        <v>90</v>
      </c>
      <c r="F42" s="1" t="s">
        <v>90</v>
      </c>
      <c r="G42" s="61">
        <f>SUMIF($C13:$C38,"3",$G13:$G38)+SUMIF($C13:$C38,"4",$G13:$G38)</f>
        <v>0</v>
      </c>
      <c r="H42" s="61">
        <f ca="1">SUMIF($C13:$C38,"3",$H13:$H38)+SUMIF($C13:$C39,"4",$H13:$H38)</f>
        <v>0</v>
      </c>
      <c r="I42" s="61">
        <f>SUMIF($C13:$C38,"3",$I13:$I38)+SUMIF($C13:$C38,"4",$I13:$I38)</f>
        <v>0</v>
      </c>
      <c r="J42" s="61">
        <f>SUMIF($C13:$C38,"3",$J13:$J38)+SUMIF($C13:$C38,"4",$J13:$J38)</f>
        <v>0</v>
      </c>
      <c r="K42" s="1"/>
      <c r="L42" s="1"/>
      <c r="M42" s="1"/>
      <c r="N42" s="1"/>
      <c r="O42" s="1"/>
    </row>
    <row r="43" spans="1:15">
      <c r="A43" s="625"/>
      <c r="B43" s="63" t="s">
        <v>111</v>
      </c>
      <c r="C43" s="64" t="s">
        <v>90</v>
      </c>
      <c r="D43" s="64" t="s">
        <v>90</v>
      </c>
      <c r="E43" s="64" t="s">
        <v>90</v>
      </c>
      <c r="F43" s="64" t="s">
        <v>90</v>
      </c>
      <c r="G43" s="64">
        <f>G39-G41-G42</f>
        <v>8</v>
      </c>
      <c r="H43" s="64">
        <f t="shared" ref="H43:O43" ca="1" si="3">H39-H41-H42</f>
        <v>1</v>
      </c>
      <c r="I43" s="64">
        <f t="shared" si="3"/>
        <v>1</v>
      </c>
      <c r="J43" s="64">
        <f>J39-J41-J42</f>
        <v>1</v>
      </c>
      <c r="K43" s="61">
        <f t="shared" si="3"/>
        <v>0</v>
      </c>
      <c r="L43" s="61">
        <f t="shared" si="3"/>
        <v>0</v>
      </c>
      <c r="M43" s="61">
        <f t="shared" si="3"/>
        <v>0</v>
      </c>
      <c r="N43" s="61">
        <f t="shared" si="3"/>
        <v>0</v>
      </c>
      <c r="O43" s="61">
        <f t="shared" si="3"/>
        <v>0</v>
      </c>
    </row>
    <row r="44" spans="1:15" ht="89.25" customHeight="1">
      <c r="A44" s="625"/>
      <c r="B44" s="55" t="s">
        <v>112</v>
      </c>
      <c r="C44" s="1" t="s">
        <v>90</v>
      </c>
      <c r="D44" s="1" t="s">
        <v>90</v>
      </c>
      <c r="E44" s="1" t="s">
        <v>90</v>
      </c>
      <c r="F44" s="1" t="s">
        <v>90</v>
      </c>
      <c r="G44" s="1"/>
      <c r="H44" s="1"/>
      <c r="I44" s="1"/>
      <c r="J44" s="1"/>
      <c r="K44" s="1"/>
      <c r="L44" s="1"/>
      <c r="M44" s="1"/>
      <c r="N44" s="1"/>
      <c r="O44" s="1"/>
    </row>
    <row r="45" spans="1:15" ht="27">
      <c r="A45" s="625"/>
      <c r="B45" s="65" t="s">
        <v>113</v>
      </c>
      <c r="C45" s="66" t="s">
        <v>90</v>
      </c>
      <c r="D45" s="66" t="s">
        <v>90</v>
      </c>
      <c r="E45" s="66" t="s">
        <v>90</v>
      </c>
      <c r="F45" s="66" t="s">
        <v>90</v>
      </c>
      <c r="G45" s="66"/>
      <c r="H45" s="66"/>
      <c r="I45" s="66"/>
      <c r="J45" s="66"/>
      <c r="K45" s="66"/>
      <c r="L45" s="66"/>
      <c r="M45" s="66"/>
      <c r="N45" s="66"/>
      <c r="O45" s="66"/>
    </row>
    <row r="46" spans="1:15">
      <c r="A46" s="625"/>
      <c r="B46" s="8" t="s">
        <v>114</v>
      </c>
      <c r="C46" s="1" t="s">
        <v>90</v>
      </c>
      <c r="D46" s="1" t="s">
        <v>90</v>
      </c>
      <c r="E46" s="1" t="s">
        <v>90</v>
      </c>
      <c r="F46" s="1" t="s">
        <v>90</v>
      </c>
      <c r="G46" s="1"/>
      <c r="H46" s="1"/>
      <c r="I46" s="1"/>
      <c r="J46" s="1"/>
      <c r="K46" s="1"/>
      <c r="L46" s="1"/>
      <c r="M46" s="1"/>
      <c r="N46" s="1"/>
      <c r="O46" s="1"/>
    </row>
    <row r="47" spans="1:15" ht="21.75" customHeight="1">
      <c r="A47" s="625"/>
      <c r="B47" s="8" t="s">
        <v>115</v>
      </c>
      <c r="C47" s="58" t="s">
        <v>90</v>
      </c>
      <c r="D47" s="58" t="s">
        <v>90</v>
      </c>
      <c r="E47" s="58" t="s">
        <v>90</v>
      </c>
      <c r="F47" s="58" t="s">
        <v>90</v>
      </c>
      <c r="G47" s="1"/>
      <c r="H47" s="1"/>
      <c r="I47" s="1"/>
      <c r="J47" s="1"/>
      <c r="K47" s="1"/>
      <c r="L47" s="1"/>
      <c r="M47" s="1"/>
      <c r="N47" s="1"/>
      <c r="O47" s="1"/>
    </row>
    <row r="48" spans="1:15">
      <c r="A48" s="626"/>
      <c r="B48" s="8" t="s">
        <v>116</v>
      </c>
      <c r="C48" s="1" t="s">
        <v>90</v>
      </c>
      <c r="D48" s="1" t="s">
        <v>90</v>
      </c>
      <c r="E48" s="1" t="s">
        <v>90</v>
      </c>
      <c r="F48" s="1" t="s">
        <v>90</v>
      </c>
      <c r="G48" s="1"/>
      <c r="H48" s="1"/>
      <c r="I48" s="1"/>
      <c r="J48" s="1"/>
      <c r="K48" s="1"/>
      <c r="L48" s="1"/>
      <c r="M48" s="1"/>
      <c r="N48" s="1"/>
      <c r="O48" s="1"/>
    </row>
    <row r="49" spans="1:15">
      <c r="A49" s="626"/>
      <c r="B49" s="8" t="s">
        <v>117</v>
      </c>
      <c r="C49" s="1" t="s">
        <v>90</v>
      </c>
      <c r="D49" s="1" t="s">
        <v>90</v>
      </c>
      <c r="E49" s="1" t="s">
        <v>90</v>
      </c>
      <c r="F49" s="1" t="s">
        <v>90</v>
      </c>
      <c r="G49" s="1"/>
      <c r="H49" s="1"/>
      <c r="I49" s="1"/>
      <c r="J49" s="1"/>
      <c r="K49" s="1"/>
      <c r="L49" s="1"/>
      <c r="M49" s="1"/>
      <c r="N49" s="1"/>
      <c r="O49" s="1"/>
    </row>
    <row r="50" spans="1:15" ht="34.5" customHeight="1">
      <c r="A50" s="626"/>
      <c r="B50" s="8" t="s">
        <v>118</v>
      </c>
      <c r="C50" s="1" t="s">
        <v>90</v>
      </c>
      <c r="D50" s="1" t="s">
        <v>90</v>
      </c>
      <c r="E50" s="1" t="s">
        <v>90</v>
      </c>
      <c r="F50" s="1" t="s">
        <v>90</v>
      </c>
      <c r="G50" s="1"/>
      <c r="H50" s="1"/>
      <c r="I50" s="1"/>
      <c r="J50" s="1"/>
      <c r="K50" s="1"/>
      <c r="L50" s="1"/>
      <c r="M50" s="1"/>
      <c r="N50" s="1"/>
      <c r="O50" s="1"/>
    </row>
    <row r="51" spans="1:15" ht="46.5" customHeight="1">
      <c r="A51" s="626"/>
      <c r="B51" s="8" t="s">
        <v>119</v>
      </c>
      <c r="C51" s="1" t="s">
        <v>90</v>
      </c>
      <c r="D51" s="1" t="s">
        <v>90</v>
      </c>
      <c r="E51" s="1" t="s">
        <v>90</v>
      </c>
      <c r="F51" s="1" t="s">
        <v>90</v>
      </c>
      <c r="G51" s="1"/>
      <c r="H51" s="1"/>
      <c r="I51" s="1"/>
      <c r="J51" s="1"/>
      <c r="K51" s="1"/>
      <c r="L51" s="1"/>
      <c r="M51" s="1"/>
      <c r="N51" s="1"/>
      <c r="O51" s="1"/>
    </row>
    <row r="52" spans="1:15">
      <c r="A52" s="626"/>
      <c r="B52" s="8" t="s">
        <v>120</v>
      </c>
      <c r="C52" s="1" t="s">
        <v>90</v>
      </c>
      <c r="D52" s="1" t="s">
        <v>90</v>
      </c>
      <c r="E52" s="1" t="s">
        <v>90</v>
      </c>
      <c r="F52" s="1" t="s">
        <v>90</v>
      </c>
      <c r="G52" s="1"/>
      <c r="H52" s="1"/>
      <c r="I52" s="1"/>
      <c r="J52" s="1"/>
      <c r="K52" s="1"/>
      <c r="L52" s="1"/>
      <c r="M52" s="1"/>
      <c r="N52" s="1"/>
      <c r="O52" s="1"/>
    </row>
    <row r="53" spans="1:15" ht="27">
      <c r="A53" s="626"/>
      <c r="B53" s="65" t="s">
        <v>121</v>
      </c>
      <c r="C53" s="66" t="s">
        <v>90</v>
      </c>
      <c r="D53" s="66" t="s">
        <v>90</v>
      </c>
      <c r="E53" s="66" t="s">
        <v>90</v>
      </c>
      <c r="F53" s="66" t="s">
        <v>90</v>
      </c>
      <c r="G53" s="66"/>
      <c r="H53" s="66"/>
      <c r="I53" s="66"/>
      <c r="J53" s="66"/>
      <c r="K53" s="66"/>
      <c r="L53" s="66"/>
      <c r="M53" s="66"/>
      <c r="N53" s="66"/>
      <c r="O53" s="66"/>
    </row>
    <row r="54" spans="1:15">
      <c r="A54" s="626"/>
      <c r="B54" s="8" t="s">
        <v>114</v>
      </c>
      <c r="C54" s="1" t="s">
        <v>90</v>
      </c>
      <c r="D54" s="1" t="s">
        <v>90</v>
      </c>
      <c r="E54" s="1" t="s">
        <v>90</v>
      </c>
      <c r="F54" s="1" t="s">
        <v>90</v>
      </c>
      <c r="G54" s="1"/>
      <c r="H54" s="1"/>
      <c r="I54" s="1"/>
      <c r="J54" s="1"/>
      <c r="K54" s="1"/>
      <c r="L54" s="1"/>
      <c r="M54" s="1"/>
      <c r="N54" s="1"/>
      <c r="O54" s="1"/>
    </row>
    <row r="55" spans="1:15" ht="40.5" customHeight="1">
      <c r="A55" s="626"/>
      <c r="B55" s="8" t="s">
        <v>115</v>
      </c>
      <c r="C55" s="1" t="s">
        <v>90</v>
      </c>
      <c r="D55" s="1" t="s">
        <v>90</v>
      </c>
      <c r="E55" s="1" t="s">
        <v>90</v>
      </c>
      <c r="F55" s="1" t="s">
        <v>90</v>
      </c>
      <c r="G55" s="1"/>
      <c r="H55" s="1"/>
      <c r="I55" s="1"/>
      <c r="J55" s="1"/>
      <c r="K55" s="1"/>
      <c r="L55" s="1"/>
      <c r="M55" s="1"/>
      <c r="N55" s="1"/>
      <c r="O55" s="1"/>
    </row>
    <row r="56" spans="1:15" ht="36" customHeight="1">
      <c r="A56" s="626"/>
      <c r="B56" s="8" t="s">
        <v>116</v>
      </c>
      <c r="C56" s="1" t="s">
        <v>90</v>
      </c>
      <c r="D56" s="1" t="s">
        <v>90</v>
      </c>
      <c r="E56" s="1" t="s">
        <v>90</v>
      </c>
      <c r="F56" s="1" t="s">
        <v>90</v>
      </c>
      <c r="G56" s="1"/>
      <c r="H56" s="1"/>
      <c r="I56" s="1"/>
      <c r="J56" s="1"/>
      <c r="K56" s="1"/>
      <c r="L56" s="1"/>
      <c r="M56" s="1"/>
      <c r="N56" s="1"/>
      <c r="O56" s="1"/>
    </row>
    <row r="57" spans="1:15" ht="34.5" customHeight="1">
      <c r="A57" s="626"/>
      <c r="B57" s="8" t="s">
        <v>117</v>
      </c>
      <c r="C57" s="1" t="s">
        <v>90</v>
      </c>
      <c r="D57" s="1" t="s">
        <v>90</v>
      </c>
      <c r="E57" s="1" t="s">
        <v>90</v>
      </c>
      <c r="F57" s="1" t="s">
        <v>90</v>
      </c>
      <c r="G57" s="1"/>
      <c r="H57" s="1"/>
      <c r="I57" s="1"/>
      <c r="J57" s="1"/>
      <c r="K57" s="1"/>
      <c r="L57" s="1"/>
      <c r="M57" s="1"/>
      <c r="N57" s="1"/>
      <c r="O57" s="1"/>
    </row>
    <row r="58" spans="1:15" ht="38.25" customHeight="1">
      <c r="A58" s="626"/>
      <c r="B58" s="8" t="s">
        <v>118</v>
      </c>
      <c r="C58" s="1" t="s">
        <v>90</v>
      </c>
      <c r="D58" s="1" t="s">
        <v>90</v>
      </c>
      <c r="E58" s="1" t="s">
        <v>90</v>
      </c>
      <c r="F58" s="1" t="s">
        <v>90</v>
      </c>
      <c r="G58" s="1"/>
      <c r="H58" s="1"/>
      <c r="I58" s="1"/>
      <c r="J58" s="1"/>
      <c r="K58" s="1"/>
      <c r="L58" s="1"/>
      <c r="M58" s="1"/>
      <c r="N58" s="1"/>
      <c r="O58" s="1"/>
    </row>
    <row r="59" spans="1:15" ht="37.5" customHeight="1">
      <c r="A59" s="626"/>
      <c r="B59" s="8" t="s">
        <v>119</v>
      </c>
      <c r="C59" s="1" t="s">
        <v>90</v>
      </c>
      <c r="D59" s="1" t="s">
        <v>90</v>
      </c>
      <c r="E59" s="1" t="s">
        <v>90</v>
      </c>
      <c r="F59" s="1" t="s">
        <v>90</v>
      </c>
      <c r="G59" s="1"/>
      <c r="H59" s="1"/>
      <c r="I59" s="1"/>
      <c r="J59" s="1"/>
      <c r="K59" s="1"/>
      <c r="L59" s="1"/>
      <c r="M59" s="1"/>
      <c r="N59" s="1"/>
      <c r="O59" s="1"/>
    </row>
    <row r="60" spans="1:15" ht="30.75" customHeight="1">
      <c r="A60" s="626"/>
      <c r="B60" s="8" t="s">
        <v>122</v>
      </c>
      <c r="C60" s="8" t="s">
        <v>90</v>
      </c>
      <c r="D60" s="8" t="s">
        <v>90</v>
      </c>
      <c r="E60" s="8" t="s">
        <v>90</v>
      </c>
      <c r="F60" s="8" t="s">
        <v>90</v>
      </c>
      <c r="G60" s="1"/>
      <c r="H60" s="1"/>
      <c r="I60" s="1"/>
      <c r="J60" s="1"/>
      <c r="K60" s="1"/>
      <c r="L60" s="1"/>
      <c r="M60" s="1"/>
      <c r="N60" s="1"/>
      <c r="O60" s="1"/>
    </row>
    <row r="61" spans="1:15">
      <c r="A61" s="626"/>
      <c r="B61" s="65" t="s">
        <v>123</v>
      </c>
      <c r="C61" s="66" t="s">
        <v>90</v>
      </c>
      <c r="D61" s="66" t="s">
        <v>90</v>
      </c>
      <c r="E61" s="66" t="s">
        <v>90</v>
      </c>
      <c r="F61" s="66" t="s">
        <v>90</v>
      </c>
      <c r="G61" s="66"/>
      <c r="H61" s="66"/>
      <c r="I61" s="66"/>
      <c r="J61" s="66"/>
      <c r="K61" s="66"/>
      <c r="L61" s="66"/>
      <c r="M61" s="66"/>
      <c r="N61" s="66"/>
      <c r="O61" s="66"/>
    </row>
    <row r="62" spans="1:15">
      <c r="A62" s="626"/>
      <c r="B62" s="8" t="s">
        <v>114</v>
      </c>
      <c r="C62" s="1" t="s">
        <v>90</v>
      </c>
      <c r="D62" s="1" t="s">
        <v>90</v>
      </c>
      <c r="E62" s="1" t="s">
        <v>90</v>
      </c>
      <c r="F62" s="1" t="s">
        <v>90</v>
      </c>
      <c r="G62" s="1"/>
      <c r="H62" s="1"/>
      <c r="I62" s="1"/>
      <c r="J62" s="1"/>
      <c r="K62" s="1"/>
      <c r="L62" s="1"/>
      <c r="M62" s="1"/>
      <c r="N62" s="1"/>
      <c r="O62" s="1"/>
    </row>
    <row r="63" spans="1:15" ht="37.5" customHeight="1">
      <c r="A63" s="626"/>
      <c r="B63" s="8" t="s">
        <v>116</v>
      </c>
      <c r="C63" s="1" t="s">
        <v>90</v>
      </c>
      <c r="D63" s="1" t="s">
        <v>90</v>
      </c>
      <c r="E63" s="1" t="s">
        <v>90</v>
      </c>
      <c r="F63" s="1" t="s">
        <v>90</v>
      </c>
      <c r="G63" s="1"/>
      <c r="H63" s="1"/>
      <c r="I63" s="1"/>
      <c r="J63" s="1"/>
      <c r="K63" s="1"/>
      <c r="L63" s="1"/>
      <c r="M63" s="1"/>
      <c r="N63" s="1"/>
      <c r="O63" s="1"/>
    </row>
    <row r="64" spans="1:15" ht="33.75" customHeight="1">
      <c r="A64" s="626"/>
      <c r="B64" s="8" t="s">
        <v>117</v>
      </c>
      <c r="C64" s="1" t="s">
        <v>90</v>
      </c>
      <c r="D64" s="1" t="s">
        <v>90</v>
      </c>
      <c r="E64" s="1" t="s">
        <v>90</v>
      </c>
      <c r="F64" s="1" t="s">
        <v>90</v>
      </c>
      <c r="G64" s="1"/>
      <c r="H64" s="1"/>
      <c r="I64" s="1"/>
      <c r="J64" s="1"/>
      <c r="K64" s="1"/>
      <c r="L64" s="1"/>
      <c r="M64" s="1"/>
      <c r="N64" s="1"/>
      <c r="O64" s="1"/>
    </row>
    <row r="65" spans="1:15" ht="36.75" customHeight="1">
      <c r="A65" s="626"/>
      <c r="B65" s="8" t="s">
        <v>118</v>
      </c>
      <c r="C65" s="1" t="s">
        <v>90</v>
      </c>
      <c r="D65" s="1" t="s">
        <v>90</v>
      </c>
      <c r="E65" s="1" t="s">
        <v>90</v>
      </c>
      <c r="F65" s="1" t="s">
        <v>90</v>
      </c>
      <c r="G65" s="1"/>
      <c r="H65" s="1"/>
      <c r="I65" s="1"/>
      <c r="J65" s="1"/>
      <c r="K65" s="1"/>
      <c r="L65" s="1"/>
      <c r="M65" s="1"/>
      <c r="N65" s="1"/>
      <c r="O65" s="1"/>
    </row>
    <row r="66" spans="1:15" ht="36" customHeight="1">
      <c r="A66" s="626"/>
      <c r="B66" s="8" t="s">
        <v>119</v>
      </c>
      <c r="C66" s="1" t="s">
        <v>90</v>
      </c>
      <c r="D66" s="1" t="s">
        <v>90</v>
      </c>
      <c r="E66" s="1" t="s">
        <v>90</v>
      </c>
      <c r="F66" s="1" t="s">
        <v>90</v>
      </c>
      <c r="G66" s="1"/>
      <c r="H66" s="1"/>
      <c r="I66" s="1"/>
      <c r="J66" s="1"/>
      <c r="K66" s="1"/>
      <c r="L66" s="1"/>
      <c r="M66" s="1"/>
      <c r="N66" s="1"/>
      <c r="O66" s="1"/>
    </row>
    <row r="67" spans="1:15">
      <c r="A67" s="627"/>
      <c r="B67" s="8" t="s">
        <v>122</v>
      </c>
      <c r="C67" s="1" t="s">
        <v>90</v>
      </c>
      <c r="D67" s="1" t="s">
        <v>90</v>
      </c>
      <c r="E67" s="1" t="s">
        <v>90</v>
      </c>
      <c r="F67" s="1" t="s">
        <v>90</v>
      </c>
      <c r="G67" s="1"/>
      <c r="H67" s="1"/>
      <c r="I67" s="1"/>
      <c r="J67" s="1"/>
      <c r="K67" s="1"/>
      <c r="L67" s="1"/>
      <c r="M67" s="1"/>
      <c r="N67" s="1"/>
      <c r="O67" s="1"/>
    </row>
    <row r="69" spans="1:15">
      <c r="B69" s="607" t="s">
        <v>132</v>
      </c>
      <c r="C69" s="608"/>
      <c r="D69" s="608"/>
      <c r="E69" s="608"/>
      <c r="F69" s="608"/>
      <c r="G69" s="608"/>
      <c r="H69" s="608"/>
      <c r="I69" s="608"/>
      <c r="J69" s="608"/>
      <c r="K69" s="608"/>
      <c r="L69" s="608"/>
      <c r="M69" s="608"/>
      <c r="N69" s="608"/>
      <c r="O69" s="608"/>
    </row>
    <row r="70" spans="1:15">
      <c r="B70" s="615"/>
      <c r="C70" s="615"/>
      <c r="D70" s="615"/>
      <c r="G70" s="615"/>
      <c r="H70" s="615"/>
      <c r="I70" s="615"/>
      <c r="L70" s="615"/>
      <c r="M70" s="615"/>
      <c r="N70" s="615"/>
    </row>
    <row r="71" spans="1:15" ht="15.75">
      <c r="B71" s="616" t="s">
        <v>150</v>
      </c>
      <c r="C71" s="616"/>
      <c r="D71" s="616"/>
      <c r="E71" s="4"/>
      <c r="F71" s="4"/>
      <c r="G71" s="617" t="s">
        <v>133</v>
      </c>
      <c r="H71" s="617"/>
      <c r="I71" s="617"/>
      <c r="J71" s="4"/>
      <c r="K71" s="4"/>
      <c r="L71" s="618" t="e">
        <f>#REF!</f>
        <v>#REF!</v>
      </c>
      <c r="M71" s="618"/>
      <c r="N71" s="618"/>
    </row>
    <row r="72" spans="1:15" s="3" customFormat="1">
      <c r="B72" s="610" t="s">
        <v>92</v>
      </c>
      <c r="C72" s="610"/>
      <c r="D72" s="610"/>
      <c r="G72" s="611" t="s">
        <v>54</v>
      </c>
      <c r="H72" s="611"/>
      <c r="I72" s="611"/>
      <c r="L72" s="612" t="s">
        <v>91</v>
      </c>
      <c r="M72" s="612"/>
      <c r="N72" s="612"/>
    </row>
  </sheetData>
  <mergeCells count="30">
    <mergeCell ref="A40:A67"/>
    <mergeCell ref="J10:J11"/>
    <mergeCell ref="K10:K11"/>
    <mergeCell ref="O10:O11"/>
    <mergeCell ref="A8:O8"/>
    <mergeCell ref="A10:A11"/>
    <mergeCell ref="B10:B11"/>
    <mergeCell ref="C10:C11"/>
    <mergeCell ref="D10:D11"/>
    <mergeCell ref="A3:O3"/>
    <mergeCell ref="A4:O4"/>
    <mergeCell ref="A5:O5"/>
    <mergeCell ref="A6:O6"/>
    <mergeCell ref="A7:O7"/>
    <mergeCell ref="B69:O69"/>
    <mergeCell ref="L10:N10"/>
    <mergeCell ref="B72:D72"/>
    <mergeCell ref="G72:I72"/>
    <mergeCell ref="L72:N72"/>
    <mergeCell ref="E10:E11"/>
    <mergeCell ref="F10:F11"/>
    <mergeCell ref="G10:G11"/>
    <mergeCell ref="H10:H11"/>
    <mergeCell ref="I10:I11"/>
    <mergeCell ref="L70:N70"/>
    <mergeCell ref="B70:D70"/>
    <mergeCell ref="G70:I70"/>
    <mergeCell ref="B71:D71"/>
    <mergeCell ref="G71:I71"/>
    <mergeCell ref="L71:N71"/>
  </mergeCells>
  <pageMargins left="0.7" right="0.7" top="0.75" bottom="0.75" header="0.3" footer="0.3"/>
  <pageSetup paperSize="9" scale="43" fitToHeight="0" orientation="landscape" horizont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TC973"/>
  <sheetViews>
    <sheetView topLeftCell="A317" zoomScale="85" zoomScaleNormal="85" workbookViewId="0">
      <selection activeCell="E317" sqref="E1:E1048576"/>
    </sheetView>
  </sheetViews>
  <sheetFormatPr defaultColWidth="9.140625" defaultRowHeight="15"/>
  <cols>
    <col min="1" max="1" width="6.7109375" style="45" customWidth="1"/>
    <col min="2" max="2" width="45.140625" style="69" customWidth="1"/>
    <col min="3" max="3" width="23.85546875" style="69" customWidth="1"/>
    <col min="4" max="4" width="15" style="69" customWidth="1"/>
    <col min="5" max="5" width="10.85546875" style="45" customWidth="1"/>
    <col min="6" max="6" width="11.7109375" style="69" customWidth="1"/>
    <col min="7" max="7" width="15.28515625" style="190" customWidth="1"/>
    <col min="8" max="8" width="14.5703125" style="188" hidden="1" customWidth="1"/>
    <col min="9" max="9" width="13.42578125" style="189" customWidth="1"/>
    <col min="10" max="10" width="18.28515625" style="45" hidden="1" customWidth="1"/>
    <col min="11" max="11" width="20.28515625" style="188" hidden="1" customWidth="1"/>
    <col min="12" max="12" width="12.7109375" style="188" hidden="1" customWidth="1"/>
    <col min="13" max="13" width="13.7109375" style="70" customWidth="1"/>
    <col min="14" max="14" width="15.140625" style="45" customWidth="1"/>
    <col min="15" max="15" width="12.5703125" style="45" customWidth="1"/>
    <col min="16" max="16" width="13.7109375" style="45" customWidth="1"/>
    <col min="17" max="17" width="13.140625" style="45" customWidth="1"/>
    <col min="18" max="18" width="12.140625" style="45" customWidth="1"/>
    <col min="19" max="19" width="12.85546875" style="45" customWidth="1"/>
    <col min="20" max="20" width="14.7109375" style="45" customWidth="1"/>
    <col min="21" max="21" width="14.85546875" style="45" customWidth="1"/>
    <col min="22" max="22" width="9.140625" style="45"/>
    <col min="23" max="23" width="12" style="45" customWidth="1"/>
    <col min="24" max="26" width="9.140625" style="45"/>
    <col min="27" max="27" width="33.28515625" style="45" customWidth="1"/>
    <col min="28" max="30" width="9.140625" style="45"/>
    <col min="31" max="31" width="9.5703125" style="45" bestFit="1" customWidth="1"/>
    <col min="32" max="32" width="11.7109375" style="45" customWidth="1"/>
    <col min="33" max="33" width="9.140625" style="45"/>
    <col min="34" max="35" width="14.140625" style="45" customWidth="1"/>
    <col min="36" max="36" width="18.42578125" style="45" customWidth="1"/>
    <col min="37" max="252" width="9.140625" style="45"/>
    <col min="253" max="253" width="8" style="45" customWidth="1"/>
    <col min="254" max="254" width="36" style="45" customWidth="1"/>
    <col min="255" max="255" width="11.85546875" style="45" customWidth="1"/>
    <col min="256" max="256" width="11" style="45" customWidth="1"/>
    <col min="257" max="257" width="14.28515625" style="45" customWidth="1"/>
    <col min="258" max="258" width="14.5703125" style="45" customWidth="1"/>
    <col min="259" max="260" width="11.140625" style="45" customWidth="1"/>
    <col min="261" max="262" width="11" style="45" customWidth="1"/>
    <col min="263" max="263" width="16.7109375" style="45" customWidth="1"/>
    <col min="264" max="264" width="14.28515625" style="45" customWidth="1"/>
    <col min="265" max="265" width="13.28515625" style="45" customWidth="1"/>
    <col min="266" max="266" width="13.140625" style="45" customWidth="1"/>
    <col min="267" max="267" width="15.28515625" style="45" customWidth="1"/>
    <col min="268" max="508" width="9.140625" style="45"/>
    <col min="509" max="509" width="8" style="45" customWidth="1"/>
    <col min="510" max="510" width="36" style="45" customWidth="1"/>
    <col min="511" max="511" width="11.85546875" style="45" customWidth="1"/>
    <col min="512" max="512" width="11" style="45" customWidth="1"/>
    <col min="513" max="513" width="14.28515625" style="45" customWidth="1"/>
    <col min="514" max="514" width="14.5703125" style="45" customWidth="1"/>
    <col min="515" max="516" width="11.140625" style="45" customWidth="1"/>
    <col min="517" max="518" width="11" style="45" customWidth="1"/>
    <col min="519" max="519" width="16.7109375" style="45" customWidth="1"/>
    <col min="520" max="520" width="14.28515625" style="45" customWidth="1"/>
    <col min="521" max="521" width="13.28515625" style="45" customWidth="1"/>
    <col min="522" max="522" width="13.140625" style="45" customWidth="1"/>
    <col min="523" max="523" width="15.28515625" style="45" customWidth="1"/>
    <col min="524" max="16384" width="9.140625" style="45"/>
  </cols>
  <sheetData>
    <row r="1" spans="1:23" customFormat="1">
      <c r="B1">
        <v>1</v>
      </c>
      <c r="C1">
        <v>2</v>
      </c>
      <c r="D1">
        <v>3</v>
      </c>
      <c r="E1">
        <v>4</v>
      </c>
      <c r="F1">
        <v>5</v>
      </c>
      <c r="G1">
        <v>6</v>
      </c>
      <c r="H1">
        <v>7</v>
      </c>
      <c r="I1">
        <v>8</v>
      </c>
      <c r="J1">
        <v>9</v>
      </c>
      <c r="K1">
        <v>10</v>
      </c>
      <c r="L1">
        <v>11</v>
      </c>
      <c r="M1">
        <v>12</v>
      </c>
      <c r="N1">
        <v>13</v>
      </c>
      <c r="O1">
        <v>14</v>
      </c>
      <c r="P1">
        <v>15</v>
      </c>
      <c r="Q1">
        <v>16</v>
      </c>
      <c r="R1">
        <v>17</v>
      </c>
      <c r="S1">
        <v>18</v>
      </c>
    </row>
    <row r="2" spans="1:23" ht="180">
      <c r="A2" s="318" t="s">
        <v>4</v>
      </c>
      <c r="B2" s="315" t="s">
        <v>285</v>
      </c>
      <c r="C2" s="315" t="s">
        <v>1071</v>
      </c>
      <c r="D2" s="315" t="s">
        <v>1070</v>
      </c>
      <c r="E2" s="315" t="s">
        <v>286</v>
      </c>
      <c r="F2" s="315" t="s">
        <v>295</v>
      </c>
      <c r="G2" s="315" t="s">
        <v>287</v>
      </c>
      <c r="H2" s="317" t="s">
        <v>288</v>
      </c>
      <c r="I2" s="315" t="s">
        <v>289</v>
      </c>
      <c r="J2" s="315" t="s">
        <v>290</v>
      </c>
      <c r="K2" s="317" t="s">
        <v>291</v>
      </c>
      <c r="L2" s="317" t="s">
        <v>292</v>
      </c>
      <c r="M2" s="316" t="s">
        <v>1069</v>
      </c>
      <c r="N2" s="315" t="s">
        <v>1068</v>
      </c>
      <c r="O2" s="315" t="s">
        <v>300</v>
      </c>
      <c r="P2" s="315" t="s">
        <v>293</v>
      </c>
      <c r="Q2" s="315" t="s">
        <v>301</v>
      </c>
      <c r="R2" s="314" t="s">
        <v>1067</v>
      </c>
      <c r="S2" s="313" t="s">
        <v>1066</v>
      </c>
      <c r="V2"/>
      <c r="W2"/>
    </row>
    <row r="3" spans="1:23" ht="15.75">
      <c r="A3" s="253">
        <v>1</v>
      </c>
      <c r="B3" s="193" t="s">
        <v>1065</v>
      </c>
      <c r="C3" s="303"/>
      <c r="D3" s="274" t="s">
        <v>2</v>
      </c>
      <c r="E3" s="279">
        <v>1</v>
      </c>
      <c r="F3" s="286">
        <v>1953</v>
      </c>
      <c r="G3" s="249" t="s">
        <v>283</v>
      </c>
      <c r="H3" s="185" t="s">
        <v>284</v>
      </c>
      <c r="I3" s="197">
        <v>1</v>
      </c>
      <c r="J3" s="295"/>
      <c r="K3" s="184">
        <v>0</v>
      </c>
      <c r="L3" s="184">
        <v>0</v>
      </c>
      <c r="M3" s="67">
        <f t="shared" ref="M3:M66" si="0">N3+O3+P3</f>
        <v>5.5500000000000001E-2</v>
      </c>
      <c r="N3" s="242">
        <f>55.5/1000</f>
        <v>5.5500000000000001E-2</v>
      </c>
      <c r="O3" s="242"/>
      <c r="P3" s="302"/>
      <c r="Q3" s="241" t="s">
        <v>90</v>
      </c>
      <c r="R3" s="362">
        <v>4.4000000000000003E-3</v>
      </c>
      <c r="S3" s="361">
        <f t="shared" ref="S3:S66" si="1">R3*24*158*((18-3.4)/36)</f>
        <v>6.7666133333333329</v>
      </c>
      <c r="V3"/>
      <c r="W3"/>
    </row>
    <row r="4" spans="1:23" ht="15.75">
      <c r="A4" s="253">
        <f t="shared" ref="A4:A67" si="2">A3+1</f>
        <v>2</v>
      </c>
      <c r="B4" s="193" t="s">
        <v>1064</v>
      </c>
      <c r="C4" s="303"/>
      <c r="D4" s="274" t="s">
        <v>2</v>
      </c>
      <c r="E4" s="279">
        <v>1</v>
      </c>
      <c r="F4" s="286">
        <v>1953</v>
      </c>
      <c r="G4" s="249" t="s">
        <v>283</v>
      </c>
      <c r="H4" s="185" t="s">
        <v>284</v>
      </c>
      <c r="I4" s="197">
        <v>1</v>
      </c>
      <c r="J4" s="295"/>
      <c r="K4" s="184">
        <v>0</v>
      </c>
      <c r="L4" s="184">
        <v>0</v>
      </c>
      <c r="M4" s="67">
        <f t="shared" si="0"/>
        <v>3.005E-2</v>
      </c>
      <c r="N4" s="242">
        <f>30.05/1000</f>
        <v>3.005E-2</v>
      </c>
      <c r="O4" s="242"/>
      <c r="P4" s="302"/>
      <c r="Q4" s="241" t="s">
        <v>90</v>
      </c>
      <c r="R4" s="362">
        <v>2.3999999999999998E-3</v>
      </c>
      <c r="S4" s="361">
        <f t="shared" si="1"/>
        <v>3.6908799999999999</v>
      </c>
      <c r="V4"/>
      <c r="W4"/>
    </row>
    <row r="5" spans="1:23" ht="15.75">
      <c r="A5" s="253">
        <f t="shared" si="2"/>
        <v>3</v>
      </c>
      <c r="B5" s="193" t="s">
        <v>1063</v>
      </c>
      <c r="C5" s="303"/>
      <c r="D5" s="274" t="s">
        <v>2</v>
      </c>
      <c r="E5" s="279">
        <v>1</v>
      </c>
      <c r="F5" s="286">
        <v>1953</v>
      </c>
      <c r="G5" s="249" t="s">
        <v>283</v>
      </c>
      <c r="H5" s="185" t="s">
        <v>284</v>
      </c>
      <c r="I5" s="197">
        <v>1</v>
      </c>
      <c r="J5" s="295"/>
      <c r="K5" s="184">
        <v>0</v>
      </c>
      <c r="L5" s="184">
        <v>0</v>
      </c>
      <c r="M5" s="67">
        <f t="shared" si="0"/>
        <v>6.1950000000000005E-2</v>
      </c>
      <c r="N5" s="242">
        <f>61.95/1000</f>
        <v>6.1950000000000005E-2</v>
      </c>
      <c r="O5" s="242"/>
      <c r="P5" s="302"/>
      <c r="Q5" s="241" t="s">
        <v>90</v>
      </c>
      <c r="R5" s="362">
        <v>4.8999999999999998E-3</v>
      </c>
      <c r="S5" s="361">
        <f t="shared" si="1"/>
        <v>7.5355466666666668</v>
      </c>
      <c r="V5"/>
      <c r="W5"/>
    </row>
    <row r="6" spans="1:23" ht="15.75">
      <c r="A6" s="253">
        <f t="shared" si="2"/>
        <v>4</v>
      </c>
      <c r="B6" s="193" t="s">
        <v>1062</v>
      </c>
      <c r="C6" s="303"/>
      <c r="D6" s="274" t="s">
        <v>2</v>
      </c>
      <c r="E6" s="279">
        <v>1</v>
      </c>
      <c r="F6" s="286">
        <v>1956</v>
      </c>
      <c r="G6" s="249" t="s">
        <v>284</v>
      </c>
      <c r="H6" s="185" t="s">
        <v>284</v>
      </c>
      <c r="I6" s="197">
        <v>1</v>
      </c>
      <c r="J6" s="295"/>
      <c r="K6" s="184">
        <v>0</v>
      </c>
      <c r="L6" s="184">
        <v>0</v>
      </c>
      <c r="M6" s="67">
        <f t="shared" si="0"/>
        <v>2.6100000000000002E-2</v>
      </c>
      <c r="N6" s="242">
        <f>26.1/1000</f>
        <v>2.6100000000000002E-2</v>
      </c>
      <c r="O6" s="242"/>
      <c r="P6" s="302"/>
      <c r="Q6" s="241" t="s">
        <v>90</v>
      </c>
      <c r="R6" s="362">
        <v>3.8E-3</v>
      </c>
      <c r="S6" s="361">
        <f t="shared" si="1"/>
        <v>5.8438933333333338</v>
      </c>
      <c r="V6"/>
      <c r="W6"/>
    </row>
    <row r="7" spans="1:23" ht="15.75">
      <c r="A7" s="253">
        <f t="shared" si="2"/>
        <v>5</v>
      </c>
      <c r="B7" s="193" t="s">
        <v>1061</v>
      </c>
      <c r="C7" s="303"/>
      <c r="D7" s="274" t="s">
        <v>2</v>
      </c>
      <c r="E7" s="279">
        <v>1</v>
      </c>
      <c r="F7" s="286">
        <v>1956</v>
      </c>
      <c r="G7" s="249" t="s">
        <v>284</v>
      </c>
      <c r="H7" s="249" t="s">
        <v>284</v>
      </c>
      <c r="I7" s="197">
        <v>1</v>
      </c>
      <c r="J7" s="295"/>
      <c r="K7" s="184">
        <v>0</v>
      </c>
      <c r="L7" s="184">
        <v>0</v>
      </c>
      <c r="M7" s="67">
        <f t="shared" si="0"/>
        <v>0.1336</v>
      </c>
      <c r="N7" s="242">
        <f>33.8/1000</f>
        <v>3.3799999999999997E-2</v>
      </c>
      <c r="O7" s="242">
        <f>99.8/1000</f>
        <v>9.98E-2</v>
      </c>
      <c r="P7" s="302"/>
      <c r="Q7" s="241" t="s">
        <v>90</v>
      </c>
      <c r="R7" s="362">
        <v>1.6000000000000001E-3</v>
      </c>
      <c r="S7" s="361">
        <f t="shared" si="1"/>
        <v>2.4605866666666669</v>
      </c>
      <c r="V7"/>
      <c r="W7"/>
    </row>
    <row r="8" spans="1:23" ht="15.75">
      <c r="A8" s="253">
        <f t="shared" si="2"/>
        <v>6</v>
      </c>
      <c r="B8" s="193" t="s">
        <v>1060</v>
      </c>
      <c r="C8" s="303"/>
      <c r="D8" s="274" t="s">
        <v>2</v>
      </c>
      <c r="E8" s="279">
        <v>1</v>
      </c>
      <c r="F8" s="286">
        <v>1933</v>
      </c>
      <c r="G8" s="249" t="s">
        <v>284</v>
      </c>
      <c r="H8" s="185" t="s">
        <v>284</v>
      </c>
      <c r="I8" s="197">
        <v>1</v>
      </c>
      <c r="J8" s="295"/>
      <c r="K8" s="184">
        <v>0</v>
      </c>
      <c r="L8" s="184">
        <v>0</v>
      </c>
      <c r="M8" s="67">
        <f t="shared" si="0"/>
        <v>4.24E-2</v>
      </c>
      <c r="N8" s="242">
        <f>39.1/1000</f>
        <v>3.9100000000000003E-2</v>
      </c>
      <c r="O8" s="242">
        <f>3.3/1000</f>
        <v>3.3E-3</v>
      </c>
      <c r="P8" s="302"/>
      <c r="Q8" s="241" t="s">
        <v>90</v>
      </c>
      <c r="R8" s="362">
        <v>4.1000000000000003E-3</v>
      </c>
      <c r="S8" s="361">
        <f t="shared" si="1"/>
        <v>6.3052533333333338</v>
      </c>
      <c r="V8"/>
      <c r="W8"/>
    </row>
    <row r="9" spans="1:23" ht="15.75">
      <c r="A9" s="253">
        <f t="shared" si="2"/>
        <v>7</v>
      </c>
      <c r="B9" s="193" t="s">
        <v>1059</v>
      </c>
      <c r="C9" s="303"/>
      <c r="D9" s="274" t="s">
        <v>2</v>
      </c>
      <c r="E9" s="279">
        <v>1</v>
      </c>
      <c r="F9" s="286">
        <v>1933</v>
      </c>
      <c r="G9" s="249" t="s">
        <v>284</v>
      </c>
      <c r="H9" s="185" t="s">
        <v>284</v>
      </c>
      <c r="I9" s="197">
        <v>1</v>
      </c>
      <c r="J9" s="295"/>
      <c r="K9" s="184">
        <v>0</v>
      </c>
      <c r="L9" s="184">
        <v>0</v>
      </c>
      <c r="M9" s="67">
        <f t="shared" si="0"/>
        <v>3.9199999999999999E-2</v>
      </c>
      <c r="N9" s="242">
        <f>35.9/1000</f>
        <v>3.5900000000000001E-2</v>
      </c>
      <c r="O9" s="242">
        <f>3.3/1000</f>
        <v>3.3E-3</v>
      </c>
      <c r="P9" s="302"/>
      <c r="Q9" s="241" t="s">
        <v>90</v>
      </c>
      <c r="R9" s="362">
        <v>3.8999999999999998E-3</v>
      </c>
      <c r="S9" s="361">
        <f t="shared" si="1"/>
        <v>5.997679999999999</v>
      </c>
      <c r="V9"/>
      <c r="W9"/>
    </row>
    <row r="10" spans="1:23" ht="15.75">
      <c r="A10" s="253">
        <f t="shared" si="2"/>
        <v>8</v>
      </c>
      <c r="B10" s="193" t="s">
        <v>1058</v>
      </c>
      <c r="C10" s="303"/>
      <c r="D10" s="274" t="s">
        <v>2</v>
      </c>
      <c r="E10" s="279">
        <v>1</v>
      </c>
      <c r="F10" s="286">
        <v>1933</v>
      </c>
      <c r="G10" s="249" t="s">
        <v>284</v>
      </c>
      <c r="H10" s="185" t="s">
        <v>284</v>
      </c>
      <c r="I10" s="197">
        <v>1</v>
      </c>
      <c r="J10" s="295"/>
      <c r="K10" s="184">
        <v>0</v>
      </c>
      <c r="L10" s="184">
        <v>0</v>
      </c>
      <c r="M10" s="67">
        <f t="shared" si="0"/>
        <v>3.9299999999999995E-2</v>
      </c>
      <c r="N10" s="242">
        <f>39.3/1000</f>
        <v>3.9299999999999995E-2</v>
      </c>
      <c r="O10" s="242"/>
      <c r="P10" s="302"/>
      <c r="Q10" s="241" t="s">
        <v>90</v>
      </c>
      <c r="R10" s="362">
        <v>4.4999999999999997E-3</v>
      </c>
      <c r="S10" s="361">
        <f t="shared" si="1"/>
        <v>6.920399999999999</v>
      </c>
      <c r="V10"/>
      <c r="W10"/>
    </row>
    <row r="11" spans="1:23" ht="15.75">
      <c r="A11" s="253">
        <f t="shared" si="2"/>
        <v>9</v>
      </c>
      <c r="B11" s="193" t="s">
        <v>1057</v>
      </c>
      <c r="C11" s="303"/>
      <c r="D11" s="274" t="s">
        <v>2</v>
      </c>
      <c r="E11" s="279">
        <v>1</v>
      </c>
      <c r="F11" s="286">
        <v>1934</v>
      </c>
      <c r="G11" s="249" t="s">
        <v>284</v>
      </c>
      <c r="H11" s="185" t="s">
        <v>284</v>
      </c>
      <c r="I11" s="197">
        <v>1</v>
      </c>
      <c r="J11" s="295"/>
      <c r="K11" s="184">
        <v>0</v>
      </c>
      <c r="L11" s="184">
        <v>0</v>
      </c>
      <c r="M11" s="67">
        <f t="shared" si="0"/>
        <v>4.24E-2</v>
      </c>
      <c r="N11" s="242">
        <f>42.4/1000</f>
        <v>4.24E-2</v>
      </c>
      <c r="O11" s="242"/>
      <c r="P11" s="302"/>
      <c r="Q11" s="241" t="s">
        <v>90</v>
      </c>
      <c r="R11" s="362">
        <v>4.5999999999999999E-3</v>
      </c>
      <c r="S11" s="361">
        <f t="shared" si="1"/>
        <v>7.0741866666666668</v>
      </c>
      <c r="V11"/>
      <c r="W11"/>
    </row>
    <row r="12" spans="1:23" ht="15.75">
      <c r="A12" s="253">
        <f t="shared" si="2"/>
        <v>10</v>
      </c>
      <c r="B12" s="193" t="s">
        <v>1056</v>
      </c>
      <c r="C12" s="303"/>
      <c r="D12" s="274" t="s">
        <v>2</v>
      </c>
      <c r="E12" s="279">
        <v>1</v>
      </c>
      <c r="F12" s="286">
        <v>1906</v>
      </c>
      <c r="G12" s="249" t="s">
        <v>284</v>
      </c>
      <c r="H12" s="185" t="s">
        <v>284</v>
      </c>
      <c r="I12" s="197">
        <v>1</v>
      </c>
      <c r="J12" s="295"/>
      <c r="K12" s="184">
        <v>0</v>
      </c>
      <c r="L12" s="184">
        <v>0</v>
      </c>
      <c r="M12" s="67">
        <f t="shared" si="0"/>
        <v>5.0500000000000003E-2</v>
      </c>
      <c r="N12" s="242">
        <f>50.5/1000</f>
        <v>5.0500000000000003E-2</v>
      </c>
      <c r="O12" s="242"/>
      <c r="P12" s="302"/>
      <c r="Q12" s="241" t="s">
        <v>90</v>
      </c>
      <c r="R12" s="362">
        <v>5.7000000000000002E-3</v>
      </c>
      <c r="S12" s="361">
        <f t="shared" si="1"/>
        <v>8.7658400000000007</v>
      </c>
      <c r="V12"/>
      <c r="W12"/>
    </row>
    <row r="13" spans="1:23" ht="15.75">
      <c r="A13" s="253">
        <f t="shared" si="2"/>
        <v>11</v>
      </c>
      <c r="B13" s="193" t="s">
        <v>1055</v>
      </c>
      <c r="C13" s="303"/>
      <c r="D13" s="274" t="s">
        <v>2</v>
      </c>
      <c r="E13" s="279">
        <v>1</v>
      </c>
      <c r="F13" s="286">
        <v>1906</v>
      </c>
      <c r="G13" s="249" t="s">
        <v>284</v>
      </c>
      <c r="H13" s="185" t="s">
        <v>284</v>
      </c>
      <c r="I13" s="197">
        <v>1</v>
      </c>
      <c r="J13" s="295"/>
      <c r="K13" s="184">
        <v>0</v>
      </c>
      <c r="L13" s="184">
        <v>0</v>
      </c>
      <c r="M13" s="67">
        <f t="shared" si="0"/>
        <v>3.9E-2</v>
      </c>
      <c r="N13" s="242">
        <f>39/1000</f>
        <v>3.9E-2</v>
      </c>
      <c r="O13" s="242"/>
      <c r="P13" s="302"/>
      <c r="Q13" s="241" t="s">
        <v>90</v>
      </c>
      <c r="R13" s="362">
        <v>7.0000000000000001E-3</v>
      </c>
      <c r="S13" s="361">
        <f t="shared" si="1"/>
        <v>10.765066666666668</v>
      </c>
      <c r="V13"/>
      <c r="W13"/>
    </row>
    <row r="14" spans="1:23" ht="15.75">
      <c r="A14" s="253">
        <f t="shared" si="2"/>
        <v>12</v>
      </c>
      <c r="B14" s="193" t="s">
        <v>1054</v>
      </c>
      <c r="C14" s="303"/>
      <c r="D14" s="274" t="s">
        <v>2</v>
      </c>
      <c r="E14" s="279">
        <v>1</v>
      </c>
      <c r="F14" s="286">
        <v>1906</v>
      </c>
      <c r="G14" s="249" t="s">
        <v>284</v>
      </c>
      <c r="H14" s="185" t="s">
        <v>284</v>
      </c>
      <c r="I14" s="197">
        <v>1</v>
      </c>
      <c r="J14" s="295"/>
      <c r="K14" s="184">
        <v>0</v>
      </c>
      <c r="L14" s="184">
        <v>0</v>
      </c>
      <c r="M14" s="67">
        <f t="shared" si="0"/>
        <v>2.6800000000000001E-2</v>
      </c>
      <c r="N14" s="242">
        <f>26.8/1000</f>
        <v>2.6800000000000001E-2</v>
      </c>
      <c r="O14" s="242"/>
      <c r="P14" s="302"/>
      <c r="Q14" s="241" t="s">
        <v>90</v>
      </c>
      <c r="R14" s="362">
        <v>4.8999999999999998E-3</v>
      </c>
      <c r="S14" s="361">
        <f t="shared" si="1"/>
        <v>7.5355466666666668</v>
      </c>
      <c r="V14"/>
      <c r="W14"/>
    </row>
    <row r="15" spans="1:23" ht="15.75">
      <c r="A15" s="253">
        <f t="shared" si="2"/>
        <v>13</v>
      </c>
      <c r="B15" s="252" t="s">
        <v>1053</v>
      </c>
      <c r="C15" s="303"/>
      <c r="D15" s="274" t="s">
        <v>2</v>
      </c>
      <c r="E15" s="299">
        <v>1</v>
      </c>
      <c r="F15" s="267">
        <v>1953</v>
      </c>
      <c r="G15" s="259" t="s">
        <v>284</v>
      </c>
      <c r="H15" s="185" t="s">
        <v>284</v>
      </c>
      <c r="I15" s="197">
        <v>1</v>
      </c>
      <c r="J15" s="295"/>
      <c r="K15" s="184">
        <v>0</v>
      </c>
      <c r="L15" s="184">
        <v>0</v>
      </c>
      <c r="M15" s="67">
        <f t="shared" si="0"/>
        <v>0.1326</v>
      </c>
      <c r="N15" s="242">
        <f>128/1000</f>
        <v>0.128</v>
      </c>
      <c r="O15" s="242">
        <f>4.6/1000</f>
        <v>4.5999999999999999E-3</v>
      </c>
      <c r="P15" s="302"/>
      <c r="Q15" s="241" t="s">
        <v>90</v>
      </c>
      <c r="R15" s="363">
        <v>1.7500000000000002E-2</v>
      </c>
      <c r="S15" s="361">
        <f t="shared" si="1"/>
        <v>26.912666666666667</v>
      </c>
      <c r="V15"/>
      <c r="W15"/>
    </row>
    <row r="16" spans="1:23" ht="15.75">
      <c r="A16" s="253">
        <f t="shared" si="2"/>
        <v>14</v>
      </c>
      <c r="B16" s="252" t="s">
        <v>1052</v>
      </c>
      <c r="C16" s="199"/>
      <c r="D16" s="274" t="s">
        <v>2</v>
      </c>
      <c r="E16" s="299">
        <v>1</v>
      </c>
      <c r="F16" s="267">
        <v>1953</v>
      </c>
      <c r="G16" s="259" t="s">
        <v>283</v>
      </c>
      <c r="H16" s="248"/>
      <c r="I16" s="247">
        <v>1</v>
      </c>
      <c r="J16" s="246"/>
      <c r="K16" s="245"/>
      <c r="L16" s="245"/>
      <c r="M16" s="67">
        <f t="shared" si="0"/>
        <v>8.2299999999999998E-2</v>
      </c>
      <c r="N16" s="242">
        <f>82.3/1000</f>
        <v>8.2299999999999998E-2</v>
      </c>
      <c r="O16" s="243"/>
      <c r="P16" s="258"/>
      <c r="Q16" s="241" t="s">
        <v>90</v>
      </c>
      <c r="R16" s="363">
        <v>1.0699999999999999E-2</v>
      </c>
      <c r="S16" s="361">
        <f t="shared" si="1"/>
        <v>16.455173333333331</v>
      </c>
      <c r="V16"/>
      <c r="W16"/>
    </row>
    <row r="17" spans="1:23" ht="15.75">
      <c r="A17" s="253">
        <f t="shared" si="2"/>
        <v>15</v>
      </c>
      <c r="B17" s="193" t="s">
        <v>1051</v>
      </c>
      <c r="C17" s="303"/>
      <c r="D17" s="274" t="s">
        <v>2</v>
      </c>
      <c r="E17" s="279">
        <v>1</v>
      </c>
      <c r="F17" s="286">
        <v>1907</v>
      </c>
      <c r="G17" s="249" t="s">
        <v>283</v>
      </c>
      <c r="H17" s="185" t="s">
        <v>284</v>
      </c>
      <c r="I17" s="197">
        <v>1</v>
      </c>
      <c r="J17" s="295"/>
      <c r="K17" s="184">
        <v>0</v>
      </c>
      <c r="L17" s="184">
        <v>0</v>
      </c>
      <c r="M17" s="67">
        <f t="shared" si="0"/>
        <v>0.1615</v>
      </c>
      <c r="N17" s="242">
        <f>89.9/1000</f>
        <v>8.9900000000000008E-2</v>
      </c>
      <c r="O17" s="242">
        <f>71.6/1000</f>
        <v>7.1599999999999997E-2</v>
      </c>
      <c r="P17" s="302"/>
      <c r="Q17" s="241" t="s">
        <v>90</v>
      </c>
      <c r="R17" s="362">
        <v>2.8E-3</v>
      </c>
      <c r="S17" s="361">
        <f t="shared" si="1"/>
        <v>4.3060266666666669</v>
      </c>
      <c r="V17"/>
      <c r="W17"/>
    </row>
    <row r="18" spans="1:23" ht="15.75">
      <c r="A18" s="253">
        <f t="shared" si="2"/>
        <v>16</v>
      </c>
      <c r="B18" s="193" t="s">
        <v>1050</v>
      </c>
      <c r="C18" s="303"/>
      <c r="D18" s="274" t="s">
        <v>2</v>
      </c>
      <c r="E18" s="279">
        <v>1</v>
      </c>
      <c r="F18" s="286">
        <v>1907</v>
      </c>
      <c r="G18" s="249" t="s">
        <v>283</v>
      </c>
      <c r="H18" s="185" t="s">
        <v>284</v>
      </c>
      <c r="I18" s="197">
        <v>1</v>
      </c>
      <c r="J18" s="295"/>
      <c r="K18" s="184">
        <v>0</v>
      </c>
      <c r="L18" s="184">
        <v>0</v>
      </c>
      <c r="M18" s="67">
        <f t="shared" si="0"/>
        <v>6.7500000000000004E-2</v>
      </c>
      <c r="N18" s="242">
        <f>67.5/1000</f>
        <v>6.7500000000000004E-2</v>
      </c>
      <c r="O18" s="242"/>
      <c r="P18" s="302"/>
      <c r="Q18" s="241" t="s">
        <v>90</v>
      </c>
      <c r="R18" s="362">
        <v>1.8E-3</v>
      </c>
      <c r="S18" s="361">
        <f t="shared" si="1"/>
        <v>2.7681600000000004</v>
      </c>
      <c r="V18"/>
      <c r="W18"/>
    </row>
    <row r="19" spans="1:23" ht="15.75">
      <c r="A19" s="253">
        <f t="shared" si="2"/>
        <v>17</v>
      </c>
      <c r="B19" s="193" t="s">
        <v>1049</v>
      </c>
      <c r="C19" s="303"/>
      <c r="D19" s="274" t="s">
        <v>2</v>
      </c>
      <c r="E19" s="279">
        <v>1</v>
      </c>
      <c r="F19" s="286">
        <v>1907</v>
      </c>
      <c r="G19" s="249" t="s">
        <v>283</v>
      </c>
      <c r="H19" s="185" t="s">
        <v>284</v>
      </c>
      <c r="I19" s="197">
        <v>1</v>
      </c>
      <c r="J19" s="295"/>
      <c r="K19" s="184">
        <v>0</v>
      </c>
      <c r="L19" s="184">
        <v>0</v>
      </c>
      <c r="M19" s="67">
        <f t="shared" si="0"/>
        <v>5.5899999999999998E-2</v>
      </c>
      <c r="N19" s="242">
        <f>55.9/1000</f>
        <v>5.5899999999999998E-2</v>
      </c>
      <c r="O19" s="242"/>
      <c r="P19" s="302"/>
      <c r="Q19" s="241" t="s">
        <v>90</v>
      </c>
      <c r="R19" s="362">
        <v>9.1000000000000004E-3</v>
      </c>
      <c r="S19" s="361">
        <f t="shared" si="1"/>
        <v>13.994586666666669</v>
      </c>
      <c r="V19"/>
      <c r="W19"/>
    </row>
    <row r="20" spans="1:23" ht="15.75">
      <c r="A20" s="253">
        <f t="shared" si="2"/>
        <v>18</v>
      </c>
      <c r="B20" s="193" t="s">
        <v>1048</v>
      </c>
      <c r="C20" s="303"/>
      <c r="D20" s="274" t="s">
        <v>2</v>
      </c>
      <c r="E20" s="279">
        <v>1</v>
      </c>
      <c r="F20" s="286">
        <v>1903</v>
      </c>
      <c r="G20" s="249" t="s">
        <v>283</v>
      </c>
      <c r="H20" s="185" t="s">
        <v>284</v>
      </c>
      <c r="I20" s="197">
        <v>1</v>
      </c>
      <c r="J20" s="295"/>
      <c r="K20" s="184">
        <v>0</v>
      </c>
      <c r="L20" s="184">
        <v>0</v>
      </c>
      <c r="M20" s="67">
        <f t="shared" si="0"/>
        <v>8.9200000000000002E-2</v>
      </c>
      <c r="N20" s="242">
        <f>89.2/1000</f>
        <v>8.9200000000000002E-2</v>
      </c>
      <c r="O20" s="242"/>
      <c r="P20" s="302"/>
      <c r="Q20" s="241" t="s">
        <v>90</v>
      </c>
      <c r="R20" s="362">
        <v>7.7999999999999996E-3</v>
      </c>
      <c r="S20" s="361">
        <f t="shared" si="1"/>
        <v>11.995359999999998</v>
      </c>
      <c r="V20"/>
      <c r="W20"/>
    </row>
    <row r="21" spans="1:23" ht="15.75">
      <c r="A21" s="253">
        <f t="shared" si="2"/>
        <v>19</v>
      </c>
      <c r="B21" s="193" t="s">
        <v>1047</v>
      </c>
      <c r="C21" s="303"/>
      <c r="D21" s="274" t="s">
        <v>2</v>
      </c>
      <c r="E21" s="279">
        <v>1</v>
      </c>
      <c r="F21" s="286">
        <v>1903</v>
      </c>
      <c r="G21" s="249" t="s">
        <v>284</v>
      </c>
      <c r="H21" s="185" t="s">
        <v>284</v>
      </c>
      <c r="I21" s="197">
        <v>1</v>
      </c>
      <c r="J21" s="295"/>
      <c r="K21" s="184">
        <v>0</v>
      </c>
      <c r="L21" s="184">
        <v>0</v>
      </c>
      <c r="M21" s="67">
        <f t="shared" si="0"/>
        <v>6.88E-2</v>
      </c>
      <c r="N21" s="242">
        <f>68.8/1000</f>
        <v>6.88E-2</v>
      </c>
      <c r="O21" s="242"/>
      <c r="P21" s="302"/>
      <c r="Q21" s="241" t="s">
        <v>90</v>
      </c>
      <c r="R21" s="362">
        <v>6.7999999999999996E-3</v>
      </c>
      <c r="S21" s="361">
        <f t="shared" si="1"/>
        <v>10.457493333333334</v>
      </c>
      <c r="V21"/>
      <c r="W21"/>
    </row>
    <row r="22" spans="1:23" ht="15.75">
      <c r="A22" s="253">
        <f t="shared" si="2"/>
        <v>20</v>
      </c>
      <c r="B22" s="193" t="s">
        <v>1046</v>
      </c>
      <c r="C22" s="303"/>
      <c r="D22" s="274" t="s">
        <v>2</v>
      </c>
      <c r="E22" s="279">
        <v>1</v>
      </c>
      <c r="F22" s="286">
        <v>1903</v>
      </c>
      <c r="G22" s="249" t="s">
        <v>284</v>
      </c>
      <c r="H22" s="185" t="s">
        <v>284</v>
      </c>
      <c r="I22" s="197">
        <v>1</v>
      </c>
      <c r="J22" s="295"/>
      <c r="K22" s="184">
        <v>0</v>
      </c>
      <c r="L22" s="184">
        <v>0</v>
      </c>
      <c r="M22" s="67">
        <f t="shared" si="0"/>
        <v>6.2799999999999995E-2</v>
      </c>
      <c r="N22" s="242">
        <f>62.8/1000</f>
        <v>6.2799999999999995E-2</v>
      </c>
      <c r="O22" s="242"/>
      <c r="P22" s="302"/>
      <c r="Q22" s="241" t="s">
        <v>90</v>
      </c>
      <c r="R22" s="362">
        <v>5.4999999999999997E-3</v>
      </c>
      <c r="S22" s="361">
        <f t="shared" si="1"/>
        <v>8.4582666666666668</v>
      </c>
      <c r="V22"/>
      <c r="W22"/>
    </row>
    <row r="23" spans="1:23" ht="15.75">
      <c r="A23" s="253">
        <f t="shared" si="2"/>
        <v>21</v>
      </c>
      <c r="B23" s="193" t="s">
        <v>1045</v>
      </c>
      <c r="C23" s="303"/>
      <c r="D23" s="274" t="s">
        <v>2</v>
      </c>
      <c r="E23" s="279">
        <v>1</v>
      </c>
      <c r="F23" s="286">
        <v>1948</v>
      </c>
      <c r="G23" s="249" t="s">
        <v>284</v>
      </c>
      <c r="H23" s="185" t="s">
        <v>284</v>
      </c>
      <c r="I23" s="197">
        <v>1</v>
      </c>
      <c r="J23" s="295"/>
      <c r="K23" s="184">
        <v>0</v>
      </c>
      <c r="L23" s="184">
        <v>0</v>
      </c>
      <c r="M23" s="67">
        <f t="shared" si="0"/>
        <v>5.1700000000000003E-2</v>
      </c>
      <c r="N23" s="242">
        <f>51.7/1000</f>
        <v>5.1700000000000003E-2</v>
      </c>
      <c r="O23" s="242"/>
      <c r="P23" s="302"/>
      <c r="Q23" s="241" t="s">
        <v>90</v>
      </c>
      <c r="R23" s="362">
        <v>6.1000000000000004E-3</v>
      </c>
      <c r="S23" s="361">
        <f t="shared" si="1"/>
        <v>9.3809866666666668</v>
      </c>
      <c r="V23"/>
      <c r="W23"/>
    </row>
    <row r="24" spans="1:23" ht="15.75">
      <c r="A24" s="253">
        <f t="shared" si="2"/>
        <v>22</v>
      </c>
      <c r="B24" s="193" t="s">
        <v>1044</v>
      </c>
      <c r="C24" s="303"/>
      <c r="D24" s="274" t="s">
        <v>2</v>
      </c>
      <c r="E24" s="279">
        <v>1</v>
      </c>
      <c r="F24" s="286">
        <v>1967</v>
      </c>
      <c r="G24" s="249" t="s">
        <v>284</v>
      </c>
      <c r="H24" s="185" t="s">
        <v>284</v>
      </c>
      <c r="I24" s="197">
        <v>1</v>
      </c>
      <c r="J24" s="295"/>
      <c r="K24" s="184">
        <v>0</v>
      </c>
      <c r="L24" s="184">
        <v>0</v>
      </c>
      <c r="M24" s="67">
        <f t="shared" si="0"/>
        <v>0.1022</v>
      </c>
      <c r="N24" s="242">
        <f>51.5/1000</f>
        <v>5.1499999999999997E-2</v>
      </c>
      <c r="O24" s="242">
        <f>50.7/1000</f>
        <v>5.0700000000000002E-2</v>
      </c>
      <c r="P24" s="302"/>
      <c r="Q24" s="241" t="s">
        <v>90</v>
      </c>
      <c r="R24" s="362">
        <v>7.0000000000000001E-3</v>
      </c>
      <c r="S24" s="361">
        <f t="shared" si="1"/>
        <v>10.765066666666668</v>
      </c>
      <c r="V24"/>
      <c r="W24"/>
    </row>
    <row r="25" spans="1:23" ht="15.75">
      <c r="A25" s="253">
        <f t="shared" si="2"/>
        <v>23</v>
      </c>
      <c r="B25" s="193" t="s">
        <v>1043</v>
      </c>
      <c r="C25" s="303"/>
      <c r="D25" s="274" t="s">
        <v>2</v>
      </c>
      <c r="E25" s="279">
        <v>1</v>
      </c>
      <c r="F25" s="286">
        <v>1967</v>
      </c>
      <c r="G25" s="249" t="s">
        <v>283</v>
      </c>
      <c r="H25" s="185" t="s">
        <v>284</v>
      </c>
      <c r="I25" s="197">
        <v>1</v>
      </c>
      <c r="J25" s="295"/>
      <c r="K25" s="184">
        <v>0</v>
      </c>
      <c r="L25" s="184">
        <v>0</v>
      </c>
      <c r="M25" s="67">
        <f t="shared" si="0"/>
        <v>5.2420000000000001E-2</v>
      </c>
      <c r="N25" s="242">
        <f>52.42/1000</f>
        <v>5.2420000000000001E-2</v>
      </c>
      <c r="O25" s="242"/>
      <c r="P25" s="302"/>
      <c r="Q25" s="241" t="s">
        <v>90</v>
      </c>
      <c r="R25" s="362">
        <v>6.0000000000000001E-3</v>
      </c>
      <c r="S25" s="361">
        <f t="shared" si="1"/>
        <v>9.2272000000000016</v>
      </c>
      <c r="V25"/>
      <c r="W25"/>
    </row>
    <row r="26" spans="1:23" ht="15.75">
      <c r="A26" s="253">
        <f t="shared" si="2"/>
        <v>24</v>
      </c>
      <c r="B26" s="193" t="s">
        <v>1042</v>
      </c>
      <c r="C26" s="303"/>
      <c r="D26" s="274" t="s">
        <v>2</v>
      </c>
      <c r="E26" s="279">
        <v>1</v>
      </c>
      <c r="F26" s="286">
        <v>1967</v>
      </c>
      <c r="G26" s="249" t="s">
        <v>283</v>
      </c>
      <c r="H26" s="185" t="s">
        <v>284</v>
      </c>
      <c r="I26" s="197">
        <v>1</v>
      </c>
      <c r="J26" s="295"/>
      <c r="K26" s="184">
        <v>0</v>
      </c>
      <c r="L26" s="184">
        <v>0</v>
      </c>
      <c r="M26" s="67">
        <f t="shared" si="0"/>
        <v>5.1130000000000002E-2</v>
      </c>
      <c r="N26" s="242">
        <f>51.13/1000</f>
        <v>5.1130000000000002E-2</v>
      </c>
      <c r="O26" s="242"/>
      <c r="P26" s="302"/>
      <c r="Q26" s="241" t="s">
        <v>90</v>
      </c>
      <c r="R26" s="362">
        <v>5.8999999999999999E-3</v>
      </c>
      <c r="S26" s="361">
        <f t="shared" si="1"/>
        <v>9.0734133333333347</v>
      </c>
      <c r="V26"/>
      <c r="W26"/>
    </row>
    <row r="27" spans="1:23" ht="15.75">
      <c r="A27" s="253">
        <f t="shared" si="2"/>
        <v>25</v>
      </c>
      <c r="B27" s="193" t="s">
        <v>1041</v>
      </c>
      <c r="C27" s="303"/>
      <c r="D27" s="274" t="s">
        <v>2</v>
      </c>
      <c r="E27" s="279">
        <v>1</v>
      </c>
      <c r="F27" s="286">
        <v>1960</v>
      </c>
      <c r="G27" s="249" t="s">
        <v>284</v>
      </c>
      <c r="H27" s="185" t="s">
        <v>284</v>
      </c>
      <c r="I27" s="197">
        <v>1</v>
      </c>
      <c r="J27" s="295"/>
      <c r="K27" s="184">
        <v>0</v>
      </c>
      <c r="L27" s="184">
        <v>0</v>
      </c>
      <c r="M27" s="67">
        <f t="shared" si="0"/>
        <v>6.1600000000000002E-2</v>
      </c>
      <c r="N27" s="242">
        <f>61.6/1000</f>
        <v>6.1600000000000002E-2</v>
      </c>
      <c r="O27" s="242"/>
      <c r="P27" s="302"/>
      <c r="Q27" s="241" t="s">
        <v>90</v>
      </c>
      <c r="R27" s="362">
        <v>1.01E-2</v>
      </c>
      <c r="S27" s="361">
        <f t="shared" si="1"/>
        <v>15.532453333333333</v>
      </c>
      <c r="V27"/>
      <c r="W27"/>
    </row>
    <row r="28" spans="1:23" ht="15.75">
      <c r="A28" s="253">
        <f t="shared" si="2"/>
        <v>26</v>
      </c>
      <c r="B28" s="193" t="s">
        <v>1040</v>
      </c>
      <c r="C28" s="303"/>
      <c r="D28" s="274" t="s">
        <v>2</v>
      </c>
      <c r="E28" s="279">
        <v>1</v>
      </c>
      <c r="F28" s="286">
        <v>1951</v>
      </c>
      <c r="G28" s="249" t="s">
        <v>284</v>
      </c>
      <c r="H28" s="185" t="s">
        <v>284</v>
      </c>
      <c r="I28" s="197">
        <v>1</v>
      </c>
      <c r="J28" s="295"/>
      <c r="K28" s="184">
        <v>0</v>
      </c>
      <c r="L28" s="184">
        <v>0</v>
      </c>
      <c r="M28" s="67">
        <f t="shared" si="0"/>
        <v>7.8800000000000009E-2</v>
      </c>
      <c r="N28" s="242">
        <f>66.2/1000</f>
        <v>6.6200000000000009E-2</v>
      </c>
      <c r="O28" s="242">
        <f>12.6/1000</f>
        <v>1.26E-2</v>
      </c>
      <c r="P28" s="302"/>
      <c r="Q28" s="241" t="s">
        <v>90</v>
      </c>
      <c r="R28" s="362">
        <v>6.7000000000000002E-3</v>
      </c>
      <c r="S28" s="361">
        <f t="shared" si="1"/>
        <v>10.303706666666667</v>
      </c>
      <c r="V28"/>
      <c r="W28"/>
    </row>
    <row r="29" spans="1:23" ht="15.75">
      <c r="A29" s="253">
        <f t="shared" si="2"/>
        <v>27</v>
      </c>
      <c r="B29" s="193" t="s">
        <v>1039</v>
      </c>
      <c r="C29" s="303"/>
      <c r="D29" s="274" t="s">
        <v>2</v>
      </c>
      <c r="E29" s="279">
        <v>1</v>
      </c>
      <c r="F29" s="286">
        <v>1951</v>
      </c>
      <c r="G29" s="249" t="s">
        <v>284</v>
      </c>
      <c r="H29" s="185" t="s">
        <v>284</v>
      </c>
      <c r="I29" s="197">
        <v>1</v>
      </c>
      <c r="J29" s="295"/>
      <c r="K29" s="184">
        <v>0</v>
      </c>
      <c r="L29" s="184">
        <v>0</v>
      </c>
      <c r="M29" s="67">
        <f t="shared" si="0"/>
        <v>6.8190000000000001E-2</v>
      </c>
      <c r="N29" s="242">
        <f>27/1000</f>
        <v>2.7E-2</v>
      </c>
      <c r="O29" s="242">
        <f>41.19/1000</f>
        <v>4.1189999999999997E-2</v>
      </c>
      <c r="P29" s="302"/>
      <c r="Q29" s="241" t="s">
        <v>90</v>
      </c>
      <c r="R29" s="362">
        <v>2.3999999999999998E-3</v>
      </c>
      <c r="S29" s="361">
        <f t="shared" si="1"/>
        <v>3.6908799999999999</v>
      </c>
      <c r="V29"/>
      <c r="W29"/>
    </row>
    <row r="30" spans="1:23" ht="15.75">
      <c r="A30" s="253">
        <f t="shared" si="2"/>
        <v>28</v>
      </c>
      <c r="B30" s="193" t="s">
        <v>1038</v>
      </c>
      <c r="C30" s="303"/>
      <c r="D30" s="274" t="s">
        <v>2</v>
      </c>
      <c r="E30" s="279">
        <v>1</v>
      </c>
      <c r="F30" s="286">
        <v>1951</v>
      </c>
      <c r="G30" s="249" t="s">
        <v>284</v>
      </c>
      <c r="H30" s="185" t="s">
        <v>284</v>
      </c>
      <c r="I30" s="197">
        <v>1</v>
      </c>
      <c r="J30" s="295"/>
      <c r="K30" s="184">
        <v>0</v>
      </c>
      <c r="L30" s="184">
        <v>0</v>
      </c>
      <c r="M30" s="67">
        <f t="shared" si="0"/>
        <v>3.3700000000000001E-2</v>
      </c>
      <c r="N30" s="242">
        <f>33.7/1000</f>
        <v>3.3700000000000001E-2</v>
      </c>
      <c r="O30" s="242"/>
      <c r="P30" s="302"/>
      <c r="Q30" s="241" t="s">
        <v>90</v>
      </c>
      <c r="R30" s="362">
        <v>2.8999999999999998E-3</v>
      </c>
      <c r="S30" s="361">
        <f t="shared" si="1"/>
        <v>4.459813333333333</v>
      </c>
      <c r="V30"/>
      <c r="W30"/>
    </row>
    <row r="31" spans="1:23" ht="15.75">
      <c r="A31" s="253">
        <f t="shared" si="2"/>
        <v>29</v>
      </c>
      <c r="B31" s="193" t="s">
        <v>1037</v>
      </c>
      <c r="C31" s="303"/>
      <c r="D31" s="274" t="s">
        <v>2</v>
      </c>
      <c r="E31" s="279">
        <v>1</v>
      </c>
      <c r="F31" s="286">
        <v>1952</v>
      </c>
      <c r="G31" s="249" t="s">
        <v>284</v>
      </c>
      <c r="H31" s="185" t="s">
        <v>284</v>
      </c>
      <c r="I31" s="197">
        <v>1</v>
      </c>
      <c r="J31" s="295"/>
      <c r="K31" s="184">
        <v>0</v>
      </c>
      <c r="L31" s="184">
        <v>0</v>
      </c>
      <c r="M31" s="67">
        <f t="shared" si="0"/>
        <v>0.1186</v>
      </c>
      <c r="N31" s="242">
        <f>45.9/1000</f>
        <v>4.5899999999999996E-2</v>
      </c>
      <c r="O31" s="242">
        <f>72.7/1000</f>
        <v>7.2700000000000001E-2</v>
      </c>
      <c r="P31" s="302"/>
      <c r="Q31" s="241" t="s">
        <v>90</v>
      </c>
      <c r="R31" s="362">
        <v>5.3E-3</v>
      </c>
      <c r="S31" s="361">
        <f t="shared" si="1"/>
        <v>8.1506933333333329</v>
      </c>
      <c r="V31"/>
      <c r="W31"/>
    </row>
    <row r="32" spans="1:23" ht="15.75">
      <c r="A32" s="253">
        <f t="shared" si="2"/>
        <v>30</v>
      </c>
      <c r="B32" s="193" t="s">
        <v>1036</v>
      </c>
      <c r="C32" s="303"/>
      <c r="D32" s="274" t="s">
        <v>2</v>
      </c>
      <c r="E32" s="279">
        <v>1</v>
      </c>
      <c r="F32" s="286">
        <v>1952</v>
      </c>
      <c r="G32" s="249" t="s">
        <v>284</v>
      </c>
      <c r="H32" s="185" t="s">
        <v>284</v>
      </c>
      <c r="I32" s="197">
        <v>1</v>
      </c>
      <c r="J32" s="295"/>
      <c r="K32" s="184">
        <v>0</v>
      </c>
      <c r="L32" s="184">
        <v>0</v>
      </c>
      <c r="M32" s="67">
        <f t="shared" si="0"/>
        <v>5.1799999999999999E-2</v>
      </c>
      <c r="N32" s="242">
        <f>51.8/1000</f>
        <v>5.1799999999999999E-2</v>
      </c>
      <c r="O32" s="242"/>
      <c r="P32" s="302"/>
      <c r="Q32" s="241" t="s">
        <v>90</v>
      </c>
      <c r="R32" s="362">
        <v>7.9000000000000008E-3</v>
      </c>
      <c r="S32" s="361">
        <f t="shared" si="1"/>
        <v>12.149146666666667</v>
      </c>
      <c r="V32"/>
      <c r="W32"/>
    </row>
    <row r="33" spans="1:23" ht="15.75">
      <c r="A33" s="253">
        <f t="shared" si="2"/>
        <v>31</v>
      </c>
      <c r="B33" s="193" t="s">
        <v>1035</v>
      </c>
      <c r="C33" s="303"/>
      <c r="D33" s="274" t="s">
        <v>2</v>
      </c>
      <c r="E33" s="279">
        <v>1</v>
      </c>
      <c r="F33" s="286">
        <v>1908</v>
      </c>
      <c r="G33" s="249" t="s">
        <v>284</v>
      </c>
      <c r="H33" s="185" t="s">
        <v>284</v>
      </c>
      <c r="I33" s="197">
        <v>1</v>
      </c>
      <c r="J33" s="295"/>
      <c r="K33" s="184">
        <v>0</v>
      </c>
      <c r="L33" s="184">
        <v>0</v>
      </c>
      <c r="M33" s="67">
        <f t="shared" si="0"/>
        <v>8.8100000000000012E-2</v>
      </c>
      <c r="N33" s="242">
        <f>55.5/1000</f>
        <v>5.5500000000000001E-2</v>
      </c>
      <c r="O33" s="242">
        <f>32.6/1000</f>
        <v>3.2600000000000004E-2</v>
      </c>
      <c r="P33" s="302"/>
      <c r="Q33" s="241" t="s">
        <v>90</v>
      </c>
      <c r="R33" s="362">
        <v>3.8999999999999998E-3</v>
      </c>
      <c r="S33" s="361">
        <f t="shared" si="1"/>
        <v>5.997679999999999</v>
      </c>
      <c r="V33"/>
      <c r="W33"/>
    </row>
    <row r="34" spans="1:23" ht="15.75">
      <c r="A34" s="253">
        <f t="shared" si="2"/>
        <v>32</v>
      </c>
      <c r="B34" s="193" t="s">
        <v>1034</v>
      </c>
      <c r="C34" s="303"/>
      <c r="D34" s="274" t="s">
        <v>2</v>
      </c>
      <c r="E34" s="279">
        <v>1</v>
      </c>
      <c r="F34" s="286">
        <v>1908</v>
      </c>
      <c r="G34" s="249" t="s">
        <v>284</v>
      </c>
      <c r="H34" s="185" t="s">
        <v>284</v>
      </c>
      <c r="I34" s="197">
        <v>1</v>
      </c>
      <c r="J34" s="295"/>
      <c r="K34" s="184">
        <v>0</v>
      </c>
      <c r="L34" s="184">
        <v>0</v>
      </c>
      <c r="M34" s="67">
        <f t="shared" si="0"/>
        <v>4.9119999999999997E-2</v>
      </c>
      <c r="N34" s="242">
        <f>49.12/1000</f>
        <v>4.9119999999999997E-2</v>
      </c>
      <c r="O34" s="242"/>
      <c r="P34" s="302"/>
      <c r="Q34" s="241" t="s">
        <v>90</v>
      </c>
      <c r="R34" s="362">
        <v>6.7000000000000002E-3</v>
      </c>
      <c r="S34" s="361">
        <f t="shared" si="1"/>
        <v>10.303706666666667</v>
      </c>
      <c r="V34"/>
      <c r="W34"/>
    </row>
    <row r="35" spans="1:23" ht="15.75">
      <c r="A35" s="253">
        <f t="shared" si="2"/>
        <v>33</v>
      </c>
      <c r="B35" s="193" t="s">
        <v>1033</v>
      </c>
      <c r="C35" s="303"/>
      <c r="D35" s="274" t="s">
        <v>2</v>
      </c>
      <c r="E35" s="279">
        <v>1</v>
      </c>
      <c r="F35" s="286">
        <v>1907</v>
      </c>
      <c r="G35" s="249" t="s">
        <v>284</v>
      </c>
      <c r="H35" s="185" t="s">
        <v>284</v>
      </c>
      <c r="I35" s="197">
        <v>1</v>
      </c>
      <c r="J35" s="295"/>
      <c r="K35" s="184">
        <v>0</v>
      </c>
      <c r="L35" s="184">
        <v>0</v>
      </c>
      <c r="M35" s="67">
        <f t="shared" si="0"/>
        <v>6.8900000000000003E-2</v>
      </c>
      <c r="N35" s="242">
        <f>68.9/1000</f>
        <v>6.8900000000000003E-2</v>
      </c>
      <c r="O35" s="242"/>
      <c r="P35" s="302"/>
      <c r="Q35" s="241" t="s">
        <v>90</v>
      </c>
      <c r="R35" s="362">
        <v>7.0000000000000001E-3</v>
      </c>
      <c r="S35" s="361">
        <f t="shared" si="1"/>
        <v>10.765066666666668</v>
      </c>
      <c r="V35"/>
      <c r="W35"/>
    </row>
    <row r="36" spans="1:23" ht="15.75">
      <c r="A36" s="253">
        <f t="shared" si="2"/>
        <v>34</v>
      </c>
      <c r="B36" s="193" t="s">
        <v>1032</v>
      </c>
      <c r="C36" s="303"/>
      <c r="D36" s="274" t="s">
        <v>2</v>
      </c>
      <c r="E36" s="279">
        <v>1</v>
      </c>
      <c r="F36" s="286">
        <v>1907</v>
      </c>
      <c r="G36" s="249" t="s">
        <v>284</v>
      </c>
      <c r="H36" s="185" t="s">
        <v>284</v>
      </c>
      <c r="I36" s="197">
        <v>1</v>
      </c>
      <c r="J36" s="295"/>
      <c r="K36" s="184">
        <v>0</v>
      </c>
      <c r="L36" s="184">
        <v>0</v>
      </c>
      <c r="M36" s="67">
        <f t="shared" si="0"/>
        <v>6.8500000000000005E-2</v>
      </c>
      <c r="N36" s="242">
        <f>68.5/1000</f>
        <v>6.8500000000000005E-2</v>
      </c>
      <c r="O36" s="242"/>
      <c r="P36" s="302"/>
      <c r="Q36" s="241" t="s">
        <v>90</v>
      </c>
      <c r="R36" s="362">
        <v>1.03E-2</v>
      </c>
      <c r="S36" s="361">
        <f t="shared" si="1"/>
        <v>15.840026666666667</v>
      </c>
      <c r="V36"/>
      <c r="W36"/>
    </row>
    <row r="37" spans="1:23" ht="15.75">
      <c r="A37" s="253">
        <f t="shared" si="2"/>
        <v>35</v>
      </c>
      <c r="B37" s="193" t="s">
        <v>1031</v>
      </c>
      <c r="C37" s="303"/>
      <c r="D37" s="274" t="s">
        <v>2</v>
      </c>
      <c r="E37" s="279">
        <v>1</v>
      </c>
      <c r="F37" s="286">
        <v>1907</v>
      </c>
      <c r="G37" s="249" t="s">
        <v>284</v>
      </c>
      <c r="H37" s="185" t="s">
        <v>284</v>
      </c>
      <c r="I37" s="197">
        <v>1</v>
      </c>
      <c r="J37" s="295"/>
      <c r="K37" s="184">
        <v>0</v>
      </c>
      <c r="L37" s="184">
        <v>0</v>
      </c>
      <c r="M37" s="67">
        <f t="shared" si="0"/>
        <v>4.3999999999999997E-2</v>
      </c>
      <c r="N37" s="242">
        <f>44/1000</f>
        <v>4.3999999999999997E-2</v>
      </c>
      <c r="O37" s="242"/>
      <c r="P37" s="302"/>
      <c r="Q37" s="241" t="s">
        <v>90</v>
      </c>
      <c r="R37" s="362">
        <v>7.7999999999999996E-3</v>
      </c>
      <c r="S37" s="361">
        <f t="shared" si="1"/>
        <v>11.995359999999998</v>
      </c>
      <c r="V37"/>
      <c r="W37"/>
    </row>
    <row r="38" spans="1:23" ht="15.75">
      <c r="A38" s="253">
        <f t="shared" si="2"/>
        <v>36</v>
      </c>
      <c r="B38" s="193" t="s">
        <v>1030</v>
      </c>
      <c r="C38" s="303"/>
      <c r="D38" s="274" t="s">
        <v>2</v>
      </c>
      <c r="E38" s="279">
        <v>1</v>
      </c>
      <c r="F38" s="286">
        <v>1907</v>
      </c>
      <c r="G38" s="249" t="s">
        <v>284</v>
      </c>
      <c r="H38" s="185" t="s">
        <v>284</v>
      </c>
      <c r="I38" s="197">
        <v>1</v>
      </c>
      <c r="J38" s="295"/>
      <c r="K38" s="184">
        <v>0</v>
      </c>
      <c r="L38" s="184">
        <v>0</v>
      </c>
      <c r="M38" s="67">
        <f t="shared" si="0"/>
        <v>4.3700000000000003E-2</v>
      </c>
      <c r="N38" s="242">
        <f>43.7/1000</f>
        <v>4.3700000000000003E-2</v>
      </c>
      <c r="O38" s="242"/>
      <c r="P38" s="302"/>
      <c r="Q38" s="241" t="s">
        <v>90</v>
      </c>
      <c r="R38" s="362">
        <v>6.7000000000000002E-3</v>
      </c>
      <c r="S38" s="361">
        <f t="shared" si="1"/>
        <v>10.303706666666667</v>
      </c>
      <c r="V38"/>
      <c r="W38"/>
    </row>
    <row r="39" spans="1:23" ht="15.75">
      <c r="A39" s="253">
        <f t="shared" si="2"/>
        <v>37</v>
      </c>
      <c r="B39" s="193" t="s">
        <v>1029</v>
      </c>
      <c r="C39" s="303"/>
      <c r="D39" s="274" t="s">
        <v>2</v>
      </c>
      <c r="E39" s="279">
        <v>1</v>
      </c>
      <c r="F39" s="286">
        <v>1907</v>
      </c>
      <c r="G39" s="249" t="s">
        <v>284</v>
      </c>
      <c r="H39" s="185" t="s">
        <v>284</v>
      </c>
      <c r="I39" s="197">
        <v>1</v>
      </c>
      <c r="J39" s="295"/>
      <c r="K39" s="184">
        <v>0</v>
      </c>
      <c r="L39" s="184">
        <v>0</v>
      </c>
      <c r="M39" s="67">
        <f t="shared" si="0"/>
        <v>3.8200000000000005E-2</v>
      </c>
      <c r="N39" s="242">
        <f>38.2/1000</f>
        <v>3.8200000000000005E-2</v>
      </c>
      <c r="O39" s="242"/>
      <c r="P39" s="302"/>
      <c r="Q39" s="241" t="s">
        <v>90</v>
      </c>
      <c r="R39" s="362">
        <v>5.7999999999999996E-3</v>
      </c>
      <c r="S39" s="361">
        <f t="shared" si="1"/>
        <v>8.9196266666666659</v>
      </c>
      <c r="V39"/>
      <c r="W39"/>
    </row>
    <row r="40" spans="1:23" ht="15.75">
      <c r="A40" s="253">
        <f t="shared" si="2"/>
        <v>38</v>
      </c>
      <c r="B40" s="193" t="s">
        <v>1028</v>
      </c>
      <c r="C40" s="303"/>
      <c r="D40" s="274" t="s">
        <v>2</v>
      </c>
      <c r="E40" s="279">
        <v>1</v>
      </c>
      <c r="F40" s="286">
        <v>1907</v>
      </c>
      <c r="G40" s="249" t="s">
        <v>283</v>
      </c>
      <c r="H40" s="185" t="s">
        <v>284</v>
      </c>
      <c r="I40" s="197">
        <v>1</v>
      </c>
      <c r="J40" s="295"/>
      <c r="K40" s="184">
        <v>0</v>
      </c>
      <c r="L40" s="184">
        <v>0</v>
      </c>
      <c r="M40" s="67">
        <f t="shared" si="0"/>
        <v>6.6200000000000009E-2</v>
      </c>
      <c r="N40" s="242">
        <f>66.2/1000</f>
        <v>6.6200000000000009E-2</v>
      </c>
      <c r="O40" s="242"/>
      <c r="P40" s="302"/>
      <c r="Q40" s="241" t="s">
        <v>90</v>
      </c>
      <c r="R40" s="362">
        <v>7.4999999999999997E-3</v>
      </c>
      <c r="S40" s="361">
        <f t="shared" si="1"/>
        <v>11.533999999999999</v>
      </c>
      <c r="V40"/>
      <c r="W40"/>
    </row>
    <row r="41" spans="1:23" ht="15.75">
      <c r="A41" s="253">
        <f t="shared" si="2"/>
        <v>39</v>
      </c>
      <c r="B41" s="193" t="s">
        <v>1027</v>
      </c>
      <c r="C41" s="303"/>
      <c r="D41" s="274" t="s">
        <v>2</v>
      </c>
      <c r="E41" s="279">
        <v>1</v>
      </c>
      <c r="F41" s="286">
        <v>1907</v>
      </c>
      <c r="G41" s="249" t="s">
        <v>283</v>
      </c>
      <c r="H41" s="185" t="s">
        <v>284</v>
      </c>
      <c r="I41" s="197">
        <v>1</v>
      </c>
      <c r="J41" s="295"/>
      <c r="K41" s="184">
        <v>0</v>
      </c>
      <c r="L41" s="184">
        <v>0</v>
      </c>
      <c r="M41" s="67">
        <f t="shared" si="0"/>
        <v>5.28E-2</v>
      </c>
      <c r="N41" s="242">
        <f>52.8/1000</f>
        <v>5.28E-2</v>
      </c>
      <c r="O41" s="242"/>
      <c r="P41" s="302"/>
      <c r="Q41" s="241" t="s">
        <v>90</v>
      </c>
      <c r="R41" s="362">
        <v>6.7999999999999996E-3</v>
      </c>
      <c r="S41" s="361">
        <f t="shared" si="1"/>
        <v>10.457493333333334</v>
      </c>
      <c r="V41"/>
      <c r="W41"/>
    </row>
    <row r="42" spans="1:23" ht="15.75">
      <c r="A42" s="253">
        <f t="shared" si="2"/>
        <v>40</v>
      </c>
      <c r="B42" s="193" t="s">
        <v>1026</v>
      </c>
      <c r="C42" s="303"/>
      <c r="D42" s="274" t="s">
        <v>2</v>
      </c>
      <c r="E42" s="279">
        <v>1</v>
      </c>
      <c r="F42" s="286">
        <v>1907</v>
      </c>
      <c r="G42" s="249" t="s">
        <v>284</v>
      </c>
      <c r="H42" s="185" t="s">
        <v>284</v>
      </c>
      <c r="I42" s="197">
        <v>1</v>
      </c>
      <c r="J42" s="295"/>
      <c r="K42" s="184">
        <v>0</v>
      </c>
      <c r="L42" s="184">
        <v>0</v>
      </c>
      <c r="M42" s="67">
        <f t="shared" si="0"/>
        <v>0.1124</v>
      </c>
      <c r="N42" s="242">
        <f>57.92/1000</f>
        <v>5.7919999999999999E-2</v>
      </c>
      <c r="O42" s="242">
        <f>54.48/1000</f>
        <v>5.4479999999999994E-2</v>
      </c>
      <c r="P42" s="302"/>
      <c r="Q42" s="241" t="s">
        <v>90</v>
      </c>
      <c r="R42" s="362">
        <v>3.8E-3</v>
      </c>
      <c r="S42" s="361">
        <f t="shared" si="1"/>
        <v>5.8438933333333338</v>
      </c>
      <c r="V42"/>
      <c r="W42"/>
    </row>
    <row r="43" spans="1:23" ht="15.75">
      <c r="A43" s="253">
        <f t="shared" si="2"/>
        <v>41</v>
      </c>
      <c r="B43" s="193" t="s">
        <v>1025</v>
      </c>
      <c r="C43" s="303"/>
      <c r="D43" s="274" t="s">
        <v>2</v>
      </c>
      <c r="E43" s="279">
        <v>1</v>
      </c>
      <c r="F43" s="286">
        <v>1973</v>
      </c>
      <c r="G43" s="249" t="s">
        <v>283</v>
      </c>
      <c r="H43" s="185" t="s">
        <v>284</v>
      </c>
      <c r="I43" s="197">
        <v>1</v>
      </c>
      <c r="J43" s="295"/>
      <c r="K43" s="184">
        <v>0</v>
      </c>
      <c r="L43" s="184">
        <v>0</v>
      </c>
      <c r="M43" s="67">
        <f t="shared" si="0"/>
        <v>6.4299999999999996E-2</v>
      </c>
      <c r="N43" s="242">
        <f>64.3/1000</f>
        <v>6.4299999999999996E-2</v>
      </c>
      <c r="O43" s="242"/>
      <c r="P43" s="302"/>
      <c r="Q43" s="241" t="s">
        <v>90</v>
      </c>
      <c r="R43" s="362">
        <v>6.8999999999999999E-3</v>
      </c>
      <c r="S43" s="361">
        <f t="shared" si="1"/>
        <v>10.611280000000001</v>
      </c>
      <c r="V43"/>
      <c r="W43"/>
    </row>
    <row r="44" spans="1:23" ht="15.75">
      <c r="A44" s="253">
        <f t="shared" si="2"/>
        <v>42</v>
      </c>
      <c r="B44" s="193" t="s">
        <v>1024</v>
      </c>
      <c r="C44" s="303"/>
      <c r="D44" s="274" t="s">
        <v>2</v>
      </c>
      <c r="E44" s="279">
        <v>1</v>
      </c>
      <c r="F44" s="286">
        <v>1973</v>
      </c>
      <c r="G44" s="249" t="s">
        <v>283</v>
      </c>
      <c r="H44" s="185" t="s">
        <v>284</v>
      </c>
      <c r="I44" s="197">
        <v>1</v>
      </c>
      <c r="J44" s="295"/>
      <c r="K44" s="184">
        <v>0</v>
      </c>
      <c r="L44" s="184">
        <v>0</v>
      </c>
      <c r="M44" s="67">
        <f t="shared" si="0"/>
        <v>6.720000000000001E-2</v>
      </c>
      <c r="N44" s="242">
        <f>67.2/1000</f>
        <v>6.720000000000001E-2</v>
      </c>
      <c r="O44" s="242"/>
      <c r="P44" s="302"/>
      <c r="Q44" s="241" t="s">
        <v>90</v>
      </c>
      <c r="R44" s="362">
        <v>4.7000000000000002E-3</v>
      </c>
      <c r="S44" s="361">
        <f t="shared" si="1"/>
        <v>7.2279733333333338</v>
      </c>
      <c r="V44"/>
      <c r="W44"/>
    </row>
    <row r="45" spans="1:23" ht="15.75">
      <c r="A45" s="253">
        <f t="shared" si="2"/>
        <v>43</v>
      </c>
      <c r="B45" s="193" t="s">
        <v>1023</v>
      </c>
      <c r="C45" s="303"/>
      <c r="D45" s="274" t="s">
        <v>2</v>
      </c>
      <c r="E45" s="279">
        <v>1</v>
      </c>
      <c r="F45" s="286">
        <v>1978</v>
      </c>
      <c r="G45" s="249" t="s">
        <v>283</v>
      </c>
      <c r="H45" s="185" t="s">
        <v>284</v>
      </c>
      <c r="I45" s="197">
        <v>1</v>
      </c>
      <c r="J45" s="295"/>
      <c r="K45" s="184">
        <v>0</v>
      </c>
      <c r="L45" s="184">
        <v>0</v>
      </c>
      <c r="M45" s="67">
        <f t="shared" si="0"/>
        <v>3.9100000000000003E-2</v>
      </c>
      <c r="N45" s="242">
        <f>36.13/1000</f>
        <v>3.6130000000000002E-2</v>
      </c>
      <c r="O45" s="242">
        <f>2.97/1000</f>
        <v>2.97E-3</v>
      </c>
      <c r="P45" s="302"/>
      <c r="Q45" s="241" t="s">
        <v>90</v>
      </c>
      <c r="R45" s="362">
        <v>6.3E-3</v>
      </c>
      <c r="S45" s="361">
        <f t="shared" si="1"/>
        <v>9.6885600000000007</v>
      </c>
      <c r="V45"/>
      <c r="W45"/>
    </row>
    <row r="46" spans="1:23" ht="15.75">
      <c r="A46" s="253">
        <f t="shared" si="2"/>
        <v>44</v>
      </c>
      <c r="B46" s="193" t="s">
        <v>1022</v>
      </c>
      <c r="C46" s="303"/>
      <c r="D46" s="274" t="s">
        <v>2</v>
      </c>
      <c r="E46" s="279">
        <v>1</v>
      </c>
      <c r="F46" s="286">
        <v>1978</v>
      </c>
      <c r="G46" s="249" t="s">
        <v>284</v>
      </c>
      <c r="H46" s="185" t="s">
        <v>284</v>
      </c>
      <c r="I46" s="197">
        <v>1</v>
      </c>
      <c r="J46" s="295"/>
      <c r="K46" s="184">
        <v>0</v>
      </c>
      <c r="L46" s="184">
        <v>0</v>
      </c>
      <c r="M46" s="67">
        <f t="shared" si="0"/>
        <v>6.2600000000000003E-2</v>
      </c>
      <c r="N46" s="242">
        <f>62.6/1000</f>
        <v>6.2600000000000003E-2</v>
      </c>
      <c r="O46" s="242"/>
      <c r="P46" s="302"/>
      <c r="Q46" s="241" t="s">
        <v>90</v>
      </c>
      <c r="R46" s="362">
        <v>1.0800000000000001E-2</v>
      </c>
      <c r="S46" s="361">
        <f t="shared" si="1"/>
        <v>16.608959999999996</v>
      </c>
      <c r="V46"/>
      <c r="W46"/>
    </row>
    <row r="47" spans="1:23" ht="15.75">
      <c r="A47" s="253">
        <f t="shared" si="2"/>
        <v>45</v>
      </c>
      <c r="B47" s="193" t="s">
        <v>1021</v>
      </c>
      <c r="C47" s="303"/>
      <c r="D47" s="274" t="s">
        <v>2</v>
      </c>
      <c r="E47" s="279">
        <v>1</v>
      </c>
      <c r="F47" s="286">
        <v>1978</v>
      </c>
      <c r="G47" s="249" t="s">
        <v>283</v>
      </c>
      <c r="H47" s="185" t="s">
        <v>284</v>
      </c>
      <c r="I47" s="197">
        <v>1</v>
      </c>
      <c r="J47" s="295"/>
      <c r="K47" s="184">
        <v>0</v>
      </c>
      <c r="L47" s="184">
        <v>0</v>
      </c>
      <c r="M47" s="67">
        <f t="shared" si="0"/>
        <v>6.4700000000000008E-2</v>
      </c>
      <c r="N47" s="242">
        <f>58/1000</f>
        <v>5.8000000000000003E-2</v>
      </c>
      <c r="O47" s="242">
        <f>6.7/1000</f>
        <v>6.7000000000000002E-3</v>
      </c>
      <c r="P47" s="302"/>
      <c r="Q47" s="241" t="s">
        <v>90</v>
      </c>
      <c r="R47" s="362">
        <v>5.1000000000000004E-3</v>
      </c>
      <c r="S47" s="361">
        <f t="shared" si="1"/>
        <v>7.8431200000000008</v>
      </c>
      <c r="V47"/>
      <c r="W47"/>
    </row>
    <row r="48" spans="1:23" ht="15.75">
      <c r="A48" s="253">
        <f t="shared" si="2"/>
        <v>46</v>
      </c>
      <c r="B48" s="193" t="s">
        <v>1020</v>
      </c>
      <c r="C48" s="303"/>
      <c r="D48" s="274" t="s">
        <v>2</v>
      </c>
      <c r="E48" s="279">
        <v>1</v>
      </c>
      <c r="F48" s="297">
        <v>1917</v>
      </c>
      <c r="G48" s="249" t="s">
        <v>284</v>
      </c>
      <c r="H48" s="185" t="s">
        <v>284</v>
      </c>
      <c r="I48" s="197">
        <v>1</v>
      </c>
      <c r="J48" s="295"/>
      <c r="K48" s="184">
        <v>0</v>
      </c>
      <c r="L48" s="184">
        <v>0</v>
      </c>
      <c r="M48" s="67">
        <f t="shared" si="0"/>
        <v>6.720000000000001E-2</v>
      </c>
      <c r="N48" s="242">
        <f>67.2/1000</f>
        <v>6.720000000000001E-2</v>
      </c>
      <c r="O48" s="242"/>
      <c r="P48" s="302"/>
      <c r="Q48" s="241" t="s">
        <v>90</v>
      </c>
      <c r="R48" s="362">
        <v>9.9000000000000008E-3</v>
      </c>
      <c r="S48" s="361">
        <f t="shared" si="1"/>
        <v>15.224880000000002</v>
      </c>
      <c r="V48"/>
      <c r="W48"/>
    </row>
    <row r="49" spans="1:23" ht="15.75">
      <c r="A49" s="253">
        <f t="shared" si="2"/>
        <v>47</v>
      </c>
      <c r="B49" s="193" t="s">
        <v>1019</v>
      </c>
      <c r="C49" s="303"/>
      <c r="D49" s="274" t="s">
        <v>2</v>
      </c>
      <c r="E49" s="279">
        <v>1</v>
      </c>
      <c r="F49" s="286">
        <v>1951</v>
      </c>
      <c r="G49" s="249" t="s">
        <v>283</v>
      </c>
      <c r="H49" s="185" t="s">
        <v>284</v>
      </c>
      <c r="I49" s="197">
        <v>1</v>
      </c>
      <c r="J49" s="295"/>
      <c r="K49" s="184">
        <v>0</v>
      </c>
      <c r="L49" s="184">
        <v>0</v>
      </c>
      <c r="M49" s="67">
        <f t="shared" si="0"/>
        <v>6.4000000000000001E-2</v>
      </c>
      <c r="N49" s="242">
        <f>64/1000</f>
        <v>6.4000000000000001E-2</v>
      </c>
      <c r="O49" s="242"/>
      <c r="P49" s="302"/>
      <c r="Q49" s="241" t="s">
        <v>90</v>
      </c>
      <c r="R49" s="362">
        <v>7.1000000000000004E-3</v>
      </c>
      <c r="S49" s="361">
        <f t="shared" si="1"/>
        <v>10.918853333333333</v>
      </c>
      <c r="V49"/>
      <c r="W49"/>
    </row>
    <row r="50" spans="1:23" ht="15.75">
      <c r="A50" s="253">
        <f t="shared" si="2"/>
        <v>48</v>
      </c>
      <c r="B50" s="193" t="s">
        <v>1018</v>
      </c>
      <c r="C50" s="303"/>
      <c r="D50" s="274" t="s">
        <v>2</v>
      </c>
      <c r="E50" s="279">
        <v>1</v>
      </c>
      <c r="F50" s="286">
        <v>1952</v>
      </c>
      <c r="G50" s="249" t="s">
        <v>284</v>
      </c>
      <c r="H50" s="185" t="s">
        <v>284</v>
      </c>
      <c r="I50" s="197">
        <v>1</v>
      </c>
      <c r="J50" s="295"/>
      <c r="K50" s="184">
        <v>0</v>
      </c>
      <c r="L50" s="184">
        <v>0</v>
      </c>
      <c r="M50" s="67">
        <f t="shared" si="0"/>
        <v>6.9900000000000004E-2</v>
      </c>
      <c r="N50" s="242">
        <f>69.9/1000</f>
        <v>6.9900000000000004E-2</v>
      </c>
      <c r="O50" s="242"/>
      <c r="P50" s="302"/>
      <c r="Q50" s="241" t="s">
        <v>90</v>
      </c>
      <c r="R50" s="362">
        <v>6.7000000000000002E-3</v>
      </c>
      <c r="S50" s="361">
        <f t="shared" si="1"/>
        <v>10.303706666666667</v>
      </c>
      <c r="V50"/>
      <c r="W50"/>
    </row>
    <row r="51" spans="1:23" ht="15.75">
      <c r="A51" s="253">
        <f t="shared" si="2"/>
        <v>49</v>
      </c>
      <c r="B51" s="193" t="s">
        <v>1017</v>
      </c>
      <c r="C51" s="303"/>
      <c r="D51" s="274" t="s">
        <v>2</v>
      </c>
      <c r="E51" s="279">
        <v>1</v>
      </c>
      <c r="F51" s="286">
        <v>1952</v>
      </c>
      <c r="G51" s="249" t="s">
        <v>284</v>
      </c>
      <c r="H51" s="185" t="s">
        <v>284</v>
      </c>
      <c r="I51" s="197">
        <v>1</v>
      </c>
      <c r="J51" s="295"/>
      <c r="K51" s="184">
        <v>0</v>
      </c>
      <c r="L51" s="184">
        <v>0</v>
      </c>
      <c r="M51" s="67">
        <f t="shared" si="0"/>
        <v>6.6400000000000001E-2</v>
      </c>
      <c r="N51" s="242">
        <f>66.4/1000</f>
        <v>6.6400000000000001E-2</v>
      </c>
      <c r="O51" s="242"/>
      <c r="P51" s="302"/>
      <c r="Q51" s="241" t="s">
        <v>90</v>
      </c>
      <c r="R51" s="362">
        <v>8.9999999999999993E-3</v>
      </c>
      <c r="S51" s="361">
        <f t="shared" si="1"/>
        <v>13.840799999999998</v>
      </c>
      <c r="V51"/>
      <c r="W51"/>
    </row>
    <row r="52" spans="1:23" ht="15.75">
      <c r="A52" s="253">
        <f t="shared" si="2"/>
        <v>50</v>
      </c>
      <c r="B52" s="193" t="s">
        <v>1016</v>
      </c>
      <c r="C52" s="303"/>
      <c r="D52" s="274" t="s">
        <v>2</v>
      </c>
      <c r="E52" s="279">
        <v>1</v>
      </c>
      <c r="F52" s="286">
        <v>1905</v>
      </c>
      <c r="G52" s="249" t="s">
        <v>284</v>
      </c>
      <c r="H52" s="185" t="s">
        <v>284</v>
      </c>
      <c r="I52" s="197">
        <v>1</v>
      </c>
      <c r="J52" s="295"/>
      <c r="K52" s="184">
        <v>0</v>
      </c>
      <c r="L52" s="184">
        <v>0</v>
      </c>
      <c r="M52" s="67">
        <f t="shared" si="0"/>
        <v>4.3200000000000002E-2</v>
      </c>
      <c r="N52" s="242">
        <f>43.2/1000</f>
        <v>4.3200000000000002E-2</v>
      </c>
      <c r="O52" s="242"/>
      <c r="P52" s="242"/>
      <c r="Q52" s="241" t="s">
        <v>90</v>
      </c>
      <c r="R52" s="362">
        <v>5.3E-3</v>
      </c>
      <c r="S52" s="361">
        <f t="shared" si="1"/>
        <v>8.1506933333333329</v>
      </c>
      <c r="V52"/>
      <c r="W52"/>
    </row>
    <row r="53" spans="1:23" ht="15.75">
      <c r="A53" s="253">
        <f t="shared" si="2"/>
        <v>51</v>
      </c>
      <c r="B53" s="193" t="s">
        <v>1015</v>
      </c>
      <c r="C53" s="303"/>
      <c r="D53" s="274" t="s">
        <v>2</v>
      </c>
      <c r="E53" s="279">
        <v>1</v>
      </c>
      <c r="F53" s="286">
        <v>1953</v>
      </c>
      <c r="G53" s="249" t="s">
        <v>284</v>
      </c>
      <c r="H53" s="185" t="s">
        <v>284</v>
      </c>
      <c r="I53" s="197">
        <v>1</v>
      </c>
      <c r="J53" s="295"/>
      <c r="K53" s="184">
        <v>0</v>
      </c>
      <c r="L53" s="184">
        <v>0</v>
      </c>
      <c r="M53" s="67">
        <f t="shared" si="0"/>
        <v>5.96E-2</v>
      </c>
      <c r="N53" s="242">
        <f>59.6/1000</f>
        <v>5.96E-2</v>
      </c>
      <c r="O53" s="242"/>
      <c r="P53" s="302"/>
      <c r="Q53" s="241" t="s">
        <v>90</v>
      </c>
      <c r="R53" s="362">
        <v>6.0000000000000001E-3</v>
      </c>
      <c r="S53" s="361">
        <f t="shared" si="1"/>
        <v>9.2272000000000016</v>
      </c>
      <c r="V53"/>
      <c r="W53"/>
    </row>
    <row r="54" spans="1:23" ht="15.75">
      <c r="A54" s="253">
        <f t="shared" si="2"/>
        <v>52</v>
      </c>
      <c r="B54" s="193" t="s">
        <v>1014</v>
      </c>
      <c r="C54" s="303"/>
      <c r="D54" s="274" t="s">
        <v>2</v>
      </c>
      <c r="E54" s="279">
        <v>1</v>
      </c>
      <c r="F54" s="286">
        <v>1953</v>
      </c>
      <c r="G54" s="249" t="s">
        <v>283</v>
      </c>
      <c r="H54" s="185" t="s">
        <v>284</v>
      </c>
      <c r="I54" s="197">
        <v>2</v>
      </c>
      <c r="J54" s="295"/>
      <c r="K54" s="184">
        <v>0</v>
      </c>
      <c r="L54" s="184">
        <v>0</v>
      </c>
      <c r="M54" s="67">
        <f t="shared" si="0"/>
        <v>0.23810000000000001</v>
      </c>
      <c r="N54" s="242">
        <f>238.1/1000</f>
        <v>0.23810000000000001</v>
      </c>
      <c r="O54" s="242"/>
      <c r="P54" s="302"/>
      <c r="Q54" s="241" t="s">
        <v>90</v>
      </c>
      <c r="R54" s="362">
        <v>1.03E-2</v>
      </c>
      <c r="S54" s="361">
        <f t="shared" si="1"/>
        <v>15.840026666666667</v>
      </c>
      <c r="V54"/>
      <c r="W54"/>
    </row>
    <row r="55" spans="1:23" ht="15.75">
      <c r="A55" s="253">
        <f t="shared" si="2"/>
        <v>53</v>
      </c>
      <c r="B55" s="193" t="s">
        <v>1013</v>
      </c>
      <c r="C55" s="303"/>
      <c r="D55" s="274" t="s">
        <v>2</v>
      </c>
      <c r="E55" s="279">
        <v>1</v>
      </c>
      <c r="F55" s="286">
        <v>1956</v>
      </c>
      <c r="G55" s="249" t="s">
        <v>283</v>
      </c>
      <c r="H55" s="185" t="s">
        <v>284</v>
      </c>
      <c r="I55" s="197">
        <v>1</v>
      </c>
      <c r="J55" s="295"/>
      <c r="K55" s="184">
        <v>0</v>
      </c>
      <c r="L55" s="184">
        <v>0</v>
      </c>
      <c r="M55" s="67">
        <f t="shared" si="0"/>
        <v>0.1028</v>
      </c>
      <c r="N55" s="242">
        <f>102.8/1000</f>
        <v>0.1028</v>
      </c>
      <c r="O55" s="242"/>
      <c r="P55" s="302"/>
      <c r="Q55" s="241" t="s">
        <v>90</v>
      </c>
      <c r="R55" s="362">
        <v>8.3000000000000001E-3</v>
      </c>
      <c r="S55" s="361">
        <f t="shared" si="1"/>
        <v>12.764293333333333</v>
      </c>
      <c r="V55"/>
      <c r="W55"/>
    </row>
    <row r="56" spans="1:23" ht="15.75">
      <c r="A56" s="253">
        <f t="shared" si="2"/>
        <v>54</v>
      </c>
      <c r="B56" s="193" t="s">
        <v>1012</v>
      </c>
      <c r="C56" s="303"/>
      <c r="D56" s="274" t="s">
        <v>2</v>
      </c>
      <c r="E56" s="279">
        <v>1</v>
      </c>
      <c r="F56" s="286">
        <v>1903</v>
      </c>
      <c r="G56" s="249" t="s">
        <v>283</v>
      </c>
      <c r="H56" s="185" t="s">
        <v>284</v>
      </c>
      <c r="I56" s="197">
        <v>1</v>
      </c>
      <c r="J56" s="295"/>
      <c r="K56" s="184">
        <v>0</v>
      </c>
      <c r="L56" s="184">
        <v>0</v>
      </c>
      <c r="M56" s="67">
        <f t="shared" si="0"/>
        <v>4.7799999999999995E-2</v>
      </c>
      <c r="N56" s="242">
        <f>47.8/1000</f>
        <v>4.7799999999999995E-2</v>
      </c>
      <c r="O56" s="242"/>
      <c r="P56" s="302"/>
      <c r="Q56" s="241" t="s">
        <v>90</v>
      </c>
      <c r="R56" s="362">
        <v>6.0000000000000001E-3</v>
      </c>
      <c r="S56" s="361">
        <f t="shared" si="1"/>
        <v>9.2272000000000016</v>
      </c>
      <c r="V56"/>
      <c r="W56"/>
    </row>
    <row r="57" spans="1:23" ht="15.75">
      <c r="A57" s="253">
        <f t="shared" si="2"/>
        <v>55</v>
      </c>
      <c r="B57" s="193" t="s">
        <v>1011</v>
      </c>
      <c r="C57" s="303"/>
      <c r="D57" s="274" t="s">
        <v>2</v>
      </c>
      <c r="E57" s="279">
        <v>1</v>
      </c>
      <c r="F57" s="286">
        <v>1907</v>
      </c>
      <c r="G57" s="249" t="s">
        <v>283</v>
      </c>
      <c r="H57" s="185" t="s">
        <v>284</v>
      </c>
      <c r="I57" s="197">
        <v>1</v>
      </c>
      <c r="J57" s="295"/>
      <c r="K57" s="184">
        <v>0</v>
      </c>
      <c r="L57" s="184">
        <v>0</v>
      </c>
      <c r="M57" s="67">
        <f t="shared" si="0"/>
        <v>4.7399999999999998E-2</v>
      </c>
      <c r="N57" s="242">
        <f>47.4/1000</f>
        <v>4.7399999999999998E-2</v>
      </c>
      <c r="O57" s="242"/>
      <c r="P57" s="302"/>
      <c r="Q57" s="241" t="s">
        <v>90</v>
      </c>
      <c r="R57" s="362">
        <v>3.8999999999999998E-3</v>
      </c>
      <c r="S57" s="361">
        <f t="shared" si="1"/>
        <v>5.997679999999999</v>
      </c>
      <c r="V57"/>
      <c r="W57"/>
    </row>
    <row r="58" spans="1:23" ht="15.75">
      <c r="A58" s="253">
        <f t="shared" si="2"/>
        <v>56</v>
      </c>
      <c r="B58" s="193" t="s">
        <v>1010</v>
      </c>
      <c r="C58" s="303"/>
      <c r="D58" s="274" t="s">
        <v>2</v>
      </c>
      <c r="E58" s="279">
        <v>1</v>
      </c>
      <c r="F58" s="286">
        <v>1905</v>
      </c>
      <c r="G58" s="249" t="s">
        <v>283</v>
      </c>
      <c r="H58" s="185" t="s">
        <v>284</v>
      </c>
      <c r="I58" s="197">
        <v>1</v>
      </c>
      <c r="J58" s="295"/>
      <c r="K58" s="184">
        <v>0</v>
      </c>
      <c r="L58" s="184">
        <v>0</v>
      </c>
      <c r="M58" s="67">
        <f t="shared" si="0"/>
        <v>6.9199999999999998E-2</v>
      </c>
      <c r="N58" s="242">
        <f>69.2/1000</f>
        <v>6.9199999999999998E-2</v>
      </c>
      <c r="O58" s="242"/>
      <c r="P58" s="302"/>
      <c r="Q58" s="241" t="s">
        <v>90</v>
      </c>
      <c r="R58" s="362">
        <v>6.4999999999999997E-3</v>
      </c>
      <c r="S58" s="361">
        <f t="shared" si="1"/>
        <v>9.9961333333333329</v>
      </c>
      <c r="V58"/>
      <c r="W58"/>
    </row>
    <row r="59" spans="1:23" ht="15.75">
      <c r="A59" s="253">
        <f t="shared" si="2"/>
        <v>57</v>
      </c>
      <c r="B59" s="193" t="s">
        <v>1009</v>
      </c>
      <c r="C59" s="303"/>
      <c r="D59" s="274" t="s">
        <v>2</v>
      </c>
      <c r="E59" s="279">
        <v>1</v>
      </c>
      <c r="F59" s="286">
        <v>1905</v>
      </c>
      <c r="G59" s="249" t="s">
        <v>284</v>
      </c>
      <c r="H59" s="185" t="s">
        <v>284</v>
      </c>
      <c r="I59" s="197">
        <v>1</v>
      </c>
      <c r="J59" s="295"/>
      <c r="K59" s="184">
        <v>0</v>
      </c>
      <c r="L59" s="184">
        <v>0</v>
      </c>
      <c r="M59" s="67">
        <f t="shared" si="0"/>
        <v>4.7299999999999995E-2</v>
      </c>
      <c r="N59" s="242">
        <f>47.3/1000</f>
        <v>4.7299999999999995E-2</v>
      </c>
      <c r="O59" s="242"/>
      <c r="P59" s="302"/>
      <c r="Q59" s="241" t="s">
        <v>90</v>
      </c>
      <c r="R59" s="362">
        <v>6.3E-3</v>
      </c>
      <c r="S59" s="361">
        <f t="shared" si="1"/>
        <v>9.6885600000000007</v>
      </c>
      <c r="V59"/>
      <c r="W59"/>
    </row>
    <row r="60" spans="1:23" ht="15.75">
      <c r="A60" s="253">
        <f t="shared" si="2"/>
        <v>58</v>
      </c>
      <c r="B60" s="193" t="s">
        <v>1008</v>
      </c>
      <c r="C60" s="303"/>
      <c r="D60" s="274" t="s">
        <v>2</v>
      </c>
      <c r="E60" s="279">
        <v>1</v>
      </c>
      <c r="F60" s="286">
        <v>1947</v>
      </c>
      <c r="G60" s="249" t="s">
        <v>283</v>
      </c>
      <c r="H60" s="185" t="s">
        <v>284</v>
      </c>
      <c r="I60" s="197">
        <v>1</v>
      </c>
      <c r="J60" s="295"/>
      <c r="K60" s="184">
        <v>0</v>
      </c>
      <c r="L60" s="184">
        <v>0</v>
      </c>
      <c r="M60" s="67">
        <f t="shared" si="0"/>
        <v>4.36E-2</v>
      </c>
      <c r="N60" s="242">
        <f>43.6/1000</f>
        <v>4.36E-2</v>
      </c>
      <c r="O60" s="242"/>
      <c r="P60" s="302"/>
      <c r="Q60" s="241" t="s">
        <v>90</v>
      </c>
      <c r="R60" s="362">
        <v>5.3E-3</v>
      </c>
      <c r="S60" s="361">
        <f t="shared" si="1"/>
        <v>8.1506933333333329</v>
      </c>
      <c r="V60"/>
      <c r="W60"/>
    </row>
    <row r="61" spans="1:23" ht="15.75">
      <c r="A61" s="253">
        <f t="shared" si="2"/>
        <v>59</v>
      </c>
      <c r="B61" s="193" t="s">
        <v>1007</v>
      </c>
      <c r="C61" s="303"/>
      <c r="D61" s="274" t="s">
        <v>2</v>
      </c>
      <c r="E61" s="279">
        <v>1</v>
      </c>
      <c r="F61" s="286">
        <v>1947</v>
      </c>
      <c r="G61" s="249" t="s">
        <v>283</v>
      </c>
      <c r="H61" s="185" t="s">
        <v>284</v>
      </c>
      <c r="I61" s="197">
        <v>1</v>
      </c>
      <c r="J61" s="295"/>
      <c r="K61" s="184">
        <v>0</v>
      </c>
      <c r="L61" s="184">
        <v>0</v>
      </c>
      <c r="M61" s="67">
        <f t="shared" si="0"/>
        <v>0.1075</v>
      </c>
      <c r="N61" s="242">
        <f>80.4/1000</f>
        <v>8.0399999999999999E-2</v>
      </c>
      <c r="O61" s="242">
        <f>27.1/1000</f>
        <v>2.7100000000000003E-2</v>
      </c>
      <c r="P61" s="302"/>
      <c r="Q61" s="241" t="s">
        <v>90</v>
      </c>
      <c r="R61" s="362">
        <v>9.1999999999999998E-3</v>
      </c>
      <c r="S61" s="361">
        <f t="shared" si="1"/>
        <v>14.148373333333334</v>
      </c>
      <c r="V61"/>
      <c r="W61"/>
    </row>
    <row r="62" spans="1:23" ht="15.75">
      <c r="A62" s="253">
        <f t="shared" si="2"/>
        <v>60</v>
      </c>
      <c r="B62" s="193" t="s">
        <v>1006</v>
      </c>
      <c r="C62" s="303"/>
      <c r="D62" s="274" t="s">
        <v>2</v>
      </c>
      <c r="E62" s="279">
        <v>1</v>
      </c>
      <c r="F62" s="286">
        <v>1947</v>
      </c>
      <c r="G62" s="249" t="s">
        <v>283</v>
      </c>
      <c r="H62" s="185" t="s">
        <v>284</v>
      </c>
      <c r="I62" s="197">
        <v>1</v>
      </c>
      <c r="J62" s="295"/>
      <c r="K62" s="184">
        <v>0</v>
      </c>
      <c r="L62" s="184">
        <v>0</v>
      </c>
      <c r="M62" s="67">
        <f t="shared" si="0"/>
        <v>3.6299999999999999E-2</v>
      </c>
      <c r="N62" s="242">
        <f>36.3/1000</f>
        <v>3.6299999999999999E-2</v>
      </c>
      <c r="O62" s="242"/>
      <c r="P62" s="302"/>
      <c r="Q62" s="241" t="s">
        <v>90</v>
      </c>
      <c r="R62" s="362">
        <v>2.0999999999999999E-3</v>
      </c>
      <c r="S62" s="361">
        <f t="shared" si="1"/>
        <v>3.2295200000000004</v>
      </c>
      <c r="V62"/>
      <c r="W62"/>
    </row>
    <row r="63" spans="1:23" ht="15.75">
      <c r="A63" s="253">
        <f t="shared" si="2"/>
        <v>61</v>
      </c>
      <c r="B63" s="193" t="s">
        <v>1005</v>
      </c>
      <c r="C63" s="303"/>
      <c r="D63" s="274" t="s">
        <v>2</v>
      </c>
      <c r="E63" s="279">
        <v>1</v>
      </c>
      <c r="F63" s="286">
        <v>1947</v>
      </c>
      <c r="G63" s="249" t="s">
        <v>283</v>
      </c>
      <c r="H63" s="185" t="s">
        <v>284</v>
      </c>
      <c r="I63" s="197">
        <v>1</v>
      </c>
      <c r="J63" s="295"/>
      <c r="K63" s="184">
        <v>0</v>
      </c>
      <c r="L63" s="184">
        <v>0</v>
      </c>
      <c r="M63" s="67">
        <f t="shared" si="0"/>
        <v>5.1400000000000001E-2</v>
      </c>
      <c r="N63" s="242">
        <f>51.4/1000</f>
        <v>5.1400000000000001E-2</v>
      </c>
      <c r="O63" s="242"/>
      <c r="P63" s="302"/>
      <c r="Q63" s="241" t="s">
        <v>90</v>
      </c>
      <c r="R63" s="362">
        <v>4.1000000000000003E-3</v>
      </c>
      <c r="S63" s="361">
        <f t="shared" si="1"/>
        <v>6.3052533333333338</v>
      </c>
      <c r="V63"/>
      <c r="W63"/>
    </row>
    <row r="64" spans="1:23" ht="15.75">
      <c r="A64" s="253">
        <f t="shared" si="2"/>
        <v>62</v>
      </c>
      <c r="B64" s="193" t="s">
        <v>1004</v>
      </c>
      <c r="C64" s="303"/>
      <c r="D64" s="274" t="s">
        <v>2</v>
      </c>
      <c r="E64" s="279">
        <v>1</v>
      </c>
      <c r="F64" s="286">
        <v>1952</v>
      </c>
      <c r="G64" s="249" t="s">
        <v>283</v>
      </c>
      <c r="H64" s="185" t="s">
        <v>284</v>
      </c>
      <c r="I64" s="197">
        <v>1</v>
      </c>
      <c r="J64" s="295"/>
      <c r="K64" s="184">
        <v>0</v>
      </c>
      <c r="L64" s="184">
        <v>0</v>
      </c>
      <c r="M64" s="67">
        <f t="shared" si="0"/>
        <v>4.7799999999999995E-2</v>
      </c>
      <c r="N64" s="242">
        <f>47.8/1000</f>
        <v>4.7799999999999995E-2</v>
      </c>
      <c r="O64" s="242"/>
      <c r="P64" s="302"/>
      <c r="Q64" s="241" t="s">
        <v>90</v>
      </c>
      <c r="R64" s="362">
        <v>3.5000000000000001E-3</v>
      </c>
      <c r="S64" s="361">
        <f t="shared" si="1"/>
        <v>5.3825333333333338</v>
      </c>
      <c r="V64"/>
      <c r="W64"/>
    </row>
    <row r="65" spans="1:23" ht="15.75">
      <c r="A65" s="253">
        <f t="shared" si="2"/>
        <v>63</v>
      </c>
      <c r="B65" s="193" t="s">
        <v>1003</v>
      </c>
      <c r="C65" s="303"/>
      <c r="D65" s="274" t="s">
        <v>2</v>
      </c>
      <c r="E65" s="279">
        <v>1</v>
      </c>
      <c r="F65" s="286">
        <v>1952</v>
      </c>
      <c r="G65" s="249" t="s">
        <v>283</v>
      </c>
      <c r="H65" s="185" t="s">
        <v>284</v>
      </c>
      <c r="I65" s="197">
        <v>1</v>
      </c>
      <c r="J65" s="295"/>
      <c r="K65" s="184">
        <v>0</v>
      </c>
      <c r="L65" s="184">
        <v>0</v>
      </c>
      <c r="M65" s="67">
        <f t="shared" si="0"/>
        <v>6.720000000000001E-2</v>
      </c>
      <c r="N65" s="242">
        <f>67.2/1000</f>
        <v>6.720000000000001E-2</v>
      </c>
      <c r="O65" s="242"/>
      <c r="P65" s="302"/>
      <c r="Q65" s="241" t="s">
        <v>90</v>
      </c>
      <c r="R65" s="362">
        <v>5.7000000000000002E-3</v>
      </c>
      <c r="S65" s="361">
        <f t="shared" si="1"/>
        <v>8.7658400000000007</v>
      </c>
      <c r="V65"/>
      <c r="W65"/>
    </row>
    <row r="66" spans="1:23" ht="15.75">
      <c r="A66" s="253">
        <f t="shared" si="2"/>
        <v>64</v>
      </c>
      <c r="B66" s="193" t="s">
        <v>1002</v>
      </c>
      <c r="C66" s="303"/>
      <c r="D66" s="274" t="s">
        <v>2</v>
      </c>
      <c r="E66" s="279">
        <v>1</v>
      </c>
      <c r="F66" s="286">
        <v>1952</v>
      </c>
      <c r="G66" s="249" t="s">
        <v>284</v>
      </c>
      <c r="H66" s="185" t="s">
        <v>284</v>
      </c>
      <c r="I66" s="197">
        <v>1</v>
      </c>
      <c r="J66" s="295"/>
      <c r="K66" s="184">
        <v>0</v>
      </c>
      <c r="L66" s="184">
        <v>0</v>
      </c>
      <c r="M66" s="67">
        <f t="shared" si="0"/>
        <v>5.8299999999999998E-2</v>
      </c>
      <c r="N66" s="242">
        <f>53.8/1000</f>
        <v>5.3800000000000001E-2</v>
      </c>
      <c r="O66" s="242">
        <f>4.5/1000</f>
        <v>4.4999999999999997E-3</v>
      </c>
      <c r="P66" s="302"/>
      <c r="Q66" s="241" t="s">
        <v>90</v>
      </c>
      <c r="R66" s="362">
        <v>6.4999999999999997E-3</v>
      </c>
      <c r="S66" s="361">
        <f t="shared" si="1"/>
        <v>9.9961333333333329</v>
      </c>
      <c r="V66"/>
      <c r="W66"/>
    </row>
    <row r="67" spans="1:23" ht="15.75">
      <c r="A67" s="253">
        <f t="shared" si="2"/>
        <v>65</v>
      </c>
      <c r="B67" s="193" t="s">
        <v>1001</v>
      </c>
      <c r="C67" s="303"/>
      <c r="D67" s="274" t="s">
        <v>2</v>
      </c>
      <c r="E67" s="279">
        <v>1</v>
      </c>
      <c r="F67" s="286">
        <v>1952</v>
      </c>
      <c r="G67" s="249" t="s">
        <v>284</v>
      </c>
      <c r="H67" s="185" t="s">
        <v>284</v>
      </c>
      <c r="I67" s="197">
        <v>1</v>
      </c>
      <c r="J67" s="295"/>
      <c r="K67" s="184">
        <v>0</v>
      </c>
      <c r="L67" s="184">
        <v>0</v>
      </c>
      <c r="M67" s="67">
        <f t="shared" ref="M67:M130" si="3">N67+O67+P67</f>
        <v>3.5200000000000002E-2</v>
      </c>
      <c r="N67" s="242">
        <f>35.2/1000</f>
        <v>3.5200000000000002E-2</v>
      </c>
      <c r="O67" s="242"/>
      <c r="P67" s="302"/>
      <c r="Q67" s="241" t="s">
        <v>90</v>
      </c>
      <c r="R67" s="362">
        <v>4.7000000000000002E-3</v>
      </c>
      <c r="S67" s="361">
        <f t="shared" ref="S67:S130" si="4">R67*24*158*((18-3.4)/36)</f>
        <v>7.2279733333333338</v>
      </c>
      <c r="V67"/>
      <c r="W67"/>
    </row>
    <row r="68" spans="1:23" ht="15.75">
      <c r="A68" s="253">
        <f t="shared" ref="A68:A131" si="5">A67+1</f>
        <v>66</v>
      </c>
      <c r="B68" s="193" t="s">
        <v>1000</v>
      </c>
      <c r="C68" s="303"/>
      <c r="D68" s="274" t="s">
        <v>2</v>
      </c>
      <c r="E68" s="279">
        <v>1</v>
      </c>
      <c r="F68" s="286">
        <v>1953</v>
      </c>
      <c r="G68" s="249" t="s">
        <v>284</v>
      </c>
      <c r="H68" s="185" t="s">
        <v>284</v>
      </c>
      <c r="I68" s="197">
        <v>1</v>
      </c>
      <c r="J68" s="295"/>
      <c r="K68" s="184">
        <v>0</v>
      </c>
      <c r="L68" s="184">
        <v>0</v>
      </c>
      <c r="M68" s="67">
        <f t="shared" si="3"/>
        <v>5.96E-2</v>
      </c>
      <c r="N68" s="242">
        <f>59.6/1000</f>
        <v>5.96E-2</v>
      </c>
      <c r="O68" s="242"/>
      <c r="P68" s="302"/>
      <c r="Q68" s="241" t="s">
        <v>90</v>
      </c>
      <c r="R68" s="362">
        <v>8.2000000000000007E-3</v>
      </c>
      <c r="S68" s="361">
        <f t="shared" si="4"/>
        <v>12.610506666666668</v>
      </c>
      <c r="V68"/>
      <c r="W68"/>
    </row>
    <row r="69" spans="1:23" ht="15.75">
      <c r="A69" s="253">
        <f t="shared" si="5"/>
        <v>67</v>
      </c>
      <c r="B69" s="193" t="s">
        <v>999</v>
      </c>
      <c r="C69" s="303"/>
      <c r="D69" s="274" t="s">
        <v>2</v>
      </c>
      <c r="E69" s="279">
        <v>1</v>
      </c>
      <c r="F69" s="286">
        <v>1953</v>
      </c>
      <c r="G69" s="249" t="s">
        <v>284</v>
      </c>
      <c r="H69" s="185" t="s">
        <v>284</v>
      </c>
      <c r="I69" s="197">
        <v>1</v>
      </c>
      <c r="J69" s="295"/>
      <c r="K69" s="184">
        <v>0</v>
      </c>
      <c r="L69" s="184">
        <v>0</v>
      </c>
      <c r="M69" s="67">
        <f t="shared" si="3"/>
        <v>0.1011</v>
      </c>
      <c r="N69" s="242">
        <f>101.1/1000</f>
        <v>0.1011</v>
      </c>
      <c r="O69" s="242"/>
      <c r="P69" s="302"/>
      <c r="Q69" s="241" t="s">
        <v>90</v>
      </c>
      <c r="R69" s="362">
        <v>1.0500000000000001E-2</v>
      </c>
      <c r="S69" s="361">
        <f t="shared" si="4"/>
        <v>16.147600000000001</v>
      </c>
      <c r="V69"/>
      <c r="W69"/>
    </row>
    <row r="70" spans="1:23" ht="15.75">
      <c r="A70" s="253">
        <f t="shared" si="5"/>
        <v>68</v>
      </c>
      <c r="B70" s="193" t="s">
        <v>998</v>
      </c>
      <c r="C70" s="303"/>
      <c r="D70" s="274" t="s">
        <v>2</v>
      </c>
      <c r="E70" s="279">
        <v>1</v>
      </c>
      <c r="F70" s="286">
        <v>1951</v>
      </c>
      <c r="G70" s="249" t="s">
        <v>283</v>
      </c>
      <c r="H70" s="185" t="s">
        <v>284</v>
      </c>
      <c r="I70" s="197">
        <v>1</v>
      </c>
      <c r="J70" s="295"/>
      <c r="K70" s="184">
        <v>0</v>
      </c>
      <c r="L70" s="184">
        <v>0</v>
      </c>
      <c r="M70" s="67">
        <f t="shared" si="3"/>
        <v>0.13730000000000001</v>
      </c>
      <c r="N70" s="242">
        <f>133.8/1000</f>
        <v>0.1338</v>
      </c>
      <c r="O70" s="242">
        <f>3.5/1000</f>
        <v>3.5000000000000001E-3</v>
      </c>
      <c r="P70" s="302"/>
      <c r="Q70" s="241" t="s">
        <v>90</v>
      </c>
      <c r="R70" s="362">
        <v>1.2500000000000001E-2</v>
      </c>
      <c r="S70" s="361">
        <f t="shared" si="4"/>
        <v>19.223333333333336</v>
      </c>
      <c r="V70"/>
      <c r="W70"/>
    </row>
    <row r="71" spans="1:23" ht="15.75">
      <c r="A71" s="253">
        <f t="shared" si="5"/>
        <v>69</v>
      </c>
      <c r="B71" s="193" t="s">
        <v>997</v>
      </c>
      <c r="C71" s="303"/>
      <c r="D71" s="274" t="s">
        <v>2</v>
      </c>
      <c r="E71" s="279">
        <v>1</v>
      </c>
      <c r="F71" s="286">
        <v>1951</v>
      </c>
      <c r="G71" s="249" t="s">
        <v>284</v>
      </c>
      <c r="H71" s="185" t="s">
        <v>284</v>
      </c>
      <c r="I71" s="197">
        <v>1</v>
      </c>
      <c r="J71" s="295"/>
      <c r="K71" s="184">
        <v>0</v>
      </c>
      <c r="L71" s="184">
        <v>0</v>
      </c>
      <c r="M71" s="67">
        <f t="shared" si="3"/>
        <v>5.7299999999999997E-2</v>
      </c>
      <c r="N71" s="242">
        <f>57.3/1000</f>
        <v>5.7299999999999997E-2</v>
      </c>
      <c r="O71" s="242"/>
      <c r="P71" s="302"/>
      <c r="Q71" s="241" t="s">
        <v>90</v>
      </c>
      <c r="R71" s="362">
        <v>7.4000000000000003E-3</v>
      </c>
      <c r="S71" s="361">
        <f t="shared" si="4"/>
        <v>11.380213333333334</v>
      </c>
      <c r="V71"/>
      <c r="W71"/>
    </row>
    <row r="72" spans="1:23" ht="15.75">
      <c r="A72" s="253">
        <f t="shared" si="5"/>
        <v>70</v>
      </c>
      <c r="B72" s="193" t="s">
        <v>996</v>
      </c>
      <c r="C72" s="303"/>
      <c r="D72" s="274" t="s">
        <v>2</v>
      </c>
      <c r="E72" s="279">
        <v>1</v>
      </c>
      <c r="F72" s="286">
        <v>1951</v>
      </c>
      <c r="G72" s="249" t="s">
        <v>284</v>
      </c>
      <c r="H72" s="185" t="s">
        <v>284</v>
      </c>
      <c r="I72" s="197">
        <v>1</v>
      </c>
      <c r="J72" s="295"/>
      <c r="K72" s="184">
        <v>0</v>
      </c>
      <c r="L72" s="184">
        <v>0</v>
      </c>
      <c r="M72" s="67">
        <f t="shared" si="3"/>
        <v>4.4299999999999999E-2</v>
      </c>
      <c r="N72" s="242">
        <f>44.3/1000</f>
        <v>4.4299999999999999E-2</v>
      </c>
      <c r="O72" s="242"/>
      <c r="P72" s="302"/>
      <c r="Q72" s="241" t="s">
        <v>90</v>
      </c>
      <c r="R72" s="362">
        <v>5.7999999999999996E-3</v>
      </c>
      <c r="S72" s="361">
        <f t="shared" si="4"/>
        <v>8.9196266666666659</v>
      </c>
      <c r="V72"/>
      <c r="W72"/>
    </row>
    <row r="73" spans="1:23" ht="15.75">
      <c r="A73" s="253">
        <f t="shared" si="5"/>
        <v>71</v>
      </c>
      <c r="B73" s="193" t="s">
        <v>995</v>
      </c>
      <c r="C73" s="303"/>
      <c r="D73" s="274" t="s">
        <v>2</v>
      </c>
      <c r="E73" s="279">
        <v>1</v>
      </c>
      <c r="F73" s="286">
        <v>1948</v>
      </c>
      <c r="G73" s="249" t="s">
        <v>283</v>
      </c>
      <c r="H73" s="185" t="s">
        <v>284</v>
      </c>
      <c r="I73" s="197">
        <v>1</v>
      </c>
      <c r="J73" s="295"/>
      <c r="K73" s="184">
        <v>0</v>
      </c>
      <c r="L73" s="184">
        <v>0</v>
      </c>
      <c r="M73" s="67">
        <f t="shared" si="3"/>
        <v>5.5400000000000005E-2</v>
      </c>
      <c r="N73" s="242">
        <f>52.2/1000</f>
        <v>5.2200000000000003E-2</v>
      </c>
      <c r="O73" s="242">
        <f>3.2/1000</f>
        <v>3.2000000000000002E-3</v>
      </c>
      <c r="P73" s="302"/>
      <c r="Q73" s="241" t="s">
        <v>90</v>
      </c>
      <c r="R73" s="362">
        <v>2.7000000000000001E-3</v>
      </c>
      <c r="S73" s="361">
        <f t="shared" si="4"/>
        <v>4.152239999999999</v>
      </c>
      <c r="V73"/>
      <c r="W73"/>
    </row>
    <row r="74" spans="1:23" ht="15.75">
      <c r="A74" s="253">
        <f t="shared" si="5"/>
        <v>72</v>
      </c>
      <c r="B74" s="193" t="s">
        <v>994</v>
      </c>
      <c r="C74" s="303"/>
      <c r="D74" s="274" t="s">
        <v>2</v>
      </c>
      <c r="E74" s="279">
        <v>1</v>
      </c>
      <c r="F74" s="286">
        <v>1948</v>
      </c>
      <c r="G74" s="249" t="s">
        <v>284</v>
      </c>
      <c r="H74" s="185" t="s">
        <v>284</v>
      </c>
      <c r="I74" s="197">
        <v>1</v>
      </c>
      <c r="J74" s="295"/>
      <c r="K74" s="184">
        <v>0</v>
      </c>
      <c r="L74" s="184">
        <v>0</v>
      </c>
      <c r="M74" s="67">
        <f t="shared" si="3"/>
        <v>9.1499999999999998E-2</v>
      </c>
      <c r="N74" s="242">
        <f>47.6/1000</f>
        <v>4.7600000000000003E-2</v>
      </c>
      <c r="O74" s="242">
        <f>43.9/1000</f>
        <v>4.3900000000000002E-2</v>
      </c>
      <c r="P74" s="302"/>
      <c r="Q74" s="241" t="s">
        <v>90</v>
      </c>
      <c r="R74" s="362">
        <v>6.7000000000000002E-3</v>
      </c>
      <c r="S74" s="361">
        <f t="shared" si="4"/>
        <v>10.303706666666667</v>
      </c>
      <c r="V74"/>
      <c r="W74"/>
    </row>
    <row r="75" spans="1:23" ht="15.75">
      <c r="A75" s="253">
        <f t="shared" si="5"/>
        <v>73</v>
      </c>
      <c r="B75" s="193" t="s">
        <v>993</v>
      </c>
      <c r="C75" s="303"/>
      <c r="D75" s="274" t="s">
        <v>2</v>
      </c>
      <c r="E75" s="279">
        <v>1</v>
      </c>
      <c r="F75" s="286">
        <v>1948</v>
      </c>
      <c r="G75" s="249" t="s">
        <v>284</v>
      </c>
      <c r="H75" s="185" t="s">
        <v>284</v>
      </c>
      <c r="I75" s="197">
        <v>1</v>
      </c>
      <c r="J75" s="295"/>
      <c r="K75" s="184">
        <v>0</v>
      </c>
      <c r="L75" s="184">
        <v>0</v>
      </c>
      <c r="M75" s="67">
        <f t="shared" si="3"/>
        <v>5.96E-2</v>
      </c>
      <c r="N75" s="242">
        <f>59.6/1000</f>
        <v>5.96E-2</v>
      </c>
      <c r="O75" s="242"/>
      <c r="P75" s="302"/>
      <c r="Q75" s="241" t="s">
        <v>90</v>
      </c>
      <c r="R75" s="362">
        <v>4.7000000000000002E-3</v>
      </c>
      <c r="S75" s="361">
        <f t="shared" si="4"/>
        <v>7.2279733333333338</v>
      </c>
      <c r="V75"/>
      <c r="W75"/>
    </row>
    <row r="76" spans="1:23" ht="15.75">
      <c r="A76" s="253">
        <f t="shared" si="5"/>
        <v>74</v>
      </c>
      <c r="B76" s="193" t="s">
        <v>992</v>
      </c>
      <c r="C76" s="303"/>
      <c r="D76" s="274" t="s">
        <v>2</v>
      </c>
      <c r="E76" s="279">
        <v>1</v>
      </c>
      <c r="F76" s="286">
        <v>1948</v>
      </c>
      <c r="G76" s="249" t="s">
        <v>284</v>
      </c>
      <c r="H76" s="185" t="s">
        <v>284</v>
      </c>
      <c r="I76" s="197">
        <v>1</v>
      </c>
      <c r="J76" s="295"/>
      <c r="K76" s="184">
        <v>0</v>
      </c>
      <c r="L76" s="184">
        <v>0</v>
      </c>
      <c r="M76" s="67">
        <f t="shared" si="3"/>
        <v>3.32E-2</v>
      </c>
      <c r="N76" s="242">
        <f>17.2/1000</f>
        <v>1.72E-2</v>
      </c>
      <c r="O76" s="242">
        <f>16/1000</f>
        <v>1.6E-2</v>
      </c>
      <c r="P76" s="302"/>
      <c r="Q76" s="241" t="s">
        <v>90</v>
      </c>
      <c r="R76" s="362">
        <v>1.6000000000000001E-3</v>
      </c>
      <c r="S76" s="361">
        <f t="shared" si="4"/>
        <v>2.4605866666666669</v>
      </c>
      <c r="V76"/>
      <c r="W76"/>
    </row>
    <row r="77" spans="1:23" ht="15.75">
      <c r="A77" s="253">
        <f t="shared" si="5"/>
        <v>75</v>
      </c>
      <c r="B77" s="193" t="s">
        <v>991</v>
      </c>
      <c r="C77" s="303"/>
      <c r="D77" s="274" t="s">
        <v>2</v>
      </c>
      <c r="E77" s="279">
        <v>1</v>
      </c>
      <c r="F77" s="286">
        <v>1948</v>
      </c>
      <c r="G77" s="249" t="s">
        <v>284</v>
      </c>
      <c r="H77" s="185" t="s">
        <v>284</v>
      </c>
      <c r="I77" s="197">
        <v>1</v>
      </c>
      <c r="J77" s="295"/>
      <c r="K77" s="184">
        <v>0</v>
      </c>
      <c r="L77" s="184">
        <v>0</v>
      </c>
      <c r="M77" s="67">
        <f t="shared" si="3"/>
        <v>5.5199999999999999E-2</v>
      </c>
      <c r="N77" s="242">
        <f>45.6/1000</f>
        <v>4.5600000000000002E-2</v>
      </c>
      <c r="O77" s="242">
        <f>9.6/1000</f>
        <v>9.5999999999999992E-3</v>
      </c>
      <c r="P77" s="302"/>
      <c r="Q77" s="241" t="s">
        <v>90</v>
      </c>
      <c r="R77" s="362">
        <v>5.8999999999999999E-3</v>
      </c>
      <c r="S77" s="361">
        <f t="shared" si="4"/>
        <v>9.0734133333333347</v>
      </c>
      <c r="V77"/>
      <c r="W77"/>
    </row>
    <row r="78" spans="1:23" ht="15.75">
      <c r="A78" s="253">
        <f t="shared" si="5"/>
        <v>76</v>
      </c>
      <c r="B78" s="193" t="s">
        <v>990</v>
      </c>
      <c r="C78" s="303"/>
      <c r="D78" s="274" t="s">
        <v>2</v>
      </c>
      <c r="E78" s="279">
        <v>1</v>
      </c>
      <c r="F78" s="286">
        <v>1948</v>
      </c>
      <c r="G78" s="249" t="s">
        <v>284</v>
      </c>
      <c r="H78" s="185" t="s">
        <v>284</v>
      </c>
      <c r="I78" s="197">
        <v>1</v>
      </c>
      <c r="J78" s="295"/>
      <c r="K78" s="184">
        <v>0</v>
      </c>
      <c r="L78" s="184">
        <v>0</v>
      </c>
      <c r="M78" s="67">
        <f t="shared" si="3"/>
        <v>3.95E-2</v>
      </c>
      <c r="N78" s="242">
        <f>39.5/1000</f>
        <v>3.95E-2</v>
      </c>
      <c r="O78" s="242"/>
      <c r="P78" s="302"/>
      <c r="Q78" s="241" t="s">
        <v>90</v>
      </c>
      <c r="R78" s="362">
        <v>4.7000000000000002E-3</v>
      </c>
      <c r="S78" s="361">
        <f t="shared" si="4"/>
        <v>7.2279733333333338</v>
      </c>
      <c r="V78"/>
      <c r="W78"/>
    </row>
    <row r="79" spans="1:23" ht="15.75">
      <c r="A79" s="253">
        <f t="shared" si="5"/>
        <v>77</v>
      </c>
      <c r="B79" s="193" t="s">
        <v>989</v>
      </c>
      <c r="C79" s="303"/>
      <c r="D79" s="274" t="s">
        <v>2</v>
      </c>
      <c r="E79" s="279">
        <v>1</v>
      </c>
      <c r="F79" s="286">
        <v>1948</v>
      </c>
      <c r="G79" s="249" t="s">
        <v>283</v>
      </c>
      <c r="H79" s="185" t="s">
        <v>284</v>
      </c>
      <c r="I79" s="197">
        <v>1</v>
      </c>
      <c r="J79" s="295"/>
      <c r="K79" s="184">
        <v>0</v>
      </c>
      <c r="L79" s="184">
        <v>0</v>
      </c>
      <c r="M79" s="67">
        <f t="shared" si="3"/>
        <v>4.8799999999999996E-2</v>
      </c>
      <c r="N79" s="242">
        <f>48.8/1000</f>
        <v>4.8799999999999996E-2</v>
      </c>
      <c r="O79" s="242"/>
      <c r="P79" s="302"/>
      <c r="Q79" s="241" t="s">
        <v>90</v>
      </c>
      <c r="R79" s="362">
        <v>6.0000000000000001E-3</v>
      </c>
      <c r="S79" s="361">
        <f t="shared" si="4"/>
        <v>9.2272000000000016</v>
      </c>
      <c r="V79"/>
      <c r="W79"/>
    </row>
    <row r="80" spans="1:23" ht="15.75">
      <c r="A80" s="253">
        <f t="shared" si="5"/>
        <v>78</v>
      </c>
      <c r="B80" s="193" t="s">
        <v>988</v>
      </c>
      <c r="C80" s="303"/>
      <c r="D80" s="274" t="s">
        <v>2</v>
      </c>
      <c r="E80" s="279">
        <v>1</v>
      </c>
      <c r="F80" s="297">
        <v>1999</v>
      </c>
      <c r="G80" s="249" t="s">
        <v>283</v>
      </c>
      <c r="H80" s="185" t="s">
        <v>284</v>
      </c>
      <c r="I80" s="197">
        <v>1</v>
      </c>
      <c r="J80" s="295"/>
      <c r="K80" s="184">
        <v>0</v>
      </c>
      <c r="L80" s="184">
        <v>0</v>
      </c>
      <c r="M80" s="67">
        <f t="shared" si="3"/>
        <v>0.14130000000000001</v>
      </c>
      <c r="N80" s="242">
        <f>141.3/1000</f>
        <v>0.14130000000000001</v>
      </c>
      <c r="O80" s="242"/>
      <c r="P80" s="302"/>
      <c r="Q80" s="241" t="s">
        <v>90</v>
      </c>
      <c r="R80" s="362">
        <v>1.0200000000000001E-2</v>
      </c>
      <c r="S80" s="361">
        <f t="shared" si="4"/>
        <v>15.686240000000002</v>
      </c>
      <c r="V80"/>
      <c r="W80"/>
    </row>
    <row r="81" spans="1:23" ht="15.75">
      <c r="A81" s="253">
        <f t="shared" si="5"/>
        <v>79</v>
      </c>
      <c r="B81" s="193" t="s">
        <v>987</v>
      </c>
      <c r="C81" s="303"/>
      <c r="D81" s="274" t="s">
        <v>2</v>
      </c>
      <c r="E81" s="279">
        <v>1</v>
      </c>
      <c r="F81" s="286">
        <v>1966</v>
      </c>
      <c r="G81" s="249" t="s">
        <v>283</v>
      </c>
      <c r="H81" s="185" t="s">
        <v>284</v>
      </c>
      <c r="I81" s="197">
        <v>1</v>
      </c>
      <c r="J81" s="295"/>
      <c r="K81" s="184">
        <v>0</v>
      </c>
      <c r="L81" s="184">
        <v>0</v>
      </c>
      <c r="M81" s="67">
        <f t="shared" si="3"/>
        <v>6.54E-2</v>
      </c>
      <c r="N81" s="242">
        <f>65.4/1000</f>
        <v>6.54E-2</v>
      </c>
      <c r="O81" s="242"/>
      <c r="P81" s="302"/>
      <c r="Q81" s="241" t="s">
        <v>90</v>
      </c>
      <c r="R81" s="362">
        <v>5.7000000000000002E-3</v>
      </c>
      <c r="S81" s="361">
        <f t="shared" si="4"/>
        <v>8.7658400000000007</v>
      </c>
      <c r="V81"/>
      <c r="W81"/>
    </row>
    <row r="82" spans="1:23" ht="15.75">
      <c r="A82" s="253">
        <f t="shared" si="5"/>
        <v>80</v>
      </c>
      <c r="B82" s="193" t="s">
        <v>986</v>
      </c>
      <c r="C82" s="303"/>
      <c r="D82" s="274" t="s">
        <v>2</v>
      </c>
      <c r="E82" s="279">
        <v>1</v>
      </c>
      <c r="F82" s="286">
        <v>1966</v>
      </c>
      <c r="G82" s="249" t="s">
        <v>283</v>
      </c>
      <c r="H82" s="185" t="s">
        <v>284</v>
      </c>
      <c r="I82" s="197">
        <v>1</v>
      </c>
      <c r="J82" s="295"/>
      <c r="K82" s="184">
        <v>0</v>
      </c>
      <c r="L82" s="184">
        <v>0</v>
      </c>
      <c r="M82" s="67">
        <f t="shared" si="3"/>
        <v>0.1142</v>
      </c>
      <c r="N82" s="242">
        <f>114.2/1000</f>
        <v>0.1142</v>
      </c>
      <c r="O82" s="242"/>
      <c r="P82" s="302"/>
      <c r="Q82" s="241" t="s">
        <v>90</v>
      </c>
      <c r="R82" s="362">
        <v>1.17E-2</v>
      </c>
      <c r="S82" s="361">
        <f t="shared" si="4"/>
        <v>17.993040000000001</v>
      </c>
      <c r="V82"/>
      <c r="W82"/>
    </row>
    <row r="83" spans="1:23" ht="15.75">
      <c r="A83" s="253">
        <f t="shared" si="5"/>
        <v>81</v>
      </c>
      <c r="B83" s="193" t="s">
        <v>985</v>
      </c>
      <c r="C83" s="303"/>
      <c r="D83" s="274" t="s">
        <v>2</v>
      </c>
      <c r="E83" s="279">
        <v>1</v>
      </c>
      <c r="F83" s="286">
        <v>1961</v>
      </c>
      <c r="G83" s="249" t="s">
        <v>284</v>
      </c>
      <c r="H83" s="185" t="s">
        <v>284</v>
      </c>
      <c r="I83" s="197">
        <v>1</v>
      </c>
      <c r="J83" s="295"/>
      <c r="K83" s="184">
        <v>0</v>
      </c>
      <c r="L83" s="184">
        <v>0</v>
      </c>
      <c r="M83" s="67">
        <f t="shared" si="3"/>
        <v>6.5000000000000002E-2</v>
      </c>
      <c r="N83" s="242">
        <f>49.1/1000</f>
        <v>4.9100000000000005E-2</v>
      </c>
      <c r="O83" s="242">
        <f>15.9/1000</f>
        <v>1.5900000000000001E-2</v>
      </c>
      <c r="P83" s="302"/>
      <c r="Q83" s="241" t="s">
        <v>90</v>
      </c>
      <c r="R83" s="362">
        <v>8.8000000000000005E-3</v>
      </c>
      <c r="S83" s="361">
        <f t="shared" si="4"/>
        <v>13.533226666666666</v>
      </c>
      <c r="V83"/>
      <c r="W83"/>
    </row>
    <row r="84" spans="1:23" ht="15.75">
      <c r="A84" s="253">
        <f t="shared" si="5"/>
        <v>82</v>
      </c>
      <c r="B84" s="193" t="s">
        <v>984</v>
      </c>
      <c r="C84" s="303"/>
      <c r="D84" s="274" t="s">
        <v>2</v>
      </c>
      <c r="E84" s="279">
        <v>1</v>
      </c>
      <c r="F84" s="286">
        <v>1953</v>
      </c>
      <c r="G84" s="249" t="s">
        <v>283</v>
      </c>
      <c r="H84" s="185" t="s">
        <v>284</v>
      </c>
      <c r="I84" s="197">
        <v>1</v>
      </c>
      <c r="J84" s="295"/>
      <c r="K84" s="184">
        <v>0</v>
      </c>
      <c r="L84" s="184">
        <v>0</v>
      </c>
      <c r="M84" s="67">
        <f t="shared" si="3"/>
        <v>8.4599999999999995E-2</v>
      </c>
      <c r="N84" s="242">
        <f>84.6/1000</f>
        <v>8.4599999999999995E-2</v>
      </c>
      <c r="O84" s="242"/>
      <c r="P84" s="302"/>
      <c r="Q84" s="241" t="s">
        <v>90</v>
      </c>
      <c r="R84" s="362">
        <v>7.7000000000000002E-3</v>
      </c>
      <c r="S84" s="361">
        <f t="shared" si="4"/>
        <v>11.841573333333335</v>
      </c>
      <c r="V84"/>
      <c r="W84"/>
    </row>
    <row r="85" spans="1:23" ht="15.75">
      <c r="A85" s="253">
        <f t="shared" si="5"/>
        <v>83</v>
      </c>
      <c r="B85" s="193" t="s">
        <v>983</v>
      </c>
      <c r="C85" s="303"/>
      <c r="D85" s="274" t="s">
        <v>2</v>
      </c>
      <c r="E85" s="279">
        <v>1</v>
      </c>
      <c r="F85" s="286">
        <v>1973</v>
      </c>
      <c r="G85" s="249" t="s">
        <v>284</v>
      </c>
      <c r="H85" s="185" t="s">
        <v>284</v>
      </c>
      <c r="I85" s="197">
        <v>1</v>
      </c>
      <c r="J85" s="295"/>
      <c r="K85" s="184">
        <v>0</v>
      </c>
      <c r="L85" s="184">
        <v>0</v>
      </c>
      <c r="M85" s="67">
        <f t="shared" si="3"/>
        <v>7.7899999999999997E-2</v>
      </c>
      <c r="N85" s="242">
        <f>44.5/1000</f>
        <v>4.4499999999999998E-2</v>
      </c>
      <c r="O85" s="242">
        <f>33.4/1000</f>
        <v>3.3399999999999999E-2</v>
      </c>
      <c r="P85" s="302"/>
      <c r="Q85" s="241" t="s">
        <v>90</v>
      </c>
      <c r="R85" s="362">
        <v>4.5999999999999999E-3</v>
      </c>
      <c r="S85" s="361">
        <f t="shared" si="4"/>
        <v>7.0741866666666668</v>
      </c>
      <c r="V85"/>
      <c r="W85"/>
    </row>
    <row r="86" spans="1:23" ht="15.75">
      <c r="A86" s="253">
        <f t="shared" si="5"/>
        <v>84</v>
      </c>
      <c r="B86" s="193" t="s">
        <v>982</v>
      </c>
      <c r="C86" s="303"/>
      <c r="D86" s="274" t="s">
        <v>2</v>
      </c>
      <c r="E86" s="279">
        <v>1</v>
      </c>
      <c r="F86" s="286">
        <v>1976</v>
      </c>
      <c r="G86" s="249" t="s">
        <v>283</v>
      </c>
      <c r="H86" s="185" t="s">
        <v>284</v>
      </c>
      <c r="I86" s="197">
        <v>1</v>
      </c>
      <c r="J86" s="295"/>
      <c r="K86" s="184">
        <v>0</v>
      </c>
      <c r="L86" s="184">
        <v>0</v>
      </c>
      <c r="M86" s="67">
        <f t="shared" si="3"/>
        <v>7.3999999999999996E-2</v>
      </c>
      <c r="N86" s="242">
        <f>74/1000</f>
        <v>7.3999999999999996E-2</v>
      </c>
      <c r="O86" s="242"/>
      <c r="P86" s="302"/>
      <c r="Q86" s="241" t="s">
        <v>90</v>
      </c>
      <c r="R86" s="362">
        <v>7.3000000000000001E-3</v>
      </c>
      <c r="S86" s="361">
        <f t="shared" si="4"/>
        <v>11.226426666666667</v>
      </c>
      <c r="V86"/>
      <c r="W86"/>
    </row>
    <row r="87" spans="1:23" ht="15.75">
      <c r="A87" s="253">
        <f t="shared" si="5"/>
        <v>85</v>
      </c>
      <c r="B87" s="193" t="s">
        <v>981</v>
      </c>
      <c r="C87" s="303"/>
      <c r="D87" s="274" t="s">
        <v>2</v>
      </c>
      <c r="E87" s="279">
        <v>1</v>
      </c>
      <c r="F87" s="286">
        <v>1903</v>
      </c>
      <c r="G87" s="249" t="s">
        <v>283</v>
      </c>
      <c r="H87" s="185" t="s">
        <v>284</v>
      </c>
      <c r="I87" s="197">
        <v>1</v>
      </c>
      <c r="J87" s="295"/>
      <c r="K87" s="184">
        <v>0</v>
      </c>
      <c r="L87" s="184">
        <v>0</v>
      </c>
      <c r="M87" s="67">
        <f t="shared" si="3"/>
        <v>6.5799999999999997E-2</v>
      </c>
      <c r="N87" s="242">
        <f>65.8/1000</f>
        <v>6.5799999999999997E-2</v>
      </c>
      <c r="O87" s="242"/>
      <c r="P87" s="302"/>
      <c r="Q87" s="241" t="s">
        <v>90</v>
      </c>
      <c r="R87" s="362">
        <v>6.6E-3</v>
      </c>
      <c r="S87" s="361">
        <f t="shared" si="4"/>
        <v>10.149919999999998</v>
      </c>
      <c r="V87"/>
      <c r="W87"/>
    </row>
    <row r="88" spans="1:23" ht="15.75">
      <c r="A88" s="253">
        <f t="shared" si="5"/>
        <v>86</v>
      </c>
      <c r="B88" s="193" t="s">
        <v>980</v>
      </c>
      <c r="C88" s="303"/>
      <c r="D88" s="274" t="s">
        <v>2</v>
      </c>
      <c r="E88" s="279">
        <v>1</v>
      </c>
      <c r="F88" s="286">
        <v>1903</v>
      </c>
      <c r="G88" s="249" t="s">
        <v>283</v>
      </c>
      <c r="H88" s="185" t="s">
        <v>284</v>
      </c>
      <c r="I88" s="197">
        <v>1</v>
      </c>
      <c r="J88" s="295"/>
      <c r="K88" s="184">
        <v>0</v>
      </c>
      <c r="L88" s="184">
        <v>0</v>
      </c>
      <c r="M88" s="67">
        <f t="shared" si="3"/>
        <v>5.5199999999999999E-2</v>
      </c>
      <c r="N88" s="242">
        <f>38.6/1000</f>
        <v>3.8600000000000002E-2</v>
      </c>
      <c r="O88" s="242">
        <f>16.6/1000</f>
        <v>1.66E-2</v>
      </c>
      <c r="P88" s="302"/>
      <c r="Q88" s="241" t="s">
        <v>90</v>
      </c>
      <c r="R88" s="362">
        <v>3.8E-3</v>
      </c>
      <c r="S88" s="361">
        <f t="shared" si="4"/>
        <v>5.8438933333333338</v>
      </c>
      <c r="V88"/>
      <c r="W88"/>
    </row>
    <row r="89" spans="1:23" ht="15.75">
      <c r="A89" s="253">
        <f t="shared" si="5"/>
        <v>87</v>
      </c>
      <c r="B89" s="193" t="s">
        <v>979</v>
      </c>
      <c r="C89" s="303"/>
      <c r="D89" s="274" t="s">
        <v>2</v>
      </c>
      <c r="E89" s="279">
        <v>1</v>
      </c>
      <c r="F89" s="286">
        <v>1903</v>
      </c>
      <c r="G89" s="249" t="s">
        <v>283</v>
      </c>
      <c r="H89" s="185" t="s">
        <v>284</v>
      </c>
      <c r="I89" s="197">
        <v>1</v>
      </c>
      <c r="J89" s="295"/>
      <c r="K89" s="184">
        <v>0</v>
      </c>
      <c r="L89" s="184">
        <v>0</v>
      </c>
      <c r="M89" s="67">
        <f t="shared" si="3"/>
        <v>4.3799999999999999E-2</v>
      </c>
      <c r="N89" s="242">
        <f>43.8/1000</f>
        <v>4.3799999999999999E-2</v>
      </c>
      <c r="O89" s="242"/>
      <c r="P89" s="302"/>
      <c r="Q89" s="241" t="s">
        <v>90</v>
      </c>
      <c r="R89" s="362">
        <v>4.3E-3</v>
      </c>
      <c r="S89" s="361">
        <f t="shared" si="4"/>
        <v>6.612826666666666</v>
      </c>
      <c r="V89"/>
      <c r="W89"/>
    </row>
    <row r="90" spans="1:23" ht="15.75">
      <c r="A90" s="253">
        <f t="shared" si="5"/>
        <v>88</v>
      </c>
      <c r="B90" s="193" t="s">
        <v>978</v>
      </c>
      <c r="C90" s="303"/>
      <c r="D90" s="274" t="s">
        <v>2</v>
      </c>
      <c r="E90" s="279">
        <v>1</v>
      </c>
      <c r="F90" s="286">
        <v>1946</v>
      </c>
      <c r="G90" s="249" t="s">
        <v>283</v>
      </c>
      <c r="H90" s="185" t="s">
        <v>284</v>
      </c>
      <c r="I90" s="197">
        <v>10</v>
      </c>
      <c r="J90" s="295"/>
      <c r="K90" s="184">
        <v>0</v>
      </c>
      <c r="L90" s="184">
        <v>0</v>
      </c>
      <c r="M90" s="67">
        <f t="shared" si="3"/>
        <v>0.69769999999999999</v>
      </c>
      <c r="N90" s="242">
        <f>473.8/1000</f>
        <v>0.4738</v>
      </c>
      <c r="O90" s="242">
        <f>223.9/1000</f>
        <v>0.22390000000000002</v>
      </c>
      <c r="P90" s="302"/>
      <c r="Q90" s="241" t="s">
        <v>90</v>
      </c>
      <c r="R90" s="362">
        <v>4.87E-2</v>
      </c>
      <c r="S90" s="361">
        <f t="shared" si="4"/>
        <v>74.894106666666673</v>
      </c>
      <c r="V90"/>
      <c r="W90"/>
    </row>
    <row r="91" spans="1:23" ht="15.75">
      <c r="A91" s="253">
        <f t="shared" si="5"/>
        <v>89</v>
      </c>
      <c r="B91" s="193" t="s">
        <v>977</v>
      </c>
      <c r="C91" s="303"/>
      <c r="D91" s="274" t="s">
        <v>2</v>
      </c>
      <c r="E91" s="279">
        <v>1</v>
      </c>
      <c r="F91" s="286">
        <v>1946</v>
      </c>
      <c r="G91" s="249" t="s">
        <v>283</v>
      </c>
      <c r="H91" s="185" t="s">
        <v>284</v>
      </c>
      <c r="I91" s="197">
        <v>1</v>
      </c>
      <c r="J91" s="295"/>
      <c r="K91" s="184">
        <v>0</v>
      </c>
      <c r="L91" s="184">
        <v>0</v>
      </c>
      <c r="M91" s="67">
        <f t="shared" si="3"/>
        <v>9.69E-2</v>
      </c>
      <c r="N91" s="242">
        <f>45.8/1000</f>
        <v>4.58E-2</v>
      </c>
      <c r="O91" s="242">
        <f>51.1/1000</f>
        <v>5.11E-2</v>
      </c>
      <c r="P91" s="302"/>
      <c r="Q91" s="241" t="s">
        <v>90</v>
      </c>
      <c r="R91" s="362">
        <v>5.8999999999999999E-3</v>
      </c>
      <c r="S91" s="361">
        <f t="shared" si="4"/>
        <v>9.0734133333333347</v>
      </c>
      <c r="V91"/>
      <c r="W91"/>
    </row>
    <row r="92" spans="1:23" ht="15.75">
      <c r="A92" s="253">
        <f t="shared" si="5"/>
        <v>90</v>
      </c>
      <c r="B92" s="193" t="s">
        <v>976</v>
      </c>
      <c r="C92" s="303"/>
      <c r="D92" s="274" t="s">
        <v>2</v>
      </c>
      <c r="E92" s="279">
        <v>1</v>
      </c>
      <c r="F92" s="286">
        <v>1952</v>
      </c>
      <c r="G92" s="249" t="s">
        <v>283</v>
      </c>
      <c r="H92" s="185" t="s">
        <v>284</v>
      </c>
      <c r="I92" s="197">
        <v>3</v>
      </c>
      <c r="J92" s="295"/>
      <c r="K92" s="184">
        <v>0</v>
      </c>
      <c r="L92" s="184">
        <v>0</v>
      </c>
      <c r="M92" s="67">
        <f t="shared" si="3"/>
        <v>0.24740000000000001</v>
      </c>
      <c r="N92" s="242">
        <f>98.14/1000</f>
        <v>9.8140000000000005E-2</v>
      </c>
      <c r="O92" s="242">
        <f>149.26/1000</f>
        <v>0.14926</v>
      </c>
      <c r="P92" s="302"/>
      <c r="Q92" s="241" t="s">
        <v>90</v>
      </c>
      <c r="R92" s="362">
        <v>1.03E-2</v>
      </c>
      <c r="S92" s="361">
        <f t="shared" si="4"/>
        <v>15.840026666666667</v>
      </c>
      <c r="V92"/>
      <c r="W92"/>
    </row>
    <row r="93" spans="1:23" ht="15.75">
      <c r="A93" s="253">
        <f t="shared" si="5"/>
        <v>91</v>
      </c>
      <c r="B93" s="193" t="s">
        <v>975</v>
      </c>
      <c r="C93" s="303"/>
      <c r="D93" s="274" t="s">
        <v>2</v>
      </c>
      <c r="E93" s="279">
        <v>1</v>
      </c>
      <c r="F93" s="286">
        <v>1952</v>
      </c>
      <c r="G93" s="249" t="s">
        <v>283</v>
      </c>
      <c r="H93" s="185" t="s">
        <v>284</v>
      </c>
      <c r="I93" s="197">
        <v>2</v>
      </c>
      <c r="J93" s="295"/>
      <c r="K93" s="184">
        <v>0</v>
      </c>
      <c r="L93" s="184">
        <v>0</v>
      </c>
      <c r="M93" s="67">
        <f t="shared" si="3"/>
        <v>0.11957999999999999</v>
      </c>
      <c r="N93" s="242">
        <f>119.58/1000</f>
        <v>0.11957999999999999</v>
      </c>
      <c r="O93" s="242"/>
      <c r="P93" s="302"/>
      <c r="Q93" s="241" t="s">
        <v>90</v>
      </c>
      <c r="R93" s="362">
        <v>1.18E-2</v>
      </c>
      <c r="S93" s="361">
        <f t="shared" si="4"/>
        <v>18.146826666666669</v>
      </c>
      <c r="V93"/>
      <c r="W93"/>
    </row>
    <row r="94" spans="1:23" ht="15.75">
      <c r="A94" s="253">
        <f t="shared" si="5"/>
        <v>92</v>
      </c>
      <c r="B94" s="193" t="s">
        <v>974</v>
      </c>
      <c r="C94" s="303"/>
      <c r="D94" s="274" t="s">
        <v>2</v>
      </c>
      <c r="E94" s="279">
        <v>1</v>
      </c>
      <c r="F94" s="286">
        <v>1958</v>
      </c>
      <c r="G94" s="249" t="s">
        <v>284</v>
      </c>
      <c r="H94" s="185" t="s">
        <v>284</v>
      </c>
      <c r="I94" s="197">
        <v>3</v>
      </c>
      <c r="J94" s="295"/>
      <c r="K94" s="184">
        <v>0</v>
      </c>
      <c r="L94" s="184">
        <v>0</v>
      </c>
      <c r="M94" s="67">
        <f t="shared" si="3"/>
        <v>0.1749</v>
      </c>
      <c r="N94" s="242">
        <f>137.7/1000</f>
        <v>0.13769999999999999</v>
      </c>
      <c r="O94" s="242">
        <f>37.2/1000</f>
        <v>3.7200000000000004E-2</v>
      </c>
      <c r="P94" s="302"/>
      <c r="Q94" s="241" t="s">
        <v>90</v>
      </c>
      <c r="R94" s="362">
        <v>1.38E-2</v>
      </c>
      <c r="S94" s="361">
        <f t="shared" si="4"/>
        <v>21.222560000000001</v>
      </c>
      <c r="V94"/>
      <c r="W94"/>
    </row>
    <row r="95" spans="1:23" ht="15.75">
      <c r="A95" s="253">
        <f t="shared" si="5"/>
        <v>93</v>
      </c>
      <c r="B95" s="193" t="s">
        <v>973</v>
      </c>
      <c r="C95" s="303"/>
      <c r="D95" s="274" t="s">
        <v>2</v>
      </c>
      <c r="E95" s="279">
        <v>1</v>
      </c>
      <c r="F95" s="286">
        <v>1958</v>
      </c>
      <c r="G95" s="249" t="s">
        <v>284</v>
      </c>
      <c r="H95" s="185" t="s">
        <v>284</v>
      </c>
      <c r="I95" s="197">
        <v>2</v>
      </c>
      <c r="J95" s="295"/>
      <c r="K95" s="184">
        <v>0</v>
      </c>
      <c r="L95" s="184">
        <v>0</v>
      </c>
      <c r="M95" s="67">
        <f t="shared" si="3"/>
        <v>0.21340000000000001</v>
      </c>
      <c r="N95" s="242">
        <f>108.5/1000</f>
        <v>0.1085</v>
      </c>
      <c r="O95" s="242">
        <f>104.9/1000</f>
        <v>0.10490000000000001</v>
      </c>
      <c r="P95" s="302"/>
      <c r="Q95" s="241" t="s">
        <v>90</v>
      </c>
      <c r="R95" s="362">
        <v>1.55E-2</v>
      </c>
      <c r="S95" s="361">
        <f t="shared" si="4"/>
        <v>23.836933333333331</v>
      </c>
      <c r="V95"/>
      <c r="W95"/>
    </row>
    <row r="96" spans="1:23" ht="15.75">
      <c r="A96" s="253">
        <f t="shared" si="5"/>
        <v>94</v>
      </c>
      <c r="B96" s="193" t="s">
        <v>972</v>
      </c>
      <c r="C96" s="303"/>
      <c r="D96" s="274" t="s">
        <v>2</v>
      </c>
      <c r="E96" s="279">
        <v>1</v>
      </c>
      <c r="F96" s="286">
        <v>1958</v>
      </c>
      <c r="G96" s="249" t="s">
        <v>283</v>
      </c>
      <c r="H96" s="185" t="s">
        <v>284</v>
      </c>
      <c r="I96" s="197">
        <v>1</v>
      </c>
      <c r="J96" s="295"/>
      <c r="K96" s="184">
        <v>0</v>
      </c>
      <c r="L96" s="184">
        <v>0</v>
      </c>
      <c r="M96" s="67">
        <f t="shared" si="3"/>
        <v>6.08E-2</v>
      </c>
      <c r="N96" s="242">
        <f>57.8/1000</f>
        <v>5.7799999999999997E-2</v>
      </c>
      <c r="O96" s="242">
        <f>3/1000</f>
        <v>3.0000000000000001E-3</v>
      </c>
      <c r="P96" s="302"/>
      <c r="Q96" s="241" t="s">
        <v>90</v>
      </c>
      <c r="R96" s="362">
        <v>4.1999999999999997E-3</v>
      </c>
      <c r="S96" s="361">
        <f t="shared" si="4"/>
        <v>6.4590400000000008</v>
      </c>
      <c r="V96"/>
      <c r="W96"/>
    </row>
    <row r="97" spans="1:23" ht="15.75">
      <c r="A97" s="253">
        <f t="shared" si="5"/>
        <v>95</v>
      </c>
      <c r="B97" s="193" t="s">
        <v>971</v>
      </c>
      <c r="C97" s="303"/>
      <c r="D97" s="274" t="s">
        <v>2</v>
      </c>
      <c r="E97" s="279">
        <v>1</v>
      </c>
      <c r="F97" s="286">
        <v>1958</v>
      </c>
      <c r="G97" s="249" t="s">
        <v>283</v>
      </c>
      <c r="H97" s="185" t="s">
        <v>284</v>
      </c>
      <c r="I97" s="197">
        <v>2</v>
      </c>
      <c r="J97" s="295"/>
      <c r="K97" s="184">
        <v>0</v>
      </c>
      <c r="L97" s="184">
        <v>0</v>
      </c>
      <c r="M97" s="67">
        <f t="shared" si="3"/>
        <v>0.25749999999999995</v>
      </c>
      <c r="N97" s="242">
        <f>125.3/1000</f>
        <v>0.12529999999999999</v>
      </c>
      <c r="O97" s="242">
        <f>132.2/1000</f>
        <v>0.13219999999999998</v>
      </c>
      <c r="P97" s="302"/>
      <c r="Q97" s="241" t="s">
        <v>90</v>
      </c>
      <c r="R97" s="362">
        <v>1.03E-2</v>
      </c>
      <c r="S97" s="361">
        <f t="shared" si="4"/>
        <v>15.840026666666667</v>
      </c>
      <c r="V97"/>
      <c r="W97"/>
    </row>
    <row r="98" spans="1:23">
      <c r="A98" s="253">
        <f t="shared" si="5"/>
        <v>96</v>
      </c>
      <c r="B98" s="291" t="s">
        <v>669</v>
      </c>
      <c r="C98" s="303"/>
      <c r="D98" s="274" t="s">
        <v>2</v>
      </c>
      <c r="E98" s="279">
        <v>1</v>
      </c>
      <c r="F98" s="286">
        <v>1903</v>
      </c>
      <c r="G98" s="249" t="s">
        <v>283</v>
      </c>
      <c r="H98" s="185" t="s">
        <v>284</v>
      </c>
      <c r="I98" s="312">
        <v>1</v>
      </c>
      <c r="J98" s="295"/>
      <c r="K98" s="184">
        <v>0</v>
      </c>
      <c r="L98" s="184">
        <v>0</v>
      </c>
      <c r="M98" s="67">
        <f t="shared" si="3"/>
        <v>5.0500000000000003E-2</v>
      </c>
      <c r="N98" s="242">
        <f>50.5/1000</f>
        <v>5.0500000000000003E-2</v>
      </c>
      <c r="O98" s="242"/>
      <c r="P98" s="302"/>
      <c r="Q98" s="241" t="s">
        <v>90</v>
      </c>
      <c r="R98" s="362">
        <v>4.7999999999999996E-3</v>
      </c>
      <c r="S98" s="361">
        <f t="shared" si="4"/>
        <v>7.3817599999999999</v>
      </c>
      <c r="V98"/>
      <c r="W98"/>
    </row>
    <row r="99" spans="1:23" ht="15.75">
      <c r="A99" s="253">
        <f t="shared" si="5"/>
        <v>97</v>
      </c>
      <c r="B99" s="193" t="s">
        <v>970</v>
      </c>
      <c r="C99" s="303"/>
      <c r="D99" s="274" t="s">
        <v>2</v>
      </c>
      <c r="E99" s="279">
        <v>1</v>
      </c>
      <c r="F99" s="286">
        <v>1903</v>
      </c>
      <c r="G99" s="249" t="s">
        <v>283</v>
      </c>
      <c r="H99" s="185" t="s">
        <v>284</v>
      </c>
      <c r="I99" s="197">
        <v>1</v>
      </c>
      <c r="J99" s="295"/>
      <c r="K99" s="184">
        <v>0</v>
      </c>
      <c r="L99" s="184">
        <v>0</v>
      </c>
      <c r="M99" s="67">
        <f t="shared" si="3"/>
        <v>4.4600000000000001E-2</v>
      </c>
      <c r="N99" s="242">
        <f>44.6/1000</f>
        <v>4.4600000000000001E-2</v>
      </c>
      <c r="O99" s="242"/>
      <c r="P99" s="302"/>
      <c r="Q99" s="241" t="s">
        <v>90</v>
      </c>
      <c r="R99" s="362">
        <v>3.5000000000000001E-3</v>
      </c>
      <c r="S99" s="361">
        <f t="shared" si="4"/>
        <v>5.3825333333333338</v>
      </c>
      <c r="V99"/>
      <c r="W99"/>
    </row>
    <row r="100" spans="1:23" ht="15.75">
      <c r="A100" s="253">
        <f t="shared" si="5"/>
        <v>98</v>
      </c>
      <c r="B100" s="193" t="s">
        <v>969</v>
      </c>
      <c r="C100" s="303"/>
      <c r="D100" s="274" t="s">
        <v>2</v>
      </c>
      <c r="E100" s="279">
        <v>1</v>
      </c>
      <c r="F100" s="286">
        <v>1903</v>
      </c>
      <c r="G100" s="249" t="s">
        <v>284</v>
      </c>
      <c r="H100" s="185" t="s">
        <v>284</v>
      </c>
      <c r="I100" s="197">
        <v>1</v>
      </c>
      <c r="J100" s="295"/>
      <c r="K100" s="184">
        <v>0</v>
      </c>
      <c r="L100" s="184">
        <v>0</v>
      </c>
      <c r="M100" s="67">
        <f t="shared" si="3"/>
        <v>9.2099999999999987E-2</v>
      </c>
      <c r="N100" s="242">
        <f>92.1/1000</f>
        <v>9.2099999999999987E-2</v>
      </c>
      <c r="O100" s="242"/>
      <c r="P100" s="302"/>
      <c r="Q100" s="241" t="s">
        <v>90</v>
      </c>
      <c r="R100" s="362">
        <v>9.7999999999999997E-3</v>
      </c>
      <c r="S100" s="361">
        <f t="shared" si="4"/>
        <v>15.071093333333334</v>
      </c>
      <c r="V100"/>
      <c r="W100"/>
    </row>
    <row r="101" spans="1:23" ht="15.75">
      <c r="A101" s="253">
        <f t="shared" si="5"/>
        <v>99</v>
      </c>
      <c r="B101" s="193" t="s">
        <v>968</v>
      </c>
      <c r="C101" s="303"/>
      <c r="D101" s="274" t="s">
        <v>2</v>
      </c>
      <c r="E101" s="279">
        <v>1</v>
      </c>
      <c r="F101" s="286">
        <v>1903</v>
      </c>
      <c r="G101" s="249" t="s">
        <v>284</v>
      </c>
      <c r="H101" s="185" t="s">
        <v>284</v>
      </c>
      <c r="I101" s="197">
        <v>1</v>
      </c>
      <c r="J101" s="295"/>
      <c r="K101" s="184">
        <v>0</v>
      </c>
      <c r="L101" s="184">
        <v>0</v>
      </c>
      <c r="M101" s="67">
        <f t="shared" si="3"/>
        <v>6.5299999999999997E-2</v>
      </c>
      <c r="N101" s="242">
        <f>52.4/1000</f>
        <v>5.2399999999999995E-2</v>
      </c>
      <c r="O101" s="242">
        <f>12.9/1000</f>
        <v>1.29E-2</v>
      </c>
      <c r="P101" s="302"/>
      <c r="Q101" s="241" t="s">
        <v>90</v>
      </c>
      <c r="R101" s="362">
        <v>5.1000000000000004E-3</v>
      </c>
      <c r="S101" s="361">
        <f t="shared" si="4"/>
        <v>7.8431200000000008</v>
      </c>
      <c r="V101"/>
      <c r="W101"/>
    </row>
    <row r="102" spans="1:23" ht="15.75">
      <c r="A102" s="253">
        <f t="shared" si="5"/>
        <v>100</v>
      </c>
      <c r="B102" s="193" t="s">
        <v>553</v>
      </c>
      <c r="C102" s="303"/>
      <c r="D102" s="274" t="s">
        <v>2</v>
      </c>
      <c r="E102" s="279">
        <v>1</v>
      </c>
      <c r="F102" s="286">
        <v>1903</v>
      </c>
      <c r="G102" s="249" t="s">
        <v>284</v>
      </c>
      <c r="H102" s="185" t="s">
        <v>284</v>
      </c>
      <c r="I102" s="197">
        <v>1</v>
      </c>
      <c r="J102" s="295"/>
      <c r="K102" s="184">
        <v>0</v>
      </c>
      <c r="L102" s="184">
        <v>0</v>
      </c>
      <c r="M102" s="67">
        <f t="shared" si="3"/>
        <v>4.8000000000000001E-2</v>
      </c>
      <c r="N102" s="242">
        <f>48/1000</f>
        <v>4.8000000000000001E-2</v>
      </c>
      <c r="O102" s="242"/>
      <c r="P102" s="302"/>
      <c r="Q102" s="241" t="s">
        <v>90</v>
      </c>
      <c r="R102" s="362">
        <v>4.3E-3</v>
      </c>
      <c r="S102" s="361">
        <f t="shared" si="4"/>
        <v>6.612826666666666</v>
      </c>
      <c r="V102"/>
      <c r="W102"/>
    </row>
    <row r="103" spans="1:23" ht="15.75">
      <c r="A103" s="253">
        <f t="shared" si="5"/>
        <v>101</v>
      </c>
      <c r="B103" s="193" t="s">
        <v>967</v>
      </c>
      <c r="C103" s="303"/>
      <c r="D103" s="274" t="s">
        <v>2</v>
      </c>
      <c r="E103" s="279">
        <v>1</v>
      </c>
      <c r="F103" s="286">
        <v>1903</v>
      </c>
      <c r="G103" s="249" t="s">
        <v>284</v>
      </c>
      <c r="H103" s="185" t="s">
        <v>284</v>
      </c>
      <c r="I103" s="197">
        <v>1</v>
      </c>
      <c r="J103" s="295"/>
      <c r="K103" s="184">
        <v>0</v>
      </c>
      <c r="L103" s="184">
        <v>0</v>
      </c>
      <c r="M103" s="67">
        <f t="shared" si="3"/>
        <v>4.6200000000000005E-2</v>
      </c>
      <c r="N103" s="242">
        <f>46.2/1000</f>
        <v>4.6200000000000005E-2</v>
      </c>
      <c r="O103" s="242"/>
      <c r="P103" s="302"/>
      <c r="Q103" s="241" t="s">
        <v>90</v>
      </c>
      <c r="R103" s="362">
        <v>5.5999999999999999E-3</v>
      </c>
      <c r="S103" s="361">
        <f t="shared" si="4"/>
        <v>8.6120533333333338</v>
      </c>
      <c r="V103"/>
      <c r="W103"/>
    </row>
    <row r="104" spans="1:23" ht="15.75">
      <c r="A104" s="253">
        <f t="shared" si="5"/>
        <v>102</v>
      </c>
      <c r="B104" s="193" t="s">
        <v>966</v>
      </c>
      <c r="C104" s="303"/>
      <c r="D104" s="274" t="s">
        <v>2</v>
      </c>
      <c r="E104" s="279">
        <v>1</v>
      </c>
      <c r="F104" s="286">
        <v>1903</v>
      </c>
      <c r="G104" s="249" t="s">
        <v>284</v>
      </c>
      <c r="H104" s="185" t="s">
        <v>284</v>
      </c>
      <c r="I104" s="197">
        <v>1</v>
      </c>
      <c r="J104" s="295"/>
      <c r="K104" s="184">
        <v>0</v>
      </c>
      <c r="L104" s="184">
        <v>0</v>
      </c>
      <c r="M104" s="67">
        <f t="shared" si="3"/>
        <v>4.8600000000000004E-2</v>
      </c>
      <c r="N104" s="242">
        <f>48.6/1000</f>
        <v>4.8600000000000004E-2</v>
      </c>
      <c r="O104" s="242"/>
      <c r="P104" s="302"/>
      <c r="Q104" s="241" t="s">
        <v>90</v>
      </c>
      <c r="R104" s="362">
        <v>6.0000000000000001E-3</v>
      </c>
      <c r="S104" s="361">
        <f t="shared" si="4"/>
        <v>9.2272000000000016</v>
      </c>
      <c r="V104"/>
      <c r="W104"/>
    </row>
    <row r="105" spans="1:23" ht="15.75">
      <c r="A105" s="253">
        <f t="shared" si="5"/>
        <v>103</v>
      </c>
      <c r="B105" s="193" t="s">
        <v>965</v>
      </c>
      <c r="C105" s="303"/>
      <c r="D105" s="274" t="s">
        <v>2</v>
      </c>
      <c r="E105" s="279">
        <v>1</v>
      </c>
      <c r="F105" s="286">
        <v>1961</v>
      </c>
      <c r="G105" s="249" t="s">
        <v>283</v>
      </c>
      <c r="H105" s="185" t="s">
        <v>284</v>
      </c>
      <c r="I105" s="197">
        <v>1</v>
      </c>
      <c r="J105" s="295"/>
      <c r="K105" s="184">
        <v>0</v>
      </c>
      <c r="L105" s="184">
        <v>0</v>
      </c>
      <c r="M105" s="67">
        <f t="shared" si="3"/>
        <v>5.9399999999999994E-2</v>
      </c>
      <c r="N105" s="242">
        <f>51/1000</f>
        <v>5.0999999999999997E-2</v>
      </c>
      <c r="O105" s="242">
        <f>8.4/1000</f>
        <v>8.4000000000000012E-3</v>
      </c>
      <c r="P105" s="302"/>
      <c r="Q105" s="241" t="s">
        <v>90</v>
      </c>
      <c r="R105" s="362">
        <v>3.3999999999999998E-3</v>
      </c>
      <c r="S105" s="361">
        <f t="shared" si="4"/>
        <v>5.2287466666666669</v>
      </c>
      <c r="V105"/>
      <c r="W105"/>
    </row>
    <row r="106" spans="1:23" ht="15.75">
      <c r="A106" s="253">
        <f t="shared" si="5"/>
        <v>104</v>
      </c>
      <c r="B106" s="193" t="s">
        <v>964</v>
      </c>
      <c r="C106" s="303"/>
      <c r="D106" s="274" t="s">
        <v>2</v>
      </c>
      <c r="E106" s="279">
        <v>1</v>
      </c>
      <c r="F106" s="286">
        <v>1964</v>
      </c>
      <c r="G106" s="249" t="s">
        <v>284</v>
      </c>
      <c r="H106" s="185" t="s">
        <v>284</v>
      </c>
      <c r="I106" s="197">
        <v>1</v>
      </c>
      <c r="J106" s="295"/>
      <c r="K106" s="184">
        <v>0</v>
      </c>
      <c r="L106" s="184">
        <v>0</v>
      </c>
      <c r="M106" s="67">
        <f t="shared" si="3"/>
        <v>4.1100000000000005E-2</v>
      </c>
      <c r="N106" s="242">
        <f>41.1/1000</f>
        <v>4.1100000000000005E-2</v>
      </c>
      <c r="O106" s="242"/>
      <c r="P106" s="302"/>
      <c r="Q106" s="241" t="s">
        <v>90</v>
      </c>
      <c r="R106" s="362">
        <v>7.0000000000000001E-3</v>
      </c>
      <c r="S106" s="361">
        <f t="shared" si="4"/>
        <v>10.765066666666668</v>
      </c>
      <c r="V106"/>
      <c r="W106"/>
    </row>
    <row r="107" spans="1:23" ht="15.75">
      <c r="A107" s="253">
        <f t="shared" si="5"/>
        <v>105</v>
      </c>
      <c r="B107" s="193" t="s">
        <v>963</v>
      </c>
      <c r="C107" s="303"/>
      <c r="D107" s="274" t="s">
        <v>2</v>
      </c>
      <c r="E107" s="279">
        <v>1</v>
      </c>
      <c r="F107" s="286">
        <v>1998</v>
      </c>
      <c r="G107" s="249" t="s">
        <v>283</v>
      </c>
      <c r="H107" s="185" t="s">
        <v>284</v>
      </c>
      <c r="I107" s="197">
        <v>1</v>
      </c>
      <c r="J107" s="295"/>
      <c r="K107" s="184">
        <v>0</v>
      </c>
      <c r="L107" s="184">
        <v>0</v>
      </c>
      <c r="M107" s="67">
        <f t="shared" si="3"/>
        <v>0.1076</v>
      </c>
      <c r="N107" s="242">
        <f>107.6/1000</f>
        <v>0.1076</v>
      </c>
      <c r="O107" s="242"/>
      <c r="P107" s="302"/>
      <c r="Q107" s="241" t="s">
        <v>90</v>
      </c>
      <c r="R107" s="362">
        <v>8.2000000000000007E-3</v>
      </c>
      <c r="S107" s="361">
        <f t="shared" si="4"/>
        <v>12.610506666666668</v>
      </c>
      <c r="V107"/>
      <c r="W107"/>
    </row>
    <row r="108" spans="1:23" ht="15.75">
      <c r="A108" s="253">
        <f t="shared" si="5"/>
        <v>106</v>
      </c>
      <c r="B108" s="193" t="s">
        <v>962</v>
      </c>
      <c r="C108" s="303"/>
      <c r="D108" s="274" t="s">
        <v>2</v>
      </c>
      <c r="E108" s="279">
        <v>1</v>
      </c>
      <c r="F108" s="286">
        <v>1903</v>
      </c>
      <c r="G108" s="249" t="s">
        <v>284</v>
      </c>
      <c r="H108" s="185" t="s">
        <v>284</v>
      </c>
      <c r="I108" s="197">
        <v>1</v>
      </c>
      <c r="J108" s="295"/>
      <c r="K108" s="184">
        <v>0</v>
      </c>
      <c r="L108" s="184">
        <v>0</v>
      </c>
      <c r="M108" s="67">
        <f t="shared" si="3"/>
        <v>5.7299999999999997E-2</v>
      </c>
      <c r="N108" s="242">
        <f>57.3/1000</f>
        <v>5.7299999999999997E-2</v>
      </c>
      <c r="O108" s="242"/>
      <c r="P108" s="302"/>
      <c r="Q108" s="241" t="s">
        <v>90</v>
      </c>
      <c r="R108" s="362">
        <v>4.7999999999999996E-3</v>
      </c>
      <c r="S108" s="361">
        <f t="shared" si="4"/>
        <v>7.3817599999999999</v>
      </c>
      <c r="V108"/>
      <c r="W108"/>
    </row>
    <row r="109" spans="1:23" ht="15.75">
      <c r="A109" s="253">
        <f t="shared" si="5"/>
        <v>107</v>
      </c>
      <c r="B109" s="193" t="s">
        <v>961</v>
      </c>
      <c r="C109" s="303"/>
      <c r="D109" s="274" t="s">
        <v>2</v>
      </c>
      <c r="E109" s="279">
        <v>1</v>
      </c>
      <c r="F109" s="286">
        <v>1903</v>
      </c>
      <c r="G109" s="249" t="s">
        <v>283</v>
      </c>
      <c r="H109" s="185" t="s">
        <v>284</v>
      </c>
      <c r="I109" s="197">
        <v>1</v>
      </c>
      <c r="J109" s="295"/>
      <c r="K109" s="184">
        <v>0</v>
      </c>
      <c r="L109" s="184">
        <v>0</v>
      </c>
      <c r="M109" s="67">
        <f t="shared" si="3"/>
        <v>3.5900000000000001E-2</v>
      </c>
      <c r="N109" s="242">
        <f>35.9/1000</f>
        <v>3.5900000000000001E-2</v>
      </c>
      <c r="O109" s="242"/>
      <c r="P109" s="302"/>
      <c r="Q109" s="241" t="s">
        <v>90</v>
      </c>
      <c r="R109" s="362">
        <v>2.0999999999999999E-3</v>
      </c>
      <c r="S109" s="361">
        <f t="shared" si="4"/>
        <v>3.2295200000000004</v>
      </c>
      <c r="V109"/>
      <c r="W109"/>
    </row>
    <row r="110" spans="1:23" ht="15.75">
      <c r="A110" s="253">
        <f t="shared" si="5"/>
        <v>108</v>
      </c>
      <c r="B110" s="193" t="s">
        <v>960</v>
      </c>
      <c r="C110" s="303"/>
      <c r="D110" s="274" t="s">
        <v>2</v>
      </c>
      <c r="E110" s="279">
        <v>1</v>
      </c>
      <c r="F110" s="286">
        <v>1903</v>
      </c>
      <c r="G110" s="249" t="s">
        <v>283</v>
      </c>
      <c r="H110" s="185" t="s">
        <v>284</v>
      </c>
      <c r="I110" s="197">
        <v>1</v>
      </c>
      <c r="J110" s="295"/>
      <c r="K110" s="184">
        <v>0</v>
      </c>
      <c r="L110" s="184">
        <v>0</v>
      </c>
      <c r="M110" s="67">
        <f t="shared" si="3"/>
        <v>7.3050000000000004E-2</v>
      </c>
      <c r="N110" s="242">
        <f>64.3/1000</f>
        <v>6.4299999999999996E-2</v>
      </c>
      <c r="O110" s="242">
        <f>8.75/1000</f>
        <v>8.7500000000000008E-3</v>
      </c>
      <c r="P110" s="302"/>
      <c r="Q110" s="241" t="s">
        <v>90</v>
      </c>
      <c r="R110" s="362">
        <v>5.7999999999999996E-3</v>
      </c>
      <c r="S110" s="361">
        <f t="shared" si="4"/>
        <v>8.9196266666666659</v>
      </c>
      <c r="V110"/>
      <c r="W110"/>
    </row>
    <row r="111" spans="1:23" ht="15.75">
      <c r="A111" s="253">
        <f t="shared" si="5"/>
        <v>109</v>
      </c>
      <c r="B111" s="193" t="s">
        <v>959</v>
      </c>
      <c r="C111" s="303"/>
      <c r="D111" s="274" t="s">
        <v>2</v>
      </c>
      <c r="E111" s="279">
        <v>1</v>
      </c>
      <c r="F111" s="286">
        <v>1903</v>
      </c>
      <c r="G111" s="249" t="s">
        <v>283</v>
      </c>
      <c r="H111" s="185" t="s">
        <v>284</v>
      </c>
      <c r="I111" s="197">
        <v>1</v>
      </c>
      <c r="J111" s="295"/>
      <c r="K111" s="184">
        <v>0</v>
      </c>
      <c r="L111" s="184">
        <v>0</v>
      </c>
      <c r="M111" s="67">
        <f t="shared" si="3"/>
        <v>6.1649999999999996E-2</v>
      </c>
      <c r="N111" s="242">
        <f>61.65/1000</f>
        <v>6.1649999999999996E-2</v>
      </c>
      <c r="O111" s="242"/>
      <c r="P111" s="302"/>
      <c r="Q111" s="241" t="s">
        <v>90</v>
      </c>
      <c r="R111" s="362">
        <v>4.7000000000000002E-3</v>
      </c>
      <c r="S111" s="361">
        <f t="shared" si="4"/>
        <v>7.2279733333333338</v>
      </c>
      <c r="V111"/>
      <c r="W111"/>
    </row>
    <row r="112" spans="1:23" ht="15.75">
      <c r="A112" s="253">
        <f t="shared" si="5"/>
        <v>110</v>
      </c>
      <c r="B112" s="193" t="s">
        <v>958</v>
      </c>
      <c r="C112" s="303"/>
      <c r="D112" s="274" t="s">
        <v>2</v>
      </c>
      <c r="E112" s="279">
        <v>1</v>
      </c>
      <c r="F112" s="286">
        <v>1952</v>
      </c>
      <c r="G112" s="249" t="s">
        <v>283</v>
      </c>
      <c r="H112" s="185" t="s">
        <v>284</v>
      </c>
      <c r="I112" s="197">
        <v>4</v>
      </c>
      <c r="J112" s="295"/>
      <c r="K112" s="184">
        <v>0</v>
      </c>
      <c r="L112" s="184">
        <v>0</v>
      </c>
      <c r="M112" s="67">
        <f t="shared" si="3"/>
        <v>0.22480000000000003</v>
      </c>
      <c r="N112" s="242">
        <f>222.9/1000</f>
        <v>0.22290000000000001</v>
      </c>
      <c r="O112" s="242">
        <f>1.9/1000</f>
        <v>1.9E-3</v>
      </c>
      <c r="P112" s="302"/>
      <c r="Q112" s="241" t="s">
        <v>90</v>
      </c>
      <c r="R112" s="362">
        <v>1.4500000000000001E-2</v>
      </c>
      <c r="S112" s="361">
        <f t="shared" si="4"/>
        <v>22.299066666666668</v>
      </c>
      <c r="V112"/>
      <c r="W112"/>
    </row>
    <row r="113" spans="1:23" ht="15.75">
      <c r="A113" s="253">
        <f t="shared" si="5"/>
        <v>111</v>
      </c>
      <c r="B113" s="193" t="s">
        <v>957</v>
      </c>
      <c r="C113" s="303"/>
      <c r="D113" s="274" t="s">
        <v>2</v>
      </c>
      <c r="E113" s="279">
        <v>1</v>
      </c>
      <c r="F113" s="286">
        <v>1952</v>
      </c>
      <c r="G113" s="249" t="s">
        <v>283</v>
      </c>
      <c r="H113" s="185" t="s">
        <v>284</v>
      </c>
      <c r="I113" s="197">
        <v>1</v>
      </c>
      <c r="J113" s="295"/>
      <c r="K113" s="184">
        <v>0</v>
      </c>
      <c r="L113" s="184">
        <v>0</v>
      </c>
      <c r="M113" s="67">
        <f t="shared" si="3"/>
        <v>0.1028</v>
      </c>
      <c r="N113" s="242">
        <f>102.8/1000</f>
        <v>0.1028</v>
      </c>
      <c r="O113" s="242"/>
      <c r="P113" s="302"/>
      <c r="Q113" s="241" t="s">
        <v>90</v>
      </c>
      <c r="R113" s="362">
        <v>7.1999999999999998E-3</v>
      </c>
      <c r="S113" s="361">
        <f t="shared" si="4"/>
        <v>11.072640000000002</v>
      </c>
      <c r="V113"/>
      <c r="W113"/>
    </row>
    <row r="114" spans="1:23" ht="15.75">
      <c r="A114" s="253">
        <f t="shared" si="5"/>
        <v>112</v>
      </c>
      <c r="B114" s="193" t="s">
        <v>956</v>
      </c>
      <c r="C114" s="303"/>
      <c r="D114" s="274" t="s">
        <v>2</v>
      </c>
      <c r="E114" s="279">
        <v>1</v>
      </c>
      <c r="F114" s="286">
        <v>1952</v>
      </c>
      <c r="G114" s="249" t="s">
        <v>283</v>
      </c>
      <c r="H114" s="185" t="s">
        <v>284</v>
      </c>
      <c r="I114" s="197">
        <v>1</v>
      </c>
      <c r="J114" s="295"/>
      <c r="K114" s="184">
        <v>0</v>
      </c>
      <c r="L114" s="184">
        <v>0</v>
      </c>
      <c r="M114" s="67">
        <f t="shared" si="3"/>
        <v>8.5800000000000001E-2</v>
      </c>
      <c r="N114" s="242">
        <f>85.8/1000</f>
        <v>8.5800000000000001E-2</v>
      </c>
      <c r="O114" s="242"/>
      <c r="P114" s="302"/>
      <c r="Q114" s="241" t="s">
        <v>90</v>
      </c>
      <c r="R114" s="362">
        <v>7.7999999999999996E-3</v>
      </c>
      <c r="S114" s="361">
        <f t="shared" si="4"/>
        <v>11.995359999999998</v>
      </c>
      <c r="V114"/>
      <c r="W114"/>
    </row>
    <row r="115" spans="1:23" ht="15.75">
      <c r="A115" s="253">
        <f t="shared" si="5"/>
        <v>113</v>
      </c>
      <c r="B115" s="193" t="s">
        <v>955</v>
      </c>
      <c r="C115" s="303"/>
      <c r="D115" s="274" t="s">
        <v>2</v>
      </c>
      <c r="E115" s="279">
        <v>1</v>
      </c>
      <c r="F115" s="286">
        <v>1956</v>
      </c>
      <c r="G115" s="249" t="s">
        <v>283</v>
      </c>
      <c r="H115" s="185" t="s">
        <v>284</v>
      </c>
      <c r="I115" s="197">
        <v>4</v>
      </c>
      <c r="J115" s="295"/>
      <c r="K115" s="184">
        <v>0</v>
      </c>
      <c r="L115" s="184">
        <v>0</v>
      </c>
      <c r="M115" s="67">
        <f t="shared" si="3"/>
        <v>0.18359999999999999</v>
      </c>
      <c r="N115" s="242">
        <f>147/1000</f>
        <v>0.14699999999999999</v>
      </c>
      <c r="O115" s="242">
        <f>36.6/1000</f>
        <v>3.6600000000000001E-2</v>
      </c>
      <c r="P115" s="302"/>
      <c r="Q115" s="241" t="s">
        <v>90</v>
      </c>
      <c r="R115" s="362">
        <v>1.44E-2</v>
      </c>
      <c r="S115" s="361">
        <f t="shared" si="4"/>
        <v>22.145280000000003</v>
      </c>
      <c r="V115"/>
      <c r="W115"/>
    </row>
    <row r="116" spans="1:23" ht="15.75">
      <c r="A116" s="253">
        <f t="shared" si="5"/>
        <v>114</v>
      </c>
      <c r="B116" s="193" t="s">
        <v>954</v>
      </c>
      <c r="C116" s="303"/>
      <c r="D116" s="274" t="s">
        <v>2</v>
      </c>
      <c r="E116" s="279">
        <v>1</v>
      </c>
      <c r="F116" s="297">
        <v>1939</v>
      </c>
      <c r="G116" s="249" t="s">
        <v>284</v>
      </c>
      <c r="H116" s="185" t="s">
        <v>284</v>
      </c>
      <c r="I116" s="197">
        <v>1</v>
      </c>
      <c r="J116" s="295"/>
      <c r="K116" s="184">
        <v>0</v>
      </c>
      <c r="L116" s="184">
        <v>0</v>
      </c>
      <c r="M116" s="67">
        <f t="shared" si="3"/>
        <v>0.1096</v>
      </c>
      <c r="N116" s="242">
        <f>36.9/1000</f>
        <v>3.6899999999999995E-2</v>
      </c>
      <c r="O116" s="242">
        <f>72.7/1000</f>
        <v>7.2700000000000001E-2</v>
      </c>
      <c r="P116" s="302"/>
      <c r="Q116" s="241" t="s">
        <v>90</v>
      </c>
      <c r="R116" s="362">
        <v>6.3E-3</v>
      </c>
      <c r="S116" s="361">
        <f t="shared" si="4"/>
        <v>9.6885600000000007</v>
      </c>
      <c r="V116"/>
      <c r="W116"/>
    </row>
    <row r="117" spans="1:23" ht="15.75">
      <c r="A117" s="253">
        <f t="shared" si="5"/>
        <v>115</v>
      </c>
      <c r="B117" s="193" t="s">
        <v>953</v>
      </c>
      <c r="C117" s="303"/>
      <c r="D117" s="274" t="s">
        <v>2</v>
      </c>
      <c r="E117" s="279">
        <v>1</v>
      </c>
      <c r="F117" s="286">
        <v>1950</v>
      </c>
      <c r="G117" s="249" t="s">
        <v>284</v>
      </c>
      <c r="H117" s="185" t="s">
        <v>284</v>
      </c>
      <c r="I117" s="197">
        <v>1</v>
      </c>
      <c r="J117" s="295"/>
      <c r="K117" s="184">
        <v>0</v>
      </c>
      <c r="L117" s="184">
        <v>0</v>
      </c>
      <c r="M117" s="67">
        <f t="shared" si="3"/>
        <v>7.3899999999999993E-2</v>
      </c>
      <c r="N117" s="242">
        <f>23.9/1000</f>
        <v>2.3899999999999998E-2</v>
      </c>
      <c r="O117" s="242">
        <f>50/1000</f>
        <v>0.05</v>
      </c>
      <c r="P117" s="302"/>
      <c r="Q117" s="241" t="s">
        <v>90</v>
      </c>
      <c r="R117" s="362">
        <v>3.3999999999999998E-3</v>
      </c>
      <c r="S117" s="361">
        <f t="shared" si="4"/>
        <v>5.2287466666666669</v>
      </c>
      <c r="V117"/>
      <c r="W117"/>
    </row>
    <row r="118" spans="1:23" ht="15.75">
      <c r="A118" s="253">
        <f t="shared" si="5"/>
        <v>116</v>
      </c>
      <c r="B118" s="193" t="s">
        <v>952</v>
      </c>
      <c r="C118" s="303"/>
      <c r="D118" s="274" t="s">
        <v>2</v>
      </c>
      <c r="E118" s="279">
        <v>1</v>
      </c>
      <c r="F118" s="286">
        <v>1950</v>
      </c>
      <c r="G118" s="249" t="s">
        <v>283</v>
      </c>
      <c r="H118" s="185" t="s">
        <v>284</v>
      </c>
      <c r="I118" s="197">
        <v>1</v>
      </c>
      <c r="J118" s="295"/>
      <c r="K118" s="184">
        <v>0</v>
      </c>
      <c r="L118" s="184">
        <v>0</v>
      </c>
      <c r="M118" s="67">
        <f t="shared" si="3"/>
        <v>7.6599999999999988E-2</v>
      </c>
      <c r="N118" s="242">
        <f>76.6/1000</f>
        <v>7.6599999999999988E-2</v>
      </c>
      <c r="O118" s="242"/>
      <c r="P118" s="302"/>
      <c r="Q118" s="241" t="s">
        <v>90</v>
      </c>
      <c r="R118" s="362">
        <v>6.7999999999999996E-3</v>
      </c>
      <c r="S118" s="361">
        <f t="shared" si="4"/>
        <v>10.457493333333334</v>
      </c>
      <c r="V118"/>
      <c r="W118"/>
    </row>
    <row r="119" spans="1:23" ht="15.75">
      <c r="A119" s="253">
        <f t="shared" si="5"/>
        <v>117</v>
      </c>
      <c r="B119" s="193" t="s">
        <v>951</v>
      </c>
      <c r="C119" s="303"/>
      <c r="D119" s="274" t="s">
        <v>2</v>
      </c>
      <c r="E119" s="279">
        <v>1</v>
      </c>
      <c r="F119" s="286">
        <v>1950</v>
      </c>
      <c r="G119" s="249" t="s">
        <v>283</v>
      </c>
      <c r="H119" s="185" t="s">
        <v>284</v>
      </c>
      <c r="I119" s="197">
        <v>1</v>
      </c>
      <c r="J119" s="295"/>
      <c r="K119" s="184">
        <v>0</v>
      </c>
      <c r="L119" s="184">
        <v>0</v>
      </c>
      <c r="M119" s="67">
        <f t="shared" si="3"/>
        <v>0.12129999999999999</v>
      </c>
      <c r="N119" s="242">
        <f>76/1000</f>
        <v>7.5999999999999998E-2</v>
      </c>
      <c r="O119" s="242">
        <f>45.3/1000</f>
        <v>4.53E-2</v>
      </c>
      <c r="P119" s="302"/>
      <c r="Q119" s="241" t="s">
        <v>90</v>
      </c>
      <c r="R119" s="362">
        <v>7.1999999999999998E-3</v>
      </c>
      <c r="S119" s="361">
        <f t="shared" si="4"/>
        <v>11.072640000000002</v>
      </c>
      <c r="V119"/>
      <c r="W119"/>
    </row>
    <row r="120" spans="1:23" ht="15.75">
      <c r="A120" s="253">
        <f t="shared" si="5"/>
        <v>118</v>
      </c>
      <c r="B120" s="193" t="s">
        <v>950</v>
      </c>
      <c r="C120" s="303"/>
      <c r="D120" s="274" t="s">
        <v>2</v>
      </c>
      <c r="E120" s="279">
        <v>1</v>
      </c>
      <c r="F120" s="286">
        <v>1927</v>
      </c>
      <c r="G120" s="249" t="s">
        <v>283</v>
      </c>
      <c r="H120" s="185" t="s">
        <v>284</v>
      </c>
      <c r="I120" s="197">
        <v>1</v>
      </c>
      <c r="J120" s="295"/>
      <c r="K120" s="184">
        <v>0</v>
      </c>
      <c r="L120" s="184">
        <v>0</v>
      </c>
      <c r="M120" s="67">
        <f t="shared" si="3"/>
        <v>5.2899999999999996E-2</v>
      </c>
      <c r="N120" s="242">
        <f>52.9/1000</f>
        <v>5.2899999999999996E-2</v>
      </c>
      <c r="O120" s="242"/>
      <c r="P120" s="302"/>
      <c r="Q120" s="241" t="s">
        <v>90</v>
      </c>
      <c r="R120" s="362">
        <v>6.1999999999999998E-3</v>
      </c>
      <c r="S120" s="361">
        <f t="shared" si="4"/>
        <v>9.534773333333332</v>
      </c>
      <c r="V120"/>
      <c r="W120"/>
    </row>
    <row r="121" spans="1:23" ht="15.75">
      <c r="A121" s="253">
        <f t="shared" si="5"/>
        <v>119</v>
      </c>
      <c r="B121" s="193" t="s">
        <v>949</v>
      </c>
      <c r="C121" s="303"/>
      <c r="D121" s="274" t="s">
        <v>2</v>
      </c>
      <c r="E121" s="279">
        <v>1</v>
      </c>
      <c r="F121" s="286">
        <v>1927</v>
      </c>
      <c r="G121" s="249" t="s">
        <v>283</v>
      </c>
      <c r="H121" s="185" t="s">
        <v>284</v>
      </c>
      <c r="I121" s="197">
        <v>1</v>
      </c>
      <c r="J121" s="295"/>
      <c r="K121" s="184">
        <v>0</v>
      </c>
      <c r="L121" s="184">
        <v>0</v>
      </c>
      <c r="M121" s="67">
        <f t="shared" si="3"/>
        <v>3.4200000000000001E-2</v>
      </c>
      <c r="N121" s="242">
        <f>34.2/1000</f>
        <v>3.4200000000000001E-2</v>
      </c>
      <c r="O121" s="242"/>
      <c r="P121" s="302"/>
      <c r="Q121" s="241" t="s">
        <v>90</v>
      </c>
      <c r="R121" s="362">
        <v>4.1999999999999997E-3</v>
      </c>
      <c r="S121" s="361">
        <f t="shared" si="4"/>
        <v>6.4590400000000008</v>
      </c>
      <c r="V121"/>
      <c r="W121"/>
    </row>
    <row r="122" spans="1:23" ht="15.75">
      <c r="A122" s="253">
        <f t="shared" si="5"/>
        <v>120</v>
      </c>
      <c r="B122" s="193" t="s">
        <v>948</v>
      </c>
      <c r="C122" s="303"/>
      <c r="D122" s="274" t="s">
        <v>2</v>
      </c>
      <c r="E122" s="279">
        <v>1</v>
      </c>
      <c r="F122" s="286">
        <v>1927</v>
      </c>
      <c r="G122" s="249" t="s">
        <v>283</v>
      </c>
      <c r="H122" s="185" t="s">
        <v>284</v>
      </c>
      <c r="I122" s="197">
        <v>1</v>
      </c>
      <c r="J122" s="295"/>
      <c r="K122" s="184">
        <v>0</v>
      </c>
      <c r="L122" s="184">
        <v>0</v>
      </c>
      <c r="M122" s="67">
        <f t="shared" si="3"/>
        <v>3.4799999999999998E-2</v>
      </c>
      <c r="N122" s="242">
        <f>29.3/1000</f>
        <v>2.93E-2</v>
      </c>
      <c r="O122" s="242">
        <f>5.5/1000</f>
        <v>5.4999999999999997E-3</v>
      </c>
      <c r="P122" s="302"/>
      <c r="Q122" s="241" t="s">
        <v>90</v>
      </c>
      <c r="R122" s="362">
        <v>3.7000000000000002E-3</v>
      </c>
      <c r="S122" s="361">
        <f t="shared" si="4"/>
        <v>5.6901066666666669</v>
      </c>
      <c r="V122"/>
      <c r="W122"/>
    </row>
    <row r="123" spans="1:23" ht="15.75">
      <c r="A123" s="253">
        <f t="shared" si="5"/>
        <v>121</v>
      </c>
      <c r="B123" s="193" t="s">
        <v>947</v>
      </c>
      <c r="C123" s="303"/>
      <c r="D123" s="274" t="s">
        <v>2</v>
      </c>
      <c r="E123" s="279">
        <v>1</v>
      </c>
      <c r="F123" s="286">
        <v>1927</v>
      </c>
      <c r="G123" s="249" t="s">
        <v>283</v>
      </c>
      <c r="H123" s="185" t="s">
        <v>284</v>
      </c>
      <c r="I123" s="197">
        <v>1</v>
      </c>
      <c r="J123" s="295"/>
      <c r="K123" s="184">
        <v>0</v>
      </c>
      <c r="L123" s="184">
        <v>0</v>
      </c>
      <c r="M123" s="67">
        <f t="shared" si="3"/>
        <v>5.8899999999999994E-2</v>
      </c>
      <c r="N123" s="242">
        <f>46.3/1000</f>
        <v>4.6299999999999994E-2</v>
      </c>
      <c r="O123" s="242">
        <f>12.6/1000</f>
        <v>1.26E-2</v>
      </c>
      <c r="P123" s="302"/>
      <c r="Q123" s="241" t="s">
        <v>90</v>
      </c>
      <c r="R123" s="362">
        <v>4.1999999999999997E-3</v>
      </c>
      <c r="S123" s="361">
        <f t="shared" si="4"/>
        <v>6.4590400000000008</v>
      </c>
      <c r="V123"/>
      <c r="W123"/>
    </row>
    <row r="124" spans="1:23" ht="15.75">
      <c r="A124" s="253">
        <f t="shared" si="5"/>
        <v>122</v>
      </c>
      <c r="B124" s="193" t="s">
        <v>946</v>
      </c>
      <c r="C124" s="303"/>
      <c r="D124" s="274" t="s">
        <v>2</v>
      </c>
      <c r="E124" s="279">
        <v>1</v>
      </c>
      <c r="F124" s="286">
        <v>1927</v>
      </c>
      <c r="G124" s="249" t="s">
        <v>283</v>
      </c>
      <c r="H124" s="185" t="s">
        <v>284</v>
      </c>
      <c r="I124" s="197">
        <v>1</v>
      </c>
      <c r="J124" s="295"/>
      <c r="K124" s="184">
        <v>0</v>
      </c>
      <c r="L124" s="184">
        <v>0</v>
      </c>
      <c r="M124" s="67">
        <f t="shared" si="3"/>
        <v>3.56E-2</v>
      </c>
      <c r="N124" s="242">
        <f>35.6/1000</f>
        <v>3.56E-2</v>
      </c>
      <c r="O124" s="242"/>
      <c r="P124" s="302"/>
      <c r="Q124" s="241" t="s">
        <v>90</v>
      </c>
      <c r="R124" s="362">
        <v>2.2000000000000001E-3</v>
      </c>
      <c r="S124" s="361">
        <f t="shared" si="4"/>
        <v>3.3833066666666665</v>
      </c>
      <c r="V124"/>
      <c r="W124"/>
    </row>
    <row r="125" spans="1:23" ht="15.75">
      <c r="A125" s="253">
        <f t="shared" si="5"/>
        <v>123</v>
      </c>
      <c r="B125" s="193" t="s">
        <v>945</v>
      </c>
      <c r="C125" s="303"/>
      <c r="D125" s="274" t="s">
        <v>2</v>
      </c>
      <c r="E125" s="279">
        <v>1</v>
      </c>
      <c r="F125" s="286">
        <v>1927</v>
      </c>
      <c r="G125" s="249" t="s">
        <v>283</v>
      </c>
      <c r="H125" s="185" t="s">
        <v>284</v>
      </c>
      <c r="I125" s="197">
        <v>1</v>
      </c>
      <c r="J125" s="295"/>
      <c r="K125" s="184">
        <v>0</v>
      </c>
      <c r="L125" s="184">
        <v>0</v>
      </c>
      <c r="M125" s="67">
        <f t="shared" si="3"/>
        <v>8.14E-2</v>
      </c>
      <c r="N125" s="242">
        <f>81.4/1000</f>
        <v>8.14E-2</v>
      </c>
      <c r="O125" s="242"/>
      <c r="P125" s="302"/>
      <c r="Q125" s="241" t="s">
        <v>90</v>
      </c>
      <c r="R125" s="362">
        <v>8.5000000000000006E-3</v>
      </c>
      <c r="S125" s="361">
        <f t="shared" si="4"/>
        <v>13.071866666666667</v>
      </c>
      <c r="V125"/>
      <c r="W125"/>
    </row>
    <row r="126" spans="1:23" ht="15.75">
      <c r="A126" s="253">
        <f t="shared" si="5"/>
        <v>124</v>
      </c>
      <c r="B126" s="193" t="s">
        <v>944</v>
      </c>
      <c r="C126" s="303"/>
      <c r="D126" s="274" t="s">
        <v>2</v>
      </c>
      <c r="E126" s="279">
        <v>1</v>
      </c>
      <c r="F126" s="286">
        <v>1927</v>
      </c>
      <c r="G126" s="249" t="s">
        <v>283</v>
      </c>
      <c r="H126" s="185" t="s">
        <v>284</v>
      </c>
      <c r="I126" s="197">
        <v>1</v>
      </c>
      <c r="J126" s="295"/>
      <c r="K126" s="184">
        <v>0</v>
      </c>
      <c r="L126" s="184">
        <v>0</v>
      </c>
      <c r="M126" s="67">
        <f t="shared" si="3"/>
        <v>6.1600000000000002E-2</v>
      </c>
      <c r="N126" s="242">
        <f>61.6/1000</f>
        <v>6.1600000000000002E-2</v>
      </c>
      <c r="O126" s="242"/>
      <c r="P126" s="302"/>
      <c r="Q126" s="241" t="s">
        <v>90</v>
      </c>
      <c r="R126" s="362">
        <v>2.5000000000000001E-3</v>
      </c>
      <c r="S126" s="361">
        <f t="shared" si="4"/>
        <v>3.8446666666666669</v>
      </c>
      <c r="V126"/>
      <c r="W126"/>
    </row>
    <row r="127" spans="1:23" ht="15.75">
      <c r="A127" s="253">
        <f t="shared" si="5"/>
        <v>125</v>
      </c>
      <c r="B127" s="193" t="s">
        <v>943</v>
      </c>
      <c r="C127" s="303"/>
      <c r="D127" s="274" t="s">
        <v>2</v>
      </c>
      <c r="E127" s="279">
        <v>1</v>
      </c>
      <c r="F127" s="286">
        <v>1927</v>
      </c>
      <c r="G127" s="249" t="s">
        <v>284</v>
      </c>
      <c r="H127" s="185" t="s">
        <v>284</v>
      </c>
      <c r="I127" s="197">
        <v>1</v>
      </c>
      <c r="J127" s="295"/>
      <c r="K127" s="184">
        <v>0</v>
      </c>
      <c r="L127" s="184">
        <v>0</v>
      </c>
      <c r="M127" s="67">
        <f t="shared" si="3"/>
        <v>5.1400000000000001E-2</v>
      </c>
      <c r="N127" s="242">
        <f>51.4/1000</f>
        <v>5.1400000000000001E-2</v>
      </c>
      <c r="O127" s="242"/>
      <c r="P127" s="302"/>
      <c r="Q127" s="241" t="s">
        <v>90</v>
      </c>
      <c r="R127" s="362">
        <v>6.7999999999999996E-3</v>
      </c>
      <c r="S127" s="361">
        <f t="shared" si="4"/>
        <v>10.457493333333334</v>
      </c>
      <c r="V127"/>
      <c r="W127"/>
    </row>
    <row r="128" spans="1:23" ht="15.75">
      <c r="A128" s="253">
        <f t="shared" si="5"/>
        <v>126</v>
      </c>
      <c r="B128" s="193" t="s">
        <v>942</v>
      </c>
      <c r="C128" s="303"/>
      <c r="D128" s="274" t="s">
        <v>2</v>
      </c>
      <c r="E128" s="279">
        <v>1</v>
      </c>
      <c r="F128" s="286">
        <v>1927</v>
      </c>
      <c r="G128" s="249" t="s">
        <v>284</v>
      </c>
      <c r="H128" s="185" t="s">
        <v>284</v>
      </c>
      <c r="I128" s="197">
        <v>1</v>
      </c>
      <c r="J128" s="295"/>
      <c r="K128" s="184">
        <v>0</v>
      </c>
      <c r="L128" s="184">
        <v>0</v>
      </c>
      <c r="M128" s="67">
        <f t="shared" si="3"/>
        <v>6.8500000000000005E-2</v>
      </c>
      <c r="N128" s="242">
        <f>38.1/1000</f>
        <v>3.8100000000000002E-2</v>
      </c>
      <c r="O128" s="242">
        <f>30.4/1000</f>
        <v>3.04E-2</v>
      </c>
      <c r="P128" s="302"/>
      <c r="Q128" s="241" t="s">
        <v>90</v>
      </c>
      <c r="R128" s="362">
        <v>5.4000000000000003E-3</v>
      </c>
      <c r="S128" s="361">
        <f t="shared" si="4"/>
        <v>8.3044799999999981</v>
      </c>
      <c r="V128"/>
      <c r="W128"/>
    </row>
    <row r="129" spans="1:23" ht="15.75">
      <c r="A129" s="253">
        <f t="shared" si="5"/>
        <v>127</v>
      </c>
      <c r="B129" s="193" t="s">
        <v>941</v>
      </c>
      <c r="C129" s="303"/>
      <c r="D129" s="274" t="s">
        <v>2</v>
      </c>
      <c r="E129" s="279">
        <v>1</v>
      </c>
      <c r="F129" s="286">
        <v>1927</v>
      </c>
      <c r="G129" s="249" t="s">
        <v>283</v>
      </c>
      <c r="H129" s="185" t="s">
        <v>284</v>
      </c>
      <c r="I129" s="197">
        <v>1</v>
      </c>
      <c r="J129" s="295"/>
      <c r="K129" s="184">
        <v>0</v>
      </c>
      <c r="L129" s="184">
        <v>0</v>
      </c>
      <c r="M129" s="67">
        <f t="shared" si="3"/>
        <v>3.2000000000000001E-2</v>
      </c>
      <c r="N129" s="242">
        <f>32/1000</f>
        <v>3.2000000000000001E-2</v>
      </c>
      <c r="O129" s="242"/>
      <c r="P129" s="302"/>
      <c r="Q129" s="241" t="s">
        <v>90</v>
      </c>
      <c r="R129" s="362">
        <v>1.6999999999999999E-3</v>
      </c>
      <c r="S129" s="361">
        <f t="shared" si="4"/>
        <v>2.6143733333333334</v>
      </c>
      <c r="V129"/>
      <c r="W129"/>
    </row>
    <row r="130" spans="1:23" ht="15.75">
      <c r="A130" s="253">
        <f t="shared" si="5"/>
        <v>128</v>
      </c>
      <c r="B130" s="193" t="s">
        <v>540</v>
      </c>
      <c r="C130" s="303"/>
      <c r="D130" s="274" t="s">
        <v>2</v>
      </c>
      <c r="E130" s="279">
        <v>1</v>
      </c>
      <c r="F130" s="286">
        <v>1969</v>
      </c>
      <c r="G130" s="249" t="s">
        <v>283</v>
      </c>
      <c r="H130" s="185" t="s">
        <v>284</v>
      </c>
      <c r="I130" s="197">
        <v>1</v>
      </c>
      <c r="J130" s="295"/>
      <c r="K130" s="184">
        <v>0</v>
      </c>
      <c r="L130" s="184">
        <v>0</v>
      </c>
      <c r="M130" s="67">
        <f t="shared" si="3"/>
        <v>5.6999999999999995E-2</v>
      </c>
      <c r="N130" s="242">
        <f>42.3/1000</f>
        <v>4.2299999999999997E-2</v>
      </c>
      <c r="O130" s="242">
        <f>14.7/1000</f>
        <v>1.47E-2</v>
      </c>
      <c r="P130" s="302"/>
      <c r="Q130" s="241" t="s">
        <v>90</v>
      </c>
      <c r="R130" s="362">
        <v>3.3999999999999998E-3</v>
      </c>
      <c r="S130" s="361">
        <f t="shared" si="4"/>
        <v>5.2287466666666669</v>
      </c>
      <c r="V130"/>
      <c r="W130"/>
    </row>
    <row r="131" spans="1:23" ht="15.75">
      <c r="A131" s="253">
        <f t="shared" si="5"/>
        <v>129</v>
      </c>
      <c r="B131" s="193" t="s">
        <v>940</v>
      </c>
      <c r="C131" s="303"/>
      <c r="D131" s="274" t="s">
        <v>2</v>
      </c>
      <c r="E131" s="279">
        <v>1</v>
      </c>
      <c r="F131" s="286">
        <v>1956</v>
      </c>
      <c r="G131" s="249" t="s">
        <v>284</v>
      </c>
      <c r="H131" s="185" t="s">
        <v>284</v>
      </c>
      <c r="I131" s="197">
        <v>1</v>
      </c>
      <c r="J131" s="295"/>
      <c r="K131" s="184">
        <v>0</v>
      </c>
      <c r="L131" s="184">
        <v>0</v>
      </c>
      <c r="M131" s="67">
        <f t="shared" ref="M131:M194" si="6">N131+O131+P131</f>
        <v>7.6299999999999993E-2</v>
      </c>
      <c r="N131" s="242">
        <f>76.3/1000</f>
        <v>7.6299999999999993E-2</v>
      </c>
      <c r="O131" s="242"/>
      <c r="P131" s="302"/>
      <c r="Q131" s="241" t="s">
        <v>90</v>
      </c>
      <c r="R131" s="362">
        <v>9.5999999999999992E-3</v>
      </c>
      <c r="S131" s="361">
        <f t="shared" ref="S131:S194" si="7">R131*24*158*((18-3.4)/36)</f>
        <v>14.76352</v>
      </c>
      <c r="V131"/>
      <c r="W131"/>
    </row>
    <row r="132" spans="1:23" ht="15.75">
      <c r="A132" s="253">
        <f t="shared" ref="A132:A195" si="8">A131+1</f>
        <v>130</v>
      </c>
      <c r="B132" s="193" t="s">
        <v>939</v>
      </c>
      <c r="C132" s="303"/>
      <c r="D132" s="274" t="s">
        <v>2</v>
      </c>
      <c r="E132" s="279">
        <v>1</v>
      </c>
      <c r="F132" s="286">
        <v>1956</v>
      </c>
      <c r="G132" s="249" t="s">
        <v>284</v>
      </c>
      <c r="H132" s="185" t="s">
        <v>284</v>
      </c>
      <c r="I132" s="197">
        <v>1</v>
      </c>
      <c r="J132" s="295"/>
      <c r="K132" s="184">
        <v>0</v>
      </c>
      <c r="L132" s="184">
        <v>0</v>
      </c>
      <c r="M132" s="67">
        <f t="shared" si="6"/>
        <v>7.0900000000000005E-2</v>
      </c>
      <c r="N132" s="242">
        <f>70.9/1000</f>
        <v>7.0900000000000005E-2</v>
      </c>
      <c r="O132" s="242"/>
      <c r="P132" s="302"/>
      <c r="Q132" s="241" t="s">
        <v>90</v>
      </c>
      <c r="R132" s="362">
        <v>7.9000000000000008E-3</v>
      </c>
      <c r="S132" s="361">
        <f t="shared" si="7"/>
        <v>12.149146666666667</v>
      </c>
      <c r="V132"/>
      <c r="W132"/>
    </row>
    <row r="133" spans="1:23" ht="15.75">
      <c r="A133" s="253">
        <f t="shared" si="8"/>
        <v>131</v>
      </c>
      <c r="B133" s="193" t="s">
        <v>938</v>
      </c>
      <c r="C133" s="303"/>
      <c r="D133" s="274" t="s">
        <v>2</v>
      </c>
      <c r="E133" s="279">
        <v>1</v>
      </c>
      <c r="F133" s="286">
        <v>1903</v>
      </c>
      <c r="G133" s="249" t="s">
        <v>283</v>
      </c>
      <c r="H133" s="185" t="s">
        <v>284</v>
      </c>
      <c r="I133" s="197">
        <v>1</v>
      </c>
      <c r="J133" s="295"/>
      <c r="K133" s="184">
        <v>0</v>
      </c>
      <c r="L133" s="184">
        <v>0</v>
      </c>
      <c r="M133" s="67">
        <f t="shared" si="6"/>
        <v>6.8000000000000005E-2</v>
      </c>
      <c r="N133" s="242">
        <f>50.4/1000</f>
        <v>5.04E-2</v>
      </c>
      <c r="O133" s="242">
        <f>17.6/1000</f>
        <v>1.7600000000000001E-2</v>
      </c>
      <c r="P133" s="302"/>
      <c r="Q133" s="241" t="s">
        <v>90</v>
      </c>
      <c r="R133" s="362">
        <v>5.0000000000000001E-3</v>
      </c>
      <c r="S133" s="361">
        <f t="shared" si="7"/>
        <v>7.6893333333333338</v>
      </c>
      <c r="V133"/>
      <c r="W133"/>
    </row>
    <row r="134" spans="1:23" ht="15.75">
      <c r="A134" s="253">
        <f t="shared" si="8"/>
        <v>132</v>
      </c>
      <c r="B134" s="193" t="s">
        <v>937</v>
      </c>
      <c r="C134" s="303"/>
      <c r="D134" s="274" t="s">
        <v>2</v>
      </c>
      <c r="E134" s="279">
        <v>1</v>
      </c>
      <c r="F134" s="286">
        <v>1903</v>
      </c>
      <c r="G134" s="249" t="s">
        <v>283</v>
      </c>
      <c r="H134" s="185" t="s">
        <v>284</v>
      </c>
      <c r="I134" s="197">
        <v>1</v>
      </c>
      <c r="J134" s="295"/>
      <c r="K134" s="184">
        <v>0</v>
      </c>
      <c r="L134" s="184">
        <v>0</v>
      </c>
      <c r="M134" s="67">
        <f t="shared" si="6"/>
        <v>4.02E-2</v>
      </c>
      <c r="N134" s="242">
        <f>31.6/1000</f>
        <v>3.1600000000000003E-2</v>
      </c>
      <c r="O134" s="242">
        <f>8.6/1000</f>
        <v>8.6E-3</v>
      </c>
      <c r="P134" s="302"/>
      <c r="Q134" s="241" t="s">
        <v>90</v>
      </c>
      <c r="R134" s="362">
        <v>3.0999999999999999E-3</v>
      </c>
      <c r="S134" s="361">
        <f t="shared" si="7"/>
        <v>4.767386666666666</v>
      </c>
      <c r="V134"/>
      <c r="W134"/>
    </row>
    <row r="135" spans="1:23" ht="15.75">
      <c r="A135" s="253">
        <f t="shared" si="8"/>
        <v>133</v>
      </c>
      <c r="B135" s="193" t="s">
        <v>936</v>
      </c>
      <c r="C135" s="303"/>
      <c r="D135" s="274" t="s">
        <v>2</v>
      </c>
      <c r="E135" s="279">
        <v>1</v>
      </c>
      <c r="F135" s="286">
        <v>1947</v>
      </c>
      <c r="G135" s="249" t="s">
        <v>284</v>
      </c>
      <c r="H135" s="185" t="s">
        <v>284</v>
      </c>
      <c r="I135" s="197">
        <v>1</v>
      </c>
      <c r="J135" s="295"/>
      <c r="K135" s="184">
        <v>0</v>
      </c>
      <c r="L135" s="184">
        <v>0</v>
      </c>
      <c r="M135" s="67">
        <f t="shared" si="6"/>
        <v>5.5200000000000006E-2</v>
      </c>
      <c r="N135" s="242">
        <f>55.2/1000</f>
        <v>5.5200000000000006E-2</v>
      </c>
      <c r="O135" s="242"/>
      <c r="P135" s="302"/>
      <c r="Q135" s="241" t="s">
        <v>90</v>
      </c>
      <c r="R135" s="362">
        <v>7.3000000000000001E-3</v>
      </c>
      <c r="S135" s="361">
        <f t="shared" si="7"/>
        <v>11.226426666666667</v>
      </c>
      <c r="V135"/>
      <c r="W135"/>
    </row>
    <row r="136" spans="1:23" ht="15.75">
      <c r="A136" s="253">
        <f t="shared" si="8"/>
        <v>134</v>
      </c>
      <c r="B136" s="193" t="s">
        <v>935</v>
      </c>
      <c r="C136" s="303"/>
      <c r="D136" s="274" t="s">
        <v>2</v>
      </c>
      <c r="E136" s="279">
        <v>1</v>
      </c>
      <c r="F136" s="286">
        <v>1956</v>
      </c>
      <c r="G136" s="249" t="s">
        <v>283</v>
      </c>
      <c r="H136" s="185" t="s">
        <v>284</v>
      </c>
      <c r="I136" s="197">
        <v>1</v>
      </c>
      <c r="J136" s="295"/>
      <c r="K136" s="184">
        <v>0</v>
      </c>
      <c r="L136" s="184">
        <v>0</v>
      </c>
      <c r="M136" s="67">
        <f t="shared" si="6"/>
        <v>9.0999999999999998E-2</v>
      </c>
      <c r="N136" s="242">
        <f>68/1000</f>
        <v>6.8000000000000005E-2</v>
      </c>
      <c r="O136" s="242">
        <f>23/1000</f>
        <v>2.3E-2</v>
      </c>
      <c r="P136" s="302"/>
      <c r="Q136" s="241" t="s">
        <v>90</v>
      </c>
      <c r="R136" s="362">
        <v>7.6E-3</v>
      </c>
      <c r="S136" s="361">
        <f t="shared" si="7"/>
        <v>11.687786666666668</v>
      </c>
      <c r="V136"/>
      <c r="W136"/>
    </row>
    <row r="137" spans="1:23" ht="15.75">
      <c r="A137" s="253">
        <f t="shared" si="8"/>
        <v>135</v>
      </c>
      <c r="B137" s="193" t="s">
        <v>934</v>
      </c>
      <c r="C137" s="303"/>
      <c r="D137" s="274" t="s">
        <v>2</v>
      </c>
      <c r="E137" s="279">
        <v>1</v>
      </c>
      <c r="F137" s="286">
        <v>1956</v>
      </c>
      <c r="G137" s="249" t="s">
        <v>283</v>
      </c>
      <c r="H137" s="185" t="s">
        <v>284</v>
      </c>
      <c r="I137" s="197">
        <v>1</v>
      </c>
      <c r="J137" s="295"/>
      <c r="K137" s="184">
        <v>0</v>
      </c>
      <c r="L137" s="184">
        <v>0</v>
      </c>
      <c r="M137" s="67">
        <f t="shared" si="6"/>
        <v>6.6000000000000003E-2</v>
      </c>
      <c r="N137" s="242">
        <f>66/1000</f>
        <v>6.6000000000000003E-2</v>
      </c>
      <c r="O137" s="242"/>
      <c r="P137" s="302"/>
      <c r="Q137" s="241" t="s">
        <v>90</v>
      </c>
      <c r="R137" s="362">
        <v>8.0000000000000002E-3</v>
      </c>
      <c r="S137" s="361">
        <f t="shared" si="7"/>
        <v>12.302933333333334</v>
      </c>
      <c r="V137"/>
      <c r="W137"/>
    </row>
    <row r="138" spans="1:23" ht="15.75">
      <c r="A138" s="253">
        <f t="shared" si="8"/>
        <v>136</v>
      </c>
      <c r="B138" s="193" t="s">
        <v>933</v>
      </c>
      <c r="C138" s="303"/>
      <c r="D138" s="274" t="s">
        <v>2</v>
      </c>
      <c r="E138" s="279">
        <v>1</v>
      </c>
      <c r="F138" s="286">
        <v>1958</v>
      </c>
      <c r="G138" s="249" t="s">
        <v>283</v>
      </c>
      <c r="H138" s="185" t="s">
        <v>284</v>
      </c>
      <c r="I138" s="197">
        <v>1</v>
      </c>
      <c r="J138" s="295"/>
      <c r="K138" s="184">
        <v>0</v>
      </c>
      <c r="L138" s="184">
        <v>0</v>
      </c>
      <c r="M138" s="67">
        <f t="shared" si="6"/>
        <v>2.7230000000000001E-2</v>
      </c>
      <c r="N138" s="242">
        <f>27.23/1000</f>
        <v>2.7230000000000001E-2</v>
      </c>
      <c r="O138" s="242"/>
      <c r="P138" s="302"/>
      <c r="Q138" s="241" t="s">
        <v>90</v>
      </c>
      <c r="R138" s="362">
        <v>3.0000000000000001E-3</v>
      </c>
      <c r="S138" s="361">
        <f t="shared" si="7"/>
        <v>4.6136000000000008</v>
      </c>
      <c r="V138"/>
      <c r="W138"/>
    </row>
    <row r="139" spans="1:23" ht="15.75">
      <c r="A139" s="253">
        <f t="shared" si="8"/>
        <v>137</v>
      </c>
      <c r="B139" s="193" t="s">
        <v>932</v>
      </c>
      <c r="C139" s="303"/>
      <c r="D139" s="274" t="s">
        <v>2</v>
      </c>
      <c r="E139" s="279">
        <v>1</v>
      </c>
      <c r="F139" s="286">
        <v>1958</v>
      </c>
      <c r="G139" s="249" t="s">
        <v>283</v>
      </c>
      <c r="H139" s="185" t="s">
        <v>284</v>
      </c>
      <c r="I139" s="197">
        <v>1</v>
      </c>
      <c r="J139" s="295"/>
      <c r="K139" s="184">
        <v>0</v>
      </c>
      <c r="L139" s="184">
        <v>0</v>
      </c>
      <c r="M139" s="67">
        <f t="shared" si="6"/>
        <v>5.9900000000000002E-2</v>
      </c>
      <c r="N139" s="242">
        <f>59.9/1000</f>
        <v>5.9900000000000002E-2</v>
      </c>
      <c r="O139" s="242"/>
      <c r="P139" s="302"/>
      <c r="Q139" s="241" t="s">
        <v>90</v>
      </c>
      <c r="R139" s="362">
        <v>6.7000000000000002E-3</v>
      </c>
      <c r="S139" s="361">
        <f t="shared" si="7"/>
        <v>10.303706666666667</v>
      </c>
      <c r="V139"/>
      <c r="W139"/>
    </row>
    <row r="140" spans="1:23" ht="15.75">
      <c r="A140" s="253">
        <f t="shared" si="8"/>
        <v>138</v>
      </c>
      <c r="B140" s="193" t="s">
        <v>931</v>
      </c>
      <c r="C140" s="303"/>
      <c r="D140" s="274" t="s">
        <v>2</v>
      </c>
      <c r="E140" s="279">
        <v>1</v>
      </c>
      <c r="F140" s="286">
        <v>1956</v>
      </c>
      <c r="G140" s="249" t="s">
        <v>283</v>
      </c>
      <c r="H140" s="185" t="s">
        <v>284</v>
      </c>
      <c r="I140" s="197">
        <v>1</v>
      </c>
      <c r="J140" s="295"/>
      <c r="K140" s="184">
        <v>0</v>
      </c>
      <c r="L140" s="184">
        <v>0</v>
      </c>
      <c r="M140" s="67">
        <f t="shared" si="6"/>
        <v>4.4499999999999998E-2</v>
      </c>
      <c r="N140" s="242">
        <f>44.5/1000</f>
        <v>4.4499999999999998E-2</v>
      </c>
      <c r="O140" s="242"/>
      <c r="P140" s="302"/>
      <c r="Q140" s="241" t="s">
        <v>90</v>
      </c>
      <c r="R140" s="362">
        <v>3.5000000000000001E-3</v>
      </c>
      <c r="S140" s="361">
        <f t="shared" si="7"/>
        <v>5.3825333333333338</v>
      </c>
      <c r="V140"/>
      <c r="W140"/>
    </row>
    <row r="141" spans="1:23" ht="15.75">
      <c r="A141" s="253">
        <f t="shared" si="8"/>
        <v>139</v>
      </c>
      <c r="B141" s="193" t="s">
        <v>930</v>
      </c>
      <c r="C141" s="303"/>
      <c r="D141" s="274" t="s">
        <v>2</v>
      </c>
      <c r="E141" s="279">
        <v>1</v>
      </c>
      <c r="F141" s="286">
        <v>1960</v>
      </c>
      <c r="G141" s="249" t="s">
        <v>284</v>
      </c>
      <c r="H141" s="185" t="s">
        <v>284</v>
      </c>
      <c r="I141" s="197">
        <v>1</v>
      </c>
      <c r="J141" s="295"/>
      <c r="K141" s="184">
        <v>0</v>
      </c>
      <c r="L141" s="184">
        <v>0</v>
      </c>
      <c r="M141" s="67">
        <f t="shared" si="6"/>
        <v>6.5500000000000003E-2</v>
      </c>
      <c r="N141" s="242">
        <f>65.5/1000</f>
        <v>6.5500000000000003E-2</v>
      </c>
      <c r="O141" s="242"/>
      <c r="P141" s="302"/>
      <c r="Q141" s="241" t="s">
        <v>90</v>
      </c>
      <c r="R141" s="362">
        <v>1.04E-2</v>
      </c>
      <c r="S141" s="361">
        <f t="shared" si="7"/>
        <v>15.993813333333332</v>
      </c>
      <c r="V141"/>
      <c r="W141"/>
    </row>
    <row r="142" spans="1:23" ht="15.75">
      <c r="A142" s="253">
        <f t="shared" si="8"/>
        <v>140</v>
      </c>
      <c r="B142" s="193" t="s">
        <v>929</v>
      </c>
      <c r="C142" s="306"/>
      <c r="D142" s="274" t="s">
        <v>2</v>
      </c>
      <c r="E142" s="279">
        <v>1</v>
      </c>
      <c r="F142" s="286">
        <v>1956</v>
      </c>
      <c r="G142" s="249" t="s">
        <v>284</v>
      </c>
      <c r="H142" s="185" t="s">
        <v>284</v>
      </c>
      <c r="I142" s="304">
        <v>1</v>
      </c>
      <c r="J142" s="295"/>
      <c r="K142" s="184">
        <v>0</v>
      </c>
      <c r="L142" s="184">
        <v>0</v>
      </c>
      <c r="M142" s="67">
        <f t="shared" si="6"/>
        <v>0.2412</v>
      </c>
      <c r="N142" s="242">
        <f>42/1000</f>
        <v>4.2000000000000003E-2</v>
      </c>
      <c r="O142" s="242">
        <f>199.2/1000</f>
        <v>0.19919999999999999</v>
      </c>
      <c r="P142" s="266"/>
      <c r="Q142" s="241" t="s">
        <v>90</v>
      </c>
      <c r="R142" s="362">
        <v>6.1999999999999998E-3</v>
      </c>
      <c r="S142" s="361">
        <f t="shared" si="7"/>
        <v>9.534773333333332</v>
      </c>
      <c r="V142"/>
      <c r="W142"/>
    </row>
    <row r="143" spans="1:23" ht="15.75">
      <c r="A143" s="253">
        <f t="shared" si="8"/>
        <v>141</v>
      </c>
      <c r="B143" s="193" t="s">
        <v>928</v>
      </c>
      <c r="C143" s="303"/>
      <c r="D143" s="274" t="s">
        <v>2</v>
      </c>
      <c r="E143" s="279">
        <v>1</v>
      </c>
      <c r="F143" s="286">
        <v>1970</v>
      </c>
      <c r="G143" s="249" t="s">
        <v>283</v>
      </c>
      <c r="H143" s="185" t="s">
        <v>284</v>
      </c>
      <c r="I143" s="197">
        <v>1</v>
      </c>
      <c r="J143" s="295"/>
      <c r="K143" s="184">
        <v>0</v>
      </c>
      <c r="L143" s="184">
        <v>0</v>
      </c>
      <c r="M143" s="67">
        <f t="shared" si="6"/>
        <v>0.11207</v>
      </c>
      <c r="N143" s="242">
        <f>61.71/1000</f>
        <v>6.1710000000000001E-2</v>
      </c>
      <c r="O143" s="242">
        <f>50.36/1000</f>
        <v>5.0360000000000002E-2</v>
      </c>
      <c r="P143" s="302"/>
      <c r="Q143" s="241" t="s">
        <v>90</v>
      </c>
      <c r="R143" s="362">
        <v>4.1999999999999997E-3</v>
      </c>
      <c r="S143" s="361">
        <f t="shared" si="7"/>
        <v>6.4590400000000008</v>
      </c>
      <c r="V143"/>
      <c r="W143"/>
    </row>
    <row r="144" spans="1:23" ht="15.75">
      <c r="A144" s="253">
        <f t="shared" si="8"/>
        <v>142</v>
      </c>
      <c r="B144" s="193" t="s">
        <v>927</v>
      </c>
      <c r="C144" s="303"/>
      <c r="D144" s="274" t="s">
        <v>2</v>
      </c>
      <c r="E144" s="279">
        <v>1</v>
      </c>
      <c r="F144" s="286">
        <v>1974</v>
      </c>
      <c r="G144" s="249" t="s">
        <v>284</v>
      </c>
      <c r="H144" s="185" t="s">
        <v>284</v>
      </c>
      <c r="I144" s="197">
        <v>1</v>
      </c>
      <c r="J144" s="295"/>
      <c r="K144" s="184">
        <v>0</v>
      </c>
      <c r="L144" s="184">
        <v>0</v>
      </c>
      <c r="M144" s="67">
        <f t="shared" si="6"/>
        <v>0.12484999999999999</v>
      </c>
      <c r="N144" s="242">
        <f>82.95/1000</f>
        <v>8.2949999999999996E-2</v>
      </c>
      <c r="O144" s="242">
        <f>41.9/1000</f>
        <v>4.19E-2</v>
      </c>
      <c r="P144" s="302"/>
      <c r="Q144" s="241" t="s">
        <v>90</v>
      </c>
      <c r="R144" s="362">
        <v>1.44E-2</v>
      </c>
      <c r="S144" s="361">
        <f t="shared" si="7"/>
        <v>22.145280000000003</v>
      </c>
      <c r="V144"/>
      <c r="W144"/>
    </row>
    <row r="145" spans="1:23" ht="15.75">
      <c r="A145" s="253">
        <f t="shared" si="8"/>
        <v>143</v>
      </c>
      <c r="B145" s="193" t="s">
        <v>926</v>
      </c>
      <c r="C145" s="303"/>
      <c r="D145" s="274" t="s">
        <v>2</v>
      </c>
      <c r="E145" s="279">
        <v>1</v>
      </c>
      <c r="F145" s="286">
        <v>1903</v>
      </c>
      <c r="G145" s="249" t="s">
        <v>283</v>
      </c>
      <c r="H145" s="185" t="s">
        <v>284</v>
      </c>
      <c r="I145" s="197">
        <v>1</v>
      </c>
      <c r="J145" s="295"/>
      <c r="K145" s="184">
        <v>0</v>
      </c>
      <c r="L145" s="184">
        <v>0</v>
      </c>
      <c r="M145" s="67">
        <f t="shared" si="6"/>
        <v>0.1082</v>
      </c>
      <c r="N145" s="242">
        <f>108.2/1000</f>
        <v>0.1082</v>
      </c>
      <c r="O145" s="242"/>
      <c r="P145" s="302"/>
      <c r="Q145" s="241" t="s">
        <v>90</v>
      </c>
      <c r="R145" s="362">
        <v>8.8000000000000005E-3</v>
      </c>
      <c r="S145" s="361">
        <f t="shared" si="7"/>
        <v>13.533226666666666</v>
      </c>
      <c r="V145"/>
      <c r="W145"/>
    </row>
    <row r="146" spans="1:23" ht="15.75">
      <c r="A146" s="253">
        <f t="shared" si="8"/>
        <v>144</v>
      </c>
      <c r="B146" s="193" t="s">
        <v>925</v>
      </c>
      <c r="C146" s="303"/>
      <c r="D146" s="274" t="s">
        <v>2</v>
      </c>
      <c r="E146" s="279">
        <v>1</v>
      </c>
      <c r="F146" s="286">
        <v>1951</v>
      </c>
      <c r="G146" s="249" t="s">
        <v>283</v>
      </c>
      <c r="H146" s="185" t="s">
        <v>284</v>
      </c>
      <c r="I146" s="197">
        <v>1</v>
      </c>
      <c r="J146" s="295"/>
      <c r="K146" s="184">
        <v>0</v>
      </c>
      <c r="L146" s="184">
        <v>0</v>
      </c>
      <c r="M146" s="67">
        <f t="shared" si="6"/>
        <v>0.22450000000000001</v>
      </c>
      <c r="N146" s="242">
        <f>92.2/1000</f>
        <v>9.2200000000000004E-2</v>
      </c>
      <c r="O146" s="242">
        <f>132.3/1000</f>
        <v>0.1323</v>
      </c>
      <c r="P146" s="302"/>
      <c r="Q146" s="241" t="s">
        <v>90</v>
      </c>
      <c r="R146" s="362">
        <v>1.23E-2</v>
      </c>
      <c r="S146" s="361">
        <f t="shared" si="7"/>
        <v>18.915760000000002</v>
      </c>
      <c r="V146"/>
      <c r="W146"/>
    </row>
    <row r="147" spans="1:23" ht="15.75">
      <c r="A147" s="253">
        <f t="shared" si="8"/>
        <v>145</v>
      </c>
      <c r="B147" s="193" t="s">
        <v>924</v>
      </c>
      <c r="C147" s="303"/>
      <c r="D147" s="274" t="s">
        <v>2</v>
      </c>
      <c r="E147" s="279">
        <v>1</v>
      </c>
      <c r="F147" s="286">
        <v>1951</v>
      </c>
      <c r="G147" s="249" t="s">
        <v>283</v>
      </c>
      <c r="H147" s="185" t="s">
        <v>284</v>
      </c>
      <c r="I147" s="197">
        <v>1</v>
      </c>
      <c r="J147" s="295"/>
      <c r="K147" s="184">
        <v>0</v>
      </c>
      <c r="L147" s="184">
        <v>0</v>
      </c>
      <c r="M147" s="67">
        <f t="shared" si="6"/>
        <v>7.9600000000000004E-2</v>
      </c>
      <c r="N147" s="242">
        <f>57.6/1000</f>
        <v>5.7599999999999998E-2</v>
      </c>
      <c r="O147" s="242">
        <f>22/1000</f>
        <v>2.1999999999999999E-2</v>
      </c>
      <c r="P147" s="302"/>
      <c r="Q147" s="241" t="s">
        <v>90</v>
      </c>
      <c r="R147" s="362">
        <v>6.0000000000000001E-3</v>
      </c>
      <c r="S147" s="361">
        <f t="shared" si="7"/>
        <v>9.2272000000000016</v>
      </c>
      <c r="V147"/>
      <c r="W147"/>
    </row>
    <row r="148" spans="1:23" ht="15.75">
      <c r="A148" s="253">
        <f t="shared" si="8"/>
        <v>146</v>
      </c>
      <c r="B148" s="193" t="s">
        <v>923</v>
      </c>
      <c r="C148" s="303"/>
      <c r="D148" s="274" t="s">
        <v>2</v>
      </c>
      <c r="E148" s="279">
        <v>1</v>
      </c>
      <c r="F148" s="286">
        <v>1951</v>
      </c>
      <c r="G148" s="249" t="s">
        <v>283</v>
      </c>
      <c r="H148" s="185" t="s">
        <v>284</v>
      </c>
      <c r="I148" s="197">
        <v>1</v>
      </c>
      <c r="J148" s="295"/>
      <c r="K148" s="184">
        <v>0</v>
      </c>
      <c r="L148" s="184">
        <v>0</v>
      </c>
      <c r="M148" s="67">
        <f t="shared" si="6"/>
        <v>5.1299999999999998E-2</v>
      </c>
      <c r="N148" s="242">
        <f>51.3/1000</f>
        <v>5.1299999999999998E-2</v>
      </c>
      <c r="O148" s="242"/>
      <c r="P148" s="302"/>
      <c r="Q148" s="241" t="s">
        <v>90</v>
      </c>
      <c r="R148" s="362">
        <v>7.1999999999999998E-3</v>
      </c>
      <c r="S148" s="361">
        <f t="shared" si="7"/>
        <v>11.072640000000002</v>
      </c>
      <c r="V148"/>
      <c r="W148"/>
    </row>
    <row r="149" spans="1:23" ht="15.75">
      <c r="A149" s="253">
        <f t="shared" si="8"/>
        <v>147</v>
      </c>
      <c r="B149" s="193" t="s">
        <v>922</v>
      </c>
      <c r="C149" s="303"/>
      <c r="D149" s="274" t="s">
        <v>2</v>
      </c>
      <c r="E149" s="279">
        <v>1</v>
      </c>
      <c r="F149" s="286">
        <v>1953</v>
      </c>
      <c r="G149" s="249" t="s">
        <v>283</v>
      </c>
      <c r="H149" s="185" t="s">
        <v>284</v>
      </c>
      <c r="I149" s="197">
        <v>1</v>
      </c>
      <c r="J149" s="295"/>
      <c r="K149" s="184">
        <v>0</v>
      </c>
      <c r="L149" s="184">
        <v>0</v>
      </c>
      <c r="M149" s="67">
        <f t="shared" si="6"/>
        <v>5.4399999999999997E-2</v>
      </c>
      <c r="N149" s="242">
        <f>44.3/1000</f>
        <v>4.4299999999999999E-2</v>
      </c>
      <c r="O149" s="242">
        <f>10.1/1000</f>
        <v>1.01E-2</v>
      </c>
      <c r="P149" s="302"/>
      <c r="Q149" s="241" t="s">
        <v>90</v>
      </c>
      <c r="R149" s="362">
        <v>4.5999999999999999E-3</v>
      </c>
      <c r="S149" s="361">
        <f t="shared" si="7"/>
        <v>7.0741866666666668</v>
      </c>
      <c r="V149"/>
      <c r="W149"/>
    </row>
    <row r="150" spans="1:23" ht="15.75">
      <c r="A150" s="253">
        <f t="shared" si="8"/>
        <v>148</v>
      </c>
      <c r="B150" s="193" t="s">
        <v>921</v>
      </c>
      <c r="C150" s="303"/>
      <c r="D150" s="274" t="s">
        <v>2</v>
      </c>
      <c r="E150" s="279">
        <v>1</v>
      </c>
      <c r="F150" s="286">
        <v>1955</v>
      </c>
      <c r="G150" s="249" t="s">
        <v>284</v>
      </c>
      <c r="H150" s="185" t="s">
        <v>284</v>
      </c>
      <c r="I150" s="197">
        <v>1</v>
      </c>
      <c r="J150" s="295"/>
      <c r="K150" s="184">
        <v>0</v>
      </c>
      <c r="L150" s="184">
        <v>0</v>
      </c>
      <c r="M150" s="67">
        <f t="shared" si="6"/>
        <v>5.3899999999999997E-2</v>
      </c>
      <c r="N150" s="242">
        <f>53.9/1000</f>
        <v>5.3899999999999997E-2</v>
      </c>
      <c r="O150" s="242"/>
      <c r="P150" s="302"/>
      <c r="Q150" s="241" t="s">
        <v>90</v>
      </c>
      <c r="R150" s="362">
        <v>9.1999999999999998E-3</v>
      </c>
      <c r="S150" s="361">
        <f t="shared" si="7"/>
        <v>14.148373333333334</v>
      </c>
      <c r="V150"/>
      <c r="W150"/>
    </row>
    <row r="151" spans="1:23" ht="15.75">
      <c r="A151" s="253">
        <f t="shared" si="8"/>
        <v>149</v>
      </c>
      <c r="B151" s="193" t="s">
        <v>920</v>
      </c>
      <c r="C151" s="303"/>
      <c r="D151" s="274" t="s">
        <v>2</v>
      </c>
      <c r="E151" s="279">
        <v>1</v>
      </c>
      <c r="F151" s="286">
        <v>1960</v>
      </c>
      <c r="G151" s="249" t="s">
        <v>284</v>
      </c>
      <c r="H151" s="185" t="s">
        <v>284</v>
      </c>
      <c r="I151" s="197">
        <v>1</v>
      </c>
      <c r="J151" s="295"/>
      <c r="K151" s="184">
        <v>0</v>
      </c>
      <c r="L151" s="184">
        <v>0</v>
      </c>
      <c r="M151" s="67">
        <f t="shared" si="6"/>
        <v>7.4499999999999997E-2</v>
      </c>
      <c r="N151" s="242">
        <f>74.5/1000</f>
        <v>7.4499999999999997E-2</v>
      </c>
      <c r="O151" s="242"/>
      <c r="P151" s="302"/>
      <c r="Q151" s="241" t="s">
        <v>90</v>
      </c>
      <c r="R151" s="362">
        <v>1.2200000000000001E-2</v>
      </c>
      <c r="S151" s="361">
        <f t="shared" si="7"/>
        <v>18.761973333333334</v>
      </c>
      <c r="V151"/>
      <c r="W151"/>
    </row>
    <row r="152" spans="1:23" ht="15.75">
      <c r="A152" s="253">
        <f t="shared" si="8"/>
        <v>150</v>
      </c>
      <c r="B152" s="193" t="s">
        <v>919</v>
      </c>
      <c r="C152" s="303"/>
      <c r="D152" s="274" t="s">
        <v>2</v>
      </c>
      <c r="E152" s="279">
        <v>1</v>
      </c>
      <c r="F152" s="286">
        <v>1950</v>
      </c>
      <c r="G152" s="249" t="s">
        <v>284</v>
      </c>
      <c r="H152" s="185" t="s">
        <v>284</v>
      </c>
      <c r="I152" s="197">
        <v>1</v>
      </c>
      <c r="J152" s="295"/>
      <c r="K152" s="184">
        <v>0</v>
      </c>
      <c r="L152" s="184">
        <v>0</v>
      </c>
      <c r="M152" s="67">
        <f t="shared" si="6"/>
        <v>8.7099999999999997E-2</v>
      </c>
      <c r="N152" s="242">
        <f>87.1/1000</f>
        <v>8.7099999999999997E-2</v>
      </c>
      <c r="O152" s="242"/>
      <c r="P152" s="302"/>
      <c r="Q152" s="241" t="s">
        <v>90</v>
      </c>
      <c r="R152" s="362">
        <v>8.0000000000000002E-3</v>
      </c>
      <c r="S152" s="361">
        <f t="shared" si="7"/>
        <v>12.302933333333334</v>
      </c>
      <c r="V152"/>
      <c r="W152"/>
    </row>
    <row r="153" spans="1:23" ht="15.75">
      <c r="A153" s="253">
        <f t="shared" si="8"/>
        <v>151</v>
      </c>
      <c r="B153" s="193" t="s">
        <v>918</v>
      </c>
      <c r="C153" s="303"/>
      <c r="D153" s="274" t="s">
        <v>2</v>
      </c>
      <c r="E153" s="279">
        <v>1</v>
      </c>
      <c r="F153" s="286">
        <v>1962</v>
      </c>
      <c r="G153" s="249" t="s">
        <v>284</v>
      </c>
      <c r="H153" s="185" t="s">
        <v>284</v>
      </c>
      <c r="I153" s="197">
        <v>1</v>
      </c>
      <c r="J153" s="295"/>
      <c r="K153" s="184">
        <v>0</v>
      </c>
      <c r="L153" s="184">
        <v>0</v>
      </c>
      <c r="M153" s="67">
        <f t="shared" si="6"/>
        <v>8.2500000000000004E-2</v>
      </c>
      <c r="N153" s="242">
        <f>40.6/1000</f>
        <v>4.0600000000000004E-2</v>
      </c>
      <c r="O153" s="242">
        <f>41.9/1000</f>
        <v>4.19E-2</v>
      </c>
      <c r="P153" s="302"/>
      <c r="Q153" s="241" t="s">
        <v>90</v>
      </c>
      <c r="R153" s="362">
        <v>7.7999999999999996E-3</v>
      </c>
      <c r="S153" s="361">
        <f t="shared" si="7"/>
        <v>11.995359999999998</v>
      </c>
      <c r="V153"/>
      <c r="W153"/>
    </row>
    <row r="154" spans="1:23" ht="15.75">
      <c r="A154" s="253">
        <f t="shared" si="8"/>
        <v>152</v>
      </c>
      <c r="B154" s="193" t="s">
        <v>917</v>
      </c>
      <c r="C154" s="303"/>
      <c r="D154" s="274" t="s">
        <v>2</v>
      </c>
      <c r="E154" s="279">
        <v>1</v>
      </c>
      <c r="F154" s="286">
        <v>1962</v>
      </c>
      <c r="G154" s="249" t="s">
        <v>284</v>
      </c>
      <c r="H154" s="185" t="s">
        <v>284</v>
      </c>
      <c r="I154" s="197">
        <v>1</v>
      </c>
      <c r="J154" s="295"/>
      <c r="K154" s="184">
        <v>0</v>
      </c>
      <c r="L154" s="184">
        <v>0</v>
      </c>
      <c r="M154" s="67">
        <f t="shared" si="6"/>
        <v>4.9000000000000002E-2</v>
      </c>
      <c r="N154" s="242">
        <f>49/1000</f>
        <v>4.9000000000000002E-2</v>
      </c>
      <c r="O154" s="242"/>
      <c r="P154" s="302"/>
      <c r="Q154" s="241" t="s">
        <v>90</v>
      </c>
      <c r="R154" s="362">
        <v>6.4000000000000003E-3</v>
      </c>
      <c r="S154" s="361">
        <f t="shared" si="7"/>
        <v>9.8423466666666677</v>
      </c>
      <c r="V154"/>
      <c r="W154"/>
    </row>
    <row r="155" spans="1:23" ht="15.75">
      <c r="A155" s="253">
        <f t="shared" si="8"/>
        <v>153</v>
      </c>
      <c r="B155" s="193" t="s">
        <v>916</v>
      </c>
      <c r="C155" s="303"/>
      <c r="D155" s="274" t="s">
        <v>2</v>
      </c>
      <c r="E155" s="279">
        <v>1</v>
      </c>
      <c r="F155" s="286">
        <v>1962</v>
      </c>
      <c r="G155" s="249" t="s">
        <v>283</v>
      </c>
      <c r="H155" s="185" t="s">
        <v>284</v>
      </c>
      <c r="I155" s="197">
        <v>1</v>
      </c>
      <c r="J155" s="295"/>
      <c r="K155" s="184">
        <v>0</v>
      </c>
      <c r="L155" s="184">
        <v>0</v>
      </c>
      <c r="M155" s="67">
        <f t="shared" si="6"/>
        <v>5.62E-2</v>
      </c>
      <c r="N155" s="242">
        <f>56.2/1000</f>
        <v>5.62E-2</v>
      </c>
      <c r="O155" s="242"/>
      <c r="P155" s="302"/>
      <c r="Q155" s="241" t="s">
        <v>90</v>
      </c>
      <c r="R155" s="362">
        <v>5.1000000000000004E-3</v>
      </c>
      <c r="S155" s="361">
        <f t="shared" si="7"/>
        <v>7.8431200000000008</v>
      </c>
      <c r="V155"/>
      <c r="W155"/>
    </row>
    <row r="156" spans="1:23" ht="15.75">
      <c r="A156" s="253">
        <f t="shared" si="8"/>
        <v>154</v>
      </c>
      <c r="B156" s="193" t="s">
        <v>915</v>
      </c>
      <c r="C156" s="303"/>
      <c r="D156" s="274" t="s">
        <v>2</v>
      </c>
      <c r="E156" s="279">
        <v>1</v>
      </c>
      <c r="F156" s="286">
        <v>1962</v>
      </c>
      <c r="G156" s="249" t="s">
        <v>283</v>
      </c>
      <c r="H156" s="185" t="s">
        <v>284</v>
      </c>
      <c r="I156" s="197">
        <v>1</v>
      </c>
      <c r="J156" s="295"/>
      <c r="K156" s="184">
        <v>0</v>
      </c>
      <c r="L156" s="184">
        <v>0</v>
      </c>
      <c r="M156" s="67">
        <f t="shared" si="6"/>
        <v>5.5200000000000006E-2</v>
      </c>
      <c r="N156" s="242">
        <f>55.2/1000</f>
        <v>5.5200000000000006E-2</v>
      </c>
      <c r="O156" s="242"/>
      <c r="P156" s="302"/>
      <c r="Q156" s="241" t="s">
        <v>90</v>
      </c>
      <c r="R156" s="362">
        <v>4.1999999999999997E-3</v>
      </c>
      <c r="S156" s="361">
        <f t="shared" si="7"/>
        <v>6.4590400000000008</v>
      </c>
      <c r="V156"/>
      <c r="W156"/>
    </row>
    <row r="157" spans="1:23" ht="15.75">
      <c r="A157" s="253">
        <f t="shared" si="8"/>
        <v>155</v>
      </c>
      <c r="B157" s="193" t="s">
        <v>914</v>
      </c>
      <c r="C157" s="303"/>
      <c r="D157" s="274" t="s">
        <v>2</v>
      </c>
      <c r="E157" s="279">
        <v>1</v>
      </c>
      <c r="F157" s="286">
        <v>1962</v>
      </c>
      <c r="G157" s="249" t="s">
        <v>283</v>
      </c>
      <c r="H157" s="185" t="s">
        <v>284</v>
      </c>
      <c r="I157" s="197">
        <v>1</v>
      </c>
      <c r="J157" s="295"/>
      <c r="K157" s="184">
        <v>0</v>
      </c>
      <c r="L157" s="184">
        <v>0</v>
      </c>
      <c r="M157" s="67">
        <f t="shared" si="6"/>
        <v>6.2200000000000005E-2</v>
      </c>
      <c r="N157" s="242">
        <f>62.2/1000</f>
        <v>6.2200000000000005E-2</v>
      </c>
      <c r="O157" s="242"/>
      <c r="P157" s="302"/>
      <c r="Q157" s="241" t="s">
        <v>90</v>
      </c>
      <c r="R157" s="362">
        <v>4.7000000000000002E-3</v>
      </c>
      <c r="S157" s="361">
        <f t="shared" si="7"/>
        <v>7.2279733333333338</v>
      </c>
      <c r="V157"/>
      <c r="W157"/>
    </row>
    <row r="158" spans="1:23" ht="15.75">
      <c r="A158" s="253">
        <f t="shared" si="8"/>
        <v>156</v>
      </c>
      <c r="B158" s="193" t="s">
        <v>913</v>
      </c>
      <c r="C158" s="303"/>
      <c r="D158" s="274" t="s">
        <v>2</v>
      </c>
      <c r="E158" s="279">
        <v>1</v>
      </c>
      <c r="F158" s="286">
        <v>1963</v>
      </c>
      <c r="G158" s="249" t="s">
        <v>283</v>
      </c>
      <c r="H158" s="185" t="s">
        <v>284</v>
      </c>
      <c r="I158" s="197">
        <v>1</v>
      </c>
      <c r="J158" s="295"/>
      <c r="K158" s="184">
        <v>0</v>
      </c>
      <c r="L158" s="184">
        <v>0</v>
      </c>
      <c r="M158" s="67">
        <f t="shared" si="6"/>
        <v>5.9700000000000003E-2</v>
      </c>
      <c r="N158" s="242">
        <f>59.7/1000</f>
        <v>5.9700000000000003E-2</v>
      </c>
      <c r="O158" s="242"/>
      <c r="P158" s="302"/>
      <c r="Q158" s="241" t="s">
        <v>90</v>
      </c>
      <c r="R158" s="362">
        <v>5.1000000000000004E-3</v>
      </c>
      <c r="S158" s="361">
        <f t="shared" si="7"/>
        <v>7.8431200000000008</v>
      </c>
      <c r="V158"/>
      <c r="W158"/>
    </row>
    <row r="159" spans="1:23" ht="15.75">
      <c r="A159" s="253">
        <f t="shared" si="8"/>
        <v>157</v>
      </c>
      <c r="B159" s="193" t="s">
        <v>912</v>
      </c>
      <c r="C159" s="303"/>
      <c r="D159" s="274" t="s">
        <v>2</v>
      </c>
      <c r="E159" s="279">
        <v>1</v>
      </c>
      <c r="F159" s="286">
        <v>1963</v>
      </c>
      <c r="G159" s="249" t="s">
        <v>283</v>
      </c>
      <c r="H159" s="185" t="s">
        <v>284</v>
      </c>
      <c r="I159" s="197">
        <v>1</v>
      </c>
      <c r="J159" s="295"/>
      <c r="K159" s="184">
        <v>0</v>
      </c>
      <c r="L159" s="184">
        <v>0</v>
      </c>
      <c r="M159" s="67">
        <f t="shared" si="6"/>
        <v>7.1599999999999997E-2</v>
      </c>
      <c r="N159" s="242">
        <f>71.6/1000</f>
        <v>7.1599999999999997E-2</v>
      </c>
      <c r="O159" s="242"/>
      <c r="P159" s="302"/>
      <c r="Q159" s="241" t="s">
        <v>90</v>
      </c>
      <c r="R159" s="362">
        <v>1.04E-2</v>
      </c>
      <c r="S159" s="361">
        <f t="shared" si="7"/>
        <v>15.993813333333332</v>
      </c>
      <c r="V159"/>
      <c r="W159"/>
    </row>
    <row r="160" spans="1:23" ht="15.75">
      <c r="A160" s="253">
        <f t="shared" si="8"/>
        <v>158</v>
      </c>
      <c r="B160" s="193" t="s">
        <v>911</v>
      </c>
      <c r="C160" s="303"/>
      <c r="D160" s="274" t="s">
        <v>2</v>
      </c>
      <c r="E160" s="279">
        <v>1</v>
      </c>
      <c r="F160" s="286">
        <v>1963</v>
      </c>
      <c r="G160" s="249" t="s">
        <v>283</v>
      </c>
      <c r="H160" s="185" t="s">
        <v>284</v>
      </c>
      <c r="I160" s="197">
        <v>1</v>
      </c>
      <c r="J160" s="295"/>
      <c r="K160" s="184">
        <v>0</v>
      </c>
      <c r="L160" s="184">
        <v>0</v>
      </c>
      <c r="M160" s="67">
        <f t="shared" si="6"/>
        <v>0.1031</v>
      </c>
      <c r="N160" s="242">
        <f>103.1/1000</f>
        <v>0.1031</v>
      </c>
      <c r="O160" s="242"/>
      <c r="P160" s="302"/>
      <c r="Q160" s="241" t="s">
        <v>90</v>
      </c>
      <c r="R160" s="362">
        <v>7.4000000000000003E-3</v>
      </c>
      <c r="S160" s="361">
        <f t="shared" si="7"/>
        <v>11.380213333333334</v>
      </c>
      <c r="V160"/>
      <c r="W160"/>
    </row>
    <row r="161" spans="1:23" ht="15.75">
      <c r="A161" s="253">
        <f t="shared" si="8"/>
        <v>159</v>
      </c>
      <c r="B161" s="193" t="s">
        <v>910</v>
      </c>
      <c r="C161" s="303"/>
      <c r="D161" s="274" t="s">
        <v>2</v>
      </c>
      <c r="E161" s="279">
        <v>1</v>
      </c>
      <c r="F161" s="286">
        <v>1963</v>
      </c>
      <c r="G161" s="249" t="s">
        <v>283</v>
      </c>
      <c r="H161" s="185" t="s">
        <v>284</v>
      </c>
      <c r="I161" s="197">
        <v>1</v>
      </c>
      <c r="J161" s="295"/>
      <c r="K161" s="184">
        <v>0</v>
      </c>
      <c r="L161" s="184">
        <v>0</v>
      </c>
      <c r="M161" s="67">
        <f t="shared" si="6"/>
        <v>7.8099999999999989E-2</v>
      </c>
      <c r="N161" s="242">
        <f>78.1/1000</f>
        <v>7.8099999999999989E-2</v>
      </c>
      <c r="O161" s="242"/>
      <c r="P161" s="302"/>
      <c r="Q161" s="241" t="s">
        <v>90</v>
      </c>
      <c r="R161" s="362">
        <v>4.4999999999999997E-3</v>
      </c>
      <c r="S161" s="361">
        <f t="shared" si="7"/>
        <v>6.920399999999999</v>
      </c>
      <c r="V161"/>
      <c r="W161"/>
    </row>
    <row r="162" spans="1:23" ht="15.75">
      <c r="A162" s="253">
        <f t="shared" si="8"/>
        <v>160</v>
      </c>
      <c r="B162" s="193" t="s">
        <v>909</v>
      </c>
      <c r="C162" s="303"/>
      <c r="D162" s="274" t="s">
        <v>2</v>
      </c>
      <c r="E162" s="279">
        <v>2</v>
      </c>
      <c r="F162" s="297">
        <v>1957</v>
      </c>
      <c r="G162" s="249" t="s">
        <v>283</v>
      </c>
      <c r="H162" s="185" t="s">
        <v>284</v>
      </c>
      <c r="I162" s="197">
        <v>6</v>
      </c>
      <c r="J162" s="295"/>
      <c r="K162" s="184">
        <v>0</v>
      </c>
      <c r="L162" s="184">
        <v>0</v>
      </c>
      <c r="M162" s="67">
        <f t="shared" si="6"/>
        <v>0.63868999999999998</v>
      </c>
      <c r="N162" s="242">
        <f>240.9/1000</f>
        <v>0.2409</v>
      </c>
      <c r="O162" s="242">
        <f>397.79/1000</f>
        <v>0.39779000000000003</v>
      </c>
      <c r="P162" s="302"/>
      <c r="Q162" s="241" t="s">
        <v>90</v>
      </c>
      <c r="R162" s="362">
        <v>2.86E-2</v>
      </c>
      <c r="S162" s="361">
        <f t="shared" si="7"/>
        <v>43.982986666666669</v>
      </c>
      <c r="V162"/>
      <c r="W162"/>
    </row>
    <row r="163" spans="1:23" ht="15.75">
      <c r="A163" s="253">
        <f t="shared" si="8"/>
        <v>161</v>
      </c>
      <c r="B163" s="193" t="s">
        <v>908</v>
      </c>
      <c r="C163" s="303"/>
      <c r="D163" s="274" t="s">
        <v>2</v>
      </c>
      <c r="E163" s="279">
        <v>2</v>
      </c>
      <c r="F163" s="297">
        <v>1965</v>
      </c>
      <c r="G163" s="249" t="s">
        <v>283</v>
      </c>
      <c r="H163" s="185" t="s">
        <v>284</v>
      </c>
      <c r="I163" s="197">
        <v>2</v>
      </c>
      <c r="J163" s="295"/>
      <c r="K163" s="184">
        <v>0</v>
      </c>
      <c r="L163" s="184">
        <v>0</v>
      </c>
      <c r="M163" s="67">
        <f t="shared" si="6"/>
        <v>0.40615999999999997</v>
      </c>
      <c r="N163" s="242">
        <f>111.01/1000</f>
        <v>0.11101000000000001</v>
      </c>
      <c r="O163" s="242">
        <f>295.15/1000</f>
        <v>0.29514999999999997</v>
      </c>
      <c r="P163" s="302"/>
      <c r="Q163" s="241" t="s">
        <v>90</v>
      </c>
      <c r="R163" s="362">
        <v>1.5299999999999999E-2</v>
      </c>
      <c r="S163" s="361">
        <f t="shared" si="7"/>
        <v>23.529359999999997</v>
      </c>
      <c r="V163"/>
      <c r="W163"/>
    </row>
    <row r="164" spans="1:23" ht="15.75">
      <c r="A164" s="253">
        <f t="shared" si="8"/>
        <v>162</v>
      </c>
      <c r="B164" s="193" t="s">
        <v>907</v>
      </c>
      <c r="C164" s="303"/>
      <c r="D164" s="274" t="s">
        <v>2</v>
      </c>
      <c r="E164" s="279">
        <v>2</v>
      </c>
      <c r="F164" s="297">
        <v>1963</v>
      </c>
      <c r="G164" s="249" t="s">
        <v>283</v>
      </c>
      <c r="H164" s="185" t="s">
        <v>284</v>
      </c>
      <c r="I164" s="197">
        <v>13</v>
      </c>
      <c r="J164" s="295"/>
      <c r="K164" s="184">
        <v>0</v>
      </c>
      <c r="L164" s="184">
        <v>0</v>
      </c>
      <c r="M164" s="67">
        <f t="shared" si="6"/>
        <v>0.66927000000000003</v>
      </c>
      <c r="N164" s="242">
        <f>507.06/1000</f>
        <v>0.50705999999999996</v>
      </c>
      <c r="O164" s="242">
        <f>162.21/1000</f>
        <v>0.16221000000000002</v>
      </c>
      <c r="P164" s="242"/>
      <c r="Q164" s="241" t="s">
        <v>90</v>
      </c>
      <c r="R164" s="362">
        <v>4.53E-2</v>
      </c>
      <c r="S164" s="361">
        <f t="shared" si="7"/>
        <v>69.665359999999993</v>
      </c>
      <c r="V164"/>
      <c r="W164"/>
    </row>
    <row r="165" spans="1:23" ht="15.75">
      <c r="A165" s="253">
        <f t="shared" si="8"/>
        <v>163</v>
      </c>
      <c r="B165" s="193" t="s">
        <v>906</v>
      </c>
      <c r="C165" s="303"/>
      <c r="D165" s="274" t="s">
        <v>2</v>
      </c>
      <c r="E165" s="279">
        <v>2</v>
      </c>
      <c r="F165" s="297">
        <v>1963</v>
      </c>
      <c r="G165" s="249" t="s">
        <v>284</v>
      </c>
      <c r="H165" s="185" t="s">
        <v>284</v>
      </c>
      <c r="I165" s="197">
        <v>18</v>
      </c>
      <c r="J165" s="295"/>
      <c r="K165" s="184">
        <v>0</v>
      </c>
      <c r="L165" s="184">
        <v>0</v>
      </c>
      <c r="M165" s="67">
        <f t="shared" si="6"/>
        <v>0.98419999999999996</v>
      </c>
      <c r="N165" s="242">
        <f>704.92/1000</f>
        <v>0.70491999999999999</v>
      </c>
      <c r="O165" s="242">
        <f>279.28/1000</f>
        <v>0.27927999999999997</v>
      </c>
      <c r="P165" s="302"/>
      <c r="Q165" s="241" t="s">
        <v>90</v>
      </c>
      <c r="R165" s="362">
        <v>5.7799999999999997E-2</v>
      </c>
      <c r="S165" s="361">
        <f t="shared" si="7"/>
        <v>88.888693333333322</v>
      </c>
      <c r="V165"/>
      <c r="W165"/>
    </row>
    <row r="166" spans="1:23" ht="15.75">
      <c r="A166" s="253">
        <f t="shared" si="8"/>
        <v>164</v>
      </c>
      <c r="B166" s="193" t="s">
        <v>905</v>
      </c>
      <c r="C166" s="303"/>
      <c r="D166" s="274" t="s">
        <v>2</v>
      </c>
      <c r="E166" s="279">
        <v>2</v>
      </c>
      <c r="F166" s="297">
        <v>1940</v>
      </c>
      <c r="G166" s="249" t="s">
        <v>283</v>
      </c>
      <c r="H166" s="185" t="s">
        <v>284</v>
      </c>
      <c r="I166" s="197">
        <v>6</v>
      </c>
      <c r="J166" s="295"/>
      <c r="K166" s="184">
        <v>0</v>
      </c>
      <c r="L166" s="184">
        <v>0</v>
      </c>
      <c r="M166" s="67">
        <f t="shared" si="6"/>
        <v>0.49057000000000006</v>
      </c>
      <c r="N166" s="242">
        <f>265.8/1000</f>
        <v>0.26580000000000004</v>
      </c>
      <c r="O166" s="242">
        <f>224.77/1000</f>
        <v>0.22477</v>
      </c>
      <c r="P166" s="242"/>
      <c r="Q166" s="241" t="s">
        <v>90</v>
      </c>
      <c r="R166" s="362">
        <v>1.78E-2</v>
      </c>
      <c r="S166" s="361">
        <f t="shared" si="7"/>
        <v>27.374026666666669</v>
      </c>
      <c r="V166"/>
      <c r="W166"/>
    </row>
    <row r="167" spans="1:23" ht="15.75">
      <c r="A167" s="253">
        <f t="shared" si="8"/>
        <v>165</v>
      </c>
      <c r="B167" s="193" t="s">
        <v>904</v>
      </c>
      <c r="C167" s="303"/>
      <c r="D167" s="274" t="s">
        <v>2</v>
      </c>
      <c r="E167" s="279">
        <v>2</v>
      </c>
      <c r="F167" s="297">
        <v>1958</v>
      </c>
      <c r="G167" s="249" t="s">
        <v>283</v>
      </c>
      <c r="H167" s="185" t="s">
        <v>284</v>
      </c>
      <c r="I167" s="197">
        <v>7</v>
      </c>
      <c r="J167" s="295"/>
      <c r="K167" s="184">
        <v>0</v>
      </c>
      <c r="L167" s="184">
        <v>0</v>
      </c>
      <c r="M167" s="67">
        <f t="shared" si="6"/>
        <v>0.4471</v>
      </c>
      <c r="N167" s="242">
        <f>266.38/1000</f>
        <v>0.26638000000000001</v>
      </c>
      <c r="O167" s="242">
        <f>180.72/1000</f>
        <v>0.18071999999999999</v>
      </c>
      <c r="P167" s="242"/>
      <c r="Q167" s="241" t="s">
        <v>90</v>
      </c>
      <c r="R167" s="362">
        <v>2.6200000000000001E-2</v>
      </c>
      <c r="S167" s="361">
        <f t="shared" si="7"/>
        <v>40.292106666666669</v>
      </c>
      <c r="V167"/>
      <c r="W167"/>
    </row>
    <row r="168" spans="1:23" ht="15.75">
      <c r="A168" s="253">
        <f t="shared" si="8"/>
        <v>166</v>
      </c>
      <c r="B168" s="193" t="s">
        <v>903</v>
      </c>
      <c r="C168" s="303"/>
      <c r="D168" s="274" t="s">
        <v>2</v>
      </c>
      <c r="E168" s="279">
        <v>2</v>
      </c>
      <c r="F168" s="297">
        <v>1958</v>
      </c>
      <c r="G168" s="249" t="s">
        <v>283</v>
      </c>
      <c r="H168" s="185" t="s">
        <v>284</v>
      </c>
      <c r="I168" s="197">
        <v>12</v>
      </c>
      <c r="J168" s="295"/>
      <c r="K168" s="184">
        <v>0</v>
      </c>
      <c r="L168" s="184">
        <v>0</v>
      </c>
      <c r="M168" s="67">
        <f t="shared" si="6"/>
        <v>0.62660000000000005</v>
      </c>
      <c r="N168" s="242">
        <f>494.24/1000</f>
        <v>0.49424000000000001</v>
      </c>
      <c r="O168" s="242">
        <f>132.36/1000</f>
        <v>0.13236000000000001</v>
      </c>
      <c r="P168" s="242"/>
      <c r="Q168" s="241" t="s">
        <v>90</v>
      </c>
      <c r="R168" s="362">
        <v>3.9100000000000003E-2</v>
      </c>
      <c r="S168" s="361">
        <f t="shared" si="7"/>
        <v>60.13058666666668</v>
      </c>
      <c r="V168"/>
      <c r="W168"/>
    </row>
    <row r="169" spans="1:23" ht="15.75">
      <c r="A169" s="253">
        <f t="shared" si="8"/>
        <v>167</v>
      </c>
      <c r="B169" s="193" t="s">
        <v>902</v>
      </c>
      <c r="C169" s="303"/>
      <c r="D169" s="274" t="s">
        <v>2</v>
      </c>
      <c r="E169" s="279">
        <v>2</v>
      </c>
      <c r="F169" s="297">
        <v>1958</v>
      </c>
      <c r="G169" s="249" t="s">
        <v>283</v>
      </c>
      <c r="H169" s="185" t="s">
        <v>284</v>
      </c>
      <c r="I169" s="197">
        <v>10</v>
      </c>
      <c r="J169" s="295"/>
      <c r="K169" s="184">
        <v>0</v>
      </c>
      <c r="L169" s="184">
        <v>0</v>
      </c>
      <c r="M169" s="67">
        <f t="shared" si="6"/>
        <v>0.69960000000000011</v>
      </c>
      <c r="N169" s="242">
        <f>539.94/1000</f>
        <v>0.53994000000000009</v>
      </c>
      <c r="O169" s="242">
        <f>159.66/1000</f>
        <v>0.15966</v>
      </c>
      <c r="P169" s="242"/>
      <c r="Q169" s="241" t="s">
        <v>90</v>
      </c>
      <c r="R169" s="362">
        <v>4.1500000000000002E-2</v>
      </c>
      <c r="S169" s="361">
        <f t="shared" si="7"/>
        <v>63.821466666666666</v>
      </c>
      <c r="V169"/>
      <c r="W169"/>
    </row>
    <row r="170" spans="1:23" ht="15.75">
      <c r="A170" s="253">
        <f t="shared" si="8"/>
        <v>168</v>
      </c>
      <c r="B170" s="252" t="s">
        <v>901</v>
      </c>
      <c r="C170" s="306"/>
      <c r="D170" s="274" t="s">
        <v>2</v>
      </c>
      <c r="E170" s="299">
        <v>2</v>
      </c>
      <c r="F170" s="270">
        <v>1951</v>
      </c>
      <c r="G170" s="259" t="s">
        <v>284</v>
      </c>
      <c r="H170" s="185" t="s">
        <v>284</v>
      </c>
      <c r="I170" s="304">
        <v>1</v>
      </c>
      <c r="J170" s="295"/>
      <c r="K170" s="184">
        <v>0</v>
      </c>
      <c r="L170" s="184">
        <v>0</v>
      </c>
      <c r="M170" s="67">
        <f t="shared" si="6"/>
        <v>0.35822000000000004</v>
      </c>
      <c r="N170" s="242">
        <f>48.41/1000</f>
        <v>4.8409999999999995E-2</v>
      </c>
      <c r="O170" s="242">
        <f>309.81/1000</f>
        <v>0.30981000000000003</v>
      </c>
      <c r="P170" s="258"/>
      <c r="Q170" s="241" t="s">
        <v>90</v>
      </c>
      <c r="R170" s="364">
        <v>6.1999999999999998E-3</v>
      </c>
      <c r="S170" s="361">
        <f t="shared" si="7"/>
        <v>9.534773333333332</v>
      </c>
      <c r="V170"/>
      <c r="W170"/>
    </row>
    <row r="171" spans="1:23" ht="15.75">
      <c r="A171" s="253">
        <f t="shared" si="8"/>
        <v>169</v>
      </c>
      <c r="B171" s="252" t="s">
        <v>900</v>
      </c>
      <c r="C171" s="311"/>
      <c r="D171" s="274" t="s">
        <v>2</v>
      </c>
      <c r="E171" s="299">
        <v>2</v>
      </c>
      <c r="F171" s="270">
        <v>1951</v>
      </c>
      <c r="G171" s="259" t="s">
        <v>283</v>
      </c>
      <c r="H171" s="248"/>
      <c r="I171" s="310">
        <v>1</v>
      </c>
      <c r="J171" s="246"/>
      <c r="K171" s="245"/>
      <c r="L171" s="245"/>
      <c r="M171" s="67">
        <f t="shared" si="6"/>
        <v>4.4499999999999998E-2</v>
      </c>
      <c r="N171" s="242">
        <f>44.5/1000</f>
        <v>4.4499999999999998E-2</v>
      </c>
      <c r="O171" s="242"/>
      <c r="P171" s="258"/>
      <c r="Q171" s="241" t="s">
        <v>90</v>
      </c>
      <c r="R171" s="364">
        <v>2.8E-3</v>
      </c>
      <c r="S171" s="361">
        <f t="shared" si="7"/>
        <v>4.3060266666666669</v>
      </c>
      <c r="V171"/>
      <c r="W171"/>
    </row>
    <row r="172" spans="1:23" ht="15.75">
      <c r="A172" s="253">
        <f t="shared" si="8"/>
        <v>170</v>
      </c>
      <c r="B172" s="193" t="s">
        <v>899</v>
      </c>
      <c r="C172" s="306"/>
      <c r="D172" s="274" t="s">
        <v>2</v>
      </c>
      <c r="E172" s="279">
        <v>2</v>
      </c>
      <c r="F172" s="297">
        <v>1967</v>
      </c>
      <c r="G172" s="249" t="s">
        <v>283</v>
      </c>
      <c r="H172" s="185" t="s">
        <v>284</v>
      </c>
      <c r="I172" s="304">
        <v>8</v>
      </c>
      <c r="J172" s="295"/>
      <c r="K172" s="184">
        <v>0</v>
      </c>
      <c r="L172" s="184">
        <v>0</v>
      </c>
      <c r="M172" s="67">
        <f t="shared" si="6"/>
        <v>0.36514999999999997</v>
      </c>
      <c r="N172" s="242">
        <f>365.15/1000</f>
        <v>0.36514999999999997</v>
      </c>
      <c r="O172" s="242"/>
      <c r="P172" s="266"/>
      <c r="Q172" s="241" t="s">
        <v>90</v>
      </c>
      <c r="R172" s="362">
        <v>3.0300000000000001E-2</v>
      </c>
      <c r="S172" s="361">
        <f t="shared" si="7"/>
        <v>46.597360000000002</v>
      </c>
      <c r="V172"/>
      <c r="W172"/>
    </row>
    <row r="173" spans="1:23" ht="15.75">
      <c r="A173" s="253">
        <f t="shared" si="8"/>
        <v>171</v>
      </c>
      <c r="B173" s="193" t="s">
        <v>898</v>
      </c>
      <c r="C173" s="306"/>
      <c r="D173" s="274" t="s">
        <v>2</v>
      </c>
      <c r="E173" s="279">
        <v>2</v>
      </c>
      <c r="F173" s="286">
        <v>1958</v>
      </c>
      <c r="G173" s="249" t="s">
        <v>283</v>
      </c>
      <c r="H173" s="185" t="s">
        <v>284</v>
      </c>
      <c r="I173" s="304">
        <v>6</v>
      </c>
      <c r="J173" s="295"/>
      <c r="K173" s="184">
        <v>0</v>
      </c>
      <c r="L173" s="184">
        <v>0</v>
      </c>
      <c r="M173" s="67">
        <f t="shared" si="6"/>
        <v>0.51536000000000004</v>
      </c>
      <c r="N173" s="242">
        <f>325.33/1000</f>
        <v>0.32533000000000001</v>
      </c>
      <c r="O173" s="242">
        <f>190.03/1000</f>
        <v>0.19003</v>
      </c>
      <c r="P173" s="266"/>
      <c r="Q173" s="241" t="s">
        <v>90</v>
      </c>
      <c r="R173" s="362">
        <v>3.09E-2</v>
      </c>
      <c r="S173" s="361">
        <f t="shared" si="7"/>
        <v>47.520080000000007</v>
      </c>
      <c r="V173"/>
      <c r="W173"/>
    </row>
    <row r="174" spans="1:23" ht="15.75">
      <c r="A174" s="253">
        <f t="shared" si="8"/>
        <v>172</v>
      </c>
      <c r="B174" s="193" t="s">
        <v>897</v>
      </c>
      <c r="C174" s="303"/>
      <c r="D174" s="274" t="s">
        <v>2</v>
      </c>
      <c r="E174" s="279">
        <v>2</v>
      </c>
      <c r="F174" s="286">
        <v>1964</v>
      </c>
      <c r="G174" s="249" t="s">
        <v>283</v>
      </c>
      <c r="H174" s="185" t="s">
        <v>284</v>
      </c>
      <c r="I174" s="197">
        <v>6</v>
      </c>
      <c r="J174" s="295"/>
      <c r="K174" s="184">
        <v>0</v>
      </c>
      <c r="L174" s="184">
        <v>0</v>
      </c>
      <c r="M174" s="67">
        <f t="shared" si="6"/>
        <v>0.35680000000000001</v>
      </c>
      <c r="N174" s="242">
        <f>269.3/1000</f>
        <v>0.26929999999999998</v>
      </c>
      <c r="O174" s="242">
        <f>87.5/1000</f>
        <v>8.7499999999999994E-2</v>
      </c>
      <c r="P174" s="302"/>
      <c r="Q174" s="241" t="s">
        <v>90</v>
      </c>
      <c r="R174" s="362">
        <v>2.07E-2</v>
      </c>
      <c r="S174" s="361">
        <f t="shared" si="7"/>
        <v>31.833839999999999</v>
      </c>
      <c r="V174"/>
      <c r="W174"/>
    </row>
    <row r="175" spans="1:23" ht="15.75">
      <c r="A175" s="253">
        <f t="shared" si="8"/>
        <v>173</v>
      </c>
      <c r="B175" s="193" t="s">
        <v>896</v>
      </c>
      <c r="C175" s="306"/>
      <c r="D175" s="274" t="s">
        <v>2</v>
      </c>
      <c r="E175" s="279">
        <v>2</v>
      </c>
      <c r="F175" s="286">
        <v>1964</v>
      </c>
      <c r="G175" s="249" t="s">
        <v>283</v>
      </c>
      <c r="H175" s="185" t="s">
        <v>284</v>
      </c>
      <c r="I175" s="304">
        <v>24</v>
      </c>
      <c r="J175" s="295"/>
      <c r="K175" s="184">
        <v>0</v>
      </c>
      <c r="L175" s="184">
        <v>0</v>
      </c>
      <c r="M175" s="67">
        <f t="shared" si="6"/>
        <v>0.97310000000000008</v>
      </c>
      <c r="N175" s="242">
        <f>973.1/1000</f>
        <v>0.97310000000000008</v>
      </c>
      <c r="O175" s="242"/>
      <c r="P175" s="266"/>
      <c r="Q175" s="241" t="s">
        <v>90</v>
      </c>
      <c r="R175" s="362">
        <v>5.9700000000000003E-2</v>
      </c>
      <c r="S175" s="361">
        <f t="shared" si="7"/>
        <v>91.810640000000006</v>
      </c>
      <c r="V175"/>
      <c r="W175"/>
    </row>
    <row r="176" spans="1:23" ht="15.75">
      <c r="A176" s="253">
        <f t="shared" si="8"/>
        <v>174</v>
      </c>
      <c r="B176" s="193" t="s">
        <v>895</v>
      </c>
      <c r="C176" s="306"/>
      <c r="D176" s="274" t="s">
        <v>2</v>
      </c>
      <c r="E176" s="279">
        <v>2</v>
      </c>
      <c r="F176" s="297">
        <v>1964</v>
      </c>
      <c r="G176" s="249" t="s">
        <v>283</v>
      </c>
      <c r="H176" s="185" t="s">
        <v>284</v>
      </c>
      <c r="I176" s="304">
        <v>20</v>
      </c>
      <c r="J176" s="295"/>
      <c r="K176" s="184">
        <v>0</v>
      </c>
      <c r="L176" s="184">
        <v>0</v>
      </c>
      <c r="M176" s="67">
        <f t="shared" si="6"/>
        <v>0.99192000000000002</v>
      </c>
      <c r="N176" s="242">
        <f>818.32/1000</f>
        <v>0.81832000000000005</v>
      </c>
      <c r="O176" s="242">
        <f>173.6/1000</f>
        <v>0.1736</v>
      </c>
      <c r="P176" s="266"/>
      <c r="Q176" s="241" t="s">
        <v>90</v>
      </c>
      <c r="R176" s="362">
        <v>5.1499999999999997E-2</v>
      </c>
      <c r="S176" s="361">
        <f t="shared" si="7"/>
        <v>79.200133333333341</v>
      </c>
      <c r="V176"/>
      <c r="W176"/>
    </row>
    <row r="177" spans="1:23" ht="15.75">
      <c r="A177" s="253">
        <f t="shared" si="8"/>
        <v>175</v>
      </c>
      <c r="B177" s="193" t="s">
        <v>894</v>
      </c>
      <c r="C177" s="306"/>
      <c r="D177" s="274" t="s">
        <v>2</v>
      </c>
      <c r="E177" s="279">
        <v>2</v>
      </c>
      <c r="F177" s="297">
        <v>1957</v>
      </c>
      <c r="G177" s="249" t="s">
        <v>283</v>
      </c>
      <c r="H177" s="185" t="s">
        <v>284</v>
      </c>
      <c r="I177" s="304">
        <v>6</v>
      </c>
      <c r="J177" s="295"/>
      <c r="K177" s="184">
        <v>0</v>
      </c>
      <c r="L177" s="184">
        <v>0</v>
      </c>
      <c r="M177" s="67">
        <f t="shared" si="6"/>
        <v>0.58482000000000001</v>
      </c>
      <c r="N177" s="242">
        <f>238.96/1000</f>
        <v>0.23896000000000001</v>
      </c>
      <c r="O177" s="242">
        <f>345.86/1000</f>
        <v>0.34586</v>
      </c>
      <c r="P177" s="266"/>
      <c r="Q177" s="241" t="s">
        <v>90</v>
      </c>
      <c r="R177" s="362">
        <v>2.1899999999999999E-2</v>
      </c>
      <c r="S177" s="361">
        <f t="shared" si="7"/>
        <v>33.679279999999999</v>
      </c>
      <c r="V177"/>
      <c r="W177"/>
    </row>
    <row r="178" spans="1:23" ht="15.75">
      <c r="A178" s="253">
        <f t="shared" si="8"/>
        <v>176</v>
      </c>
      <c r="B178" s="193" t="s">
        <v>893</v>
      </c>
      <c r="C178" s="306"/>
      <c r="D178" s="274" t="s">
        <v>2</v>
      </c>
      <c r="E178" s="279">
        <v>2</v>
      </c>
      <c r="F178" s="286">
        <v>2005</v>
      </c>
      <c r="G178" s="249" t="s">
        <v>283</v>
      </c>
      <c r="H178" s="185" t="s">
        <v>284</v>
      </c>
      <c r="I178" s="304">
        <v>16</v>
      </c>
      <c r="J178" s="295"/>
      <c r="K178" s="184">
        <v>0</v>
      </c>
      <c r="L178" s="184">
        <v>0</v>
      </c>
      <c r="M178" s="67">
        <f t="shared" si="6"/>
        <v>0.87050000000000005</v>
      </c>
      <c r="N178" s="242">
        <f>870.5/1000</f>
        <v>0.87050000000000005</v>
      </c>
      <c r="O178" s="242"/>
      <c r="P178" s="266"/>
      <c r="Q178" s="241" t="s">
        <v>90</v>
      </c>
      <c r="R178" s="362">
        <v>4.8599999999999997E-2</v>
      </c>
      <c r="S178" s="361">
        <f t="shared" si="7"/>
        <v>74.740319999999997</v>
      </c>
      <c r="V178"/>
      <c r="W178"/>
    </row>
    <row r="179" spans="1:23" ht="15.75">
      <c r="A179" s="253">
        <f t="shared" si="8"/>
        <v>177</v>
      </c>
      <c r="B179" s="193" t="s">
        <v>892</v>
      </c>
      <c r="C179" s="306"/>
      <c r="D179" s="274" t="s">
        <v>2</v>
      </c>
      <c r="E179" s="279">
        <v>2</v>
      </c>
      <c r="F179" s="297">
        <v>1960</v>
      </c>
      <c r="G179" s="249" t="s">
        <v>284</v>
      </c>
      <c r="H179" s="185" t="s">
        <v>284</v>
      </c>
      <c r="I179" s="304">
        <v>7</v>
      </c>
      <c r="J179" s="295"/>
      <c r="K179" s="184">
        <v>0</v>
      </c>
      <c r="L179" s="184">
        <v>0</v>
      </c>
      <c r="M179" s="67">
        <f t="shared" si="6"/>
        <v>0.30224000000000001</v>
      </c>
      <c r="N179" s="242">
        <f>219.15/1000</f>
        <v>0.21915000000000001</v>
      </c>
      <c r="O179" s="242">
        <f>83.09/1000</f>
        <v>8.3089999999999997E-2</v>
      </c>
      <c r="P179" s="258"/>
      <c r="Q179" s="241" t="s">
        <v>90</v>
      </c>
      <c r="R179" s="362">
        <v>2.53E-2</v>
      </c>
      <c r="S179" s="361">
        <f t="shared" si="7"/>
        <v>38.908026666666665</v>
      </c>
      <c r="V179"/>
      <c r="W179"/>
    </row>
    <row r="180" spans="1:23" ht="15.75">
      <c r="A180" s="253">
        <f t="shared" si="8"/>
        <v>178</v>
      </c>
      <c r="B180" s="193" t="s">
        <v>891</v>
      </c>
      <c r="C180" s="306"/>
      <c r="D180" s="274" t="s">
        <v>2</v>
      </c>
      <c r="E180" s="279">
        <v>2</v>
      </c>
      <c r="F180" s="297">
        <v>1954</v>
      </c>
      <c r="G180" s="249" t="s">
        <v>283</v>
      </c>
      <c r="H180" s="185" t="s">
        <v>284</v>
      </c>
      <c r="I180" s="304">
        <v>9</v>
      </c>
      <c r="J180" s="295"/>
      <c r="K180" s="184">
        <v>0</v>
      </c>
      <c r="L180" s="184">
        <v>0</v>
      </c>
      <c r="M180" s="67">
        <f t="shared" si="6"/>
        <v>0.71179000000000003</v>
      </c>
      <c r="N180" s="242">
        <f>465.49/1000</f>
        <v>0.46549000000000001</v>
      </c>
      <c r="O180" s="242">
        <f>246.3/1000</f>
        <v>0.24630000000000002</v>
      </c>
      <c r="P180" s="266"/>
      <c r="Q180" s="241" t="s">
        <v>90</v>
      </c>
      <c r="R180" s="362">
        <v>3.9899999999999998E-2</v>
      </c>
      <c r="S180" s="361">
        <f t="shared" si="7"/>
        <v>61.360880000000002</v>
      </c>
      <c r="V180"/>
      <c r="W180"/>
    </row>
    <row r="181" spans="1:23" ht="15.75">
      <c r="A181" s="253">
        <f t="shared" si="8"/>
        <v>179</v>
      </c>
      <c r="B181" s="193" t="s">
        <v>890</v>
      </c>
      <c r="C181" s="306"/>
      <c r="D181" s="274" t="s">
        <v>2</v>
      </c>
      <c r="E181" s="279">
        <v>2</v>
      </c>
      <c r="F181" s="297">
        <v>1954</v>
      </c>
      <c r="G181" s="249" t="s">
        <v>283</v>
      </c>
      <c r="H181" s="185" t="s">
        <v>284</v>
      </c>
      <c r="I181" s="304">
        <v>11</v>
      </c>
      <c r="J181" s="295"/>
      <c r="K181" s="184">
        <v>0</v>
      </c>
      <c r="L181" s="184">
        <v>0</v>
      </c>
      <c r="M181" s="67">
        <f t="shared" si="6"/>
        <v>0.69363000000000008</v>
      </c>
      <c r="N181" s="242">
        <f>604.83/1000</f>
        <v>0.60483000000000009</v>
      </c>
      <c r="O181" s="242">
        <f>88.8/1000</f>
        <v>8.8800000000000004E-2</v>
      </c>
      <c r="P181" s="258"/>
      <c r="Q181" s="241" t="s">
        <v>90</v>
      </c>
      <c r="R181" s="362">
        <v>4.4900000000000002E-2</v>
      </c>
      <c r="S181" s="361">
        <f t="shared" si="7"/>
        <v>69.050213333333346</v>
      </c>
      <c r="V181"/>
      <c r="W181"/>
    </row>
    <row r="182" spans="1:23" ht="15.75">
      <c r="A182" s="253">
        <f t="shared" si="8"/>
        <v>180</v>
      </c>
      <c r="B182" s="193" t="s">
        <v>889</v>
      </c>
      <c r="C182" s="306"/>
      <c r="D182" s="274" t="s">
        <v>2</v>
      </c>
      <c r="E182" s="279">
        <v>2</v>
      </c>
      <c r="F182" s="297">
        <v>1951</v>
      </c>
      <c r="G182" s="249" t="s">
        <v>284</v>
      </c>
      <c r="H182" s="185" t="s">
        <v>284</v>
      </c>
      <c r="I182" s="304">
        <v>9</v>
      </c>
      <c r="J182" s="295"/>
      <c r="K182" s="184">
        <v>0</v>
      </c>
      <c r="L182" s="184">
        <v>0</v>
      </c>
      <c r="M182" s="67">
        <f t="shared" si="6"/>
        <v>0.7192400000000001</v>
      </c>
      <c r="N182" s="242">
        <f>555.94/1000</f>
        <v>0.5559400000000001</v>
      </c>
      <c r="O182" s="242">
        <f>163.3/1000</f>
        <v>0.1633</v>
      </c>
      <c r="P182" s="258"/>
      <c r="Q182" s="241" t="s">
        <v>90</v>
      </c>
      <c r="R182" s="362">
        <v>4.2799999999999998E-2</v>
      </c>
      <c r="S182" s="361">
        <f t="shared" si="7"/>
        <v>65.820693333333324</v>
      </c>
      <c r="V182"/>
      <c r="W182"/>
    </row>
    <row r="183" spans="1:23" ht="15.75">
      <c r="A183" s="253">
        <f t="shared" si="8"/>
        <v>181</v>
      </c>
      <c r="B183" s="252" t="s">
        <v>536</v>
      </c>
      <c r="C183" s="306"/>
      <c r="D183" s="274" t="s">
        <v>2</v>
      </c>
      <c r="E183" s="309">
        <v>2</v>
      </c>
      <c r="F183" s="267">
        <v>1960</v>
      </c>
      <c r="G183" s="259" t="s">
        <v>284</v>
      </c>
      <c r="H183" s="308" t="s">
        <v>284</v>
      </c>
      <c r="I183" s="304">
        <v>2</v>
      </c>
      <c r="J183" s="295"/>
      <c r="K183" s="307">
        <v>0</v>
      </c>
      <c r="L183" s="307">
        <v>0</v>
      </c>
      <c r="M183" s="67">
        <f t="shared" si="6"/>
        <v>0.79616000000000009</v>
      </c>
      <c r="N183" s="242">
        <f>87.45/1000</f>
        <v>8.745E-2</v>
      </c>
      <c r="O183" s="242">
        <f>708.71/1000</f>
        <v>0.70871000000000006</v>
      </c>
      <c r="P183" s="242"/>
      <c r="Q183" s="241" t="s">
        <v>90</v>
      </c>
      <c r="R183" s="362">
        <v>9.1000000000000004E-3</v>
      </c>
      <c r="S183" s="361">
        <f t="shared" si="7"/>
        <v>13.994586666666669</v>
      </c>
      <c r="V183"/>
      <c r="W183"/>
    </row>
    <row r="184" spans="1:23" ht="15.75">
      <c r="A184" s="253">
        <f t="shared" si="8"/>
        <v>182</v>
      </c>
      <c r="B184" s="193" t="s">
        <v>888</v>
      </c>
      <c r="C184" s="306"/>
      <c r="D184" s="274" t="s">
        <v>2</v>
      </c>
      <c r="E184" s="279">
        <v>2</v>
      </c>
      <c r="F184" s="286">
        <v>1952</v>
      </c>
      <c r="G184" s="249" t="s">
        <v>284</v>
      </c>
      <c r="H184" s="185" t="s">
        <v>284</v>
      </c>
      <c r="I184" s="304">
        <v>9</v>
      </c>
      <c r="J184" s="295"/>
      <c r="K184" s="184">
        <v>0</v>
      </c>
      <c r="L184" s="184">
        <v>0</v>
      </c>
      <c r="M184" s="67">
        <f t="shared" si="6"/>
        <v>0.64951000000000003</v>
      </c>
      <c r="N184" s="242">
        <f>372.53/1000</f>
        <v>0.37252999999999997</v>
      </c>
      <c r="O184" s="242">
        <f>276.98/1000</f>
        <v>0.27698</v>
      </c>
      <c r="P184" s="258"/>
      <c r="Q184" s="241" t="s">
        <v>90</v>
      </c>
      <c r="R184" s="362">
        <v>3.3599999999999998E-2</v>
      </c>
      <c r="S184" s="361">
        <f t="shared" si="7"/>
        <v>51.672320000000006</v>
      </c>
      <c r="V184"/>
      <c r="W184"/>
    </row>
    <row r="185" spans="1:23" ht="15.75">
      <c r="A185" s="253">
        <f t="shared" si="8"/>
        <v>183</v>
      </c>
      <c r="B185" s="193" t="s">
        <v>887</v>
      </c>
      <c r="C185" s="306"/>
      <c r="D185" s="274" t="s">
        <v>2</v>
      </c>
      <c r="E185" s="279">
        <v>2</v>
      </c>
      <c r="F185" s="297">
        <v>1960</v>
      </c>
      <c r="G185" s="249" t="s">
        <v>283</v>
      </c>
      <c r="H185" s="185" t="s">
        <v>284</v>
      </c>
      <c r="I185" s="304">
        <v>8</v>
      </c>
      <c r="J185" s="295"/>
      <c r="K185" s="184">
        <v>0</v>
      </c>
      <c r="L185" s="184">
        <v>0</v>
      </c>
      <c r="M185" s="67">
        <f t="shared" si="6"/>
        <v>0.32042000000000004</v>
      </c>
      <c r="N185" s="242">
        <f>311.42/1000</f>
        <v>0.31142000000000003</v>
      </c>
      <c r="O185" s="242">
        <f>9/1000</f>
        <v>8.9999999999999993E-3</v>
      </c>
      <c r="P185" s="258"/>
      <c r="Q185" s="241" t="s">
        <v>90</v>
      </c>
      <c r="R185" s="362">
        <v>2.8799999999999999E-2</v>
      </c>
      <c r="S185" s="361">
        <f t="shared" si="7"/>
        <v>44.290560000000006</v>
      </c>
      <c r="V185"/>
      <c r="W185"/>
    </row>
    <row r="186" spans="1:23" ht="15.75">
      <c r="A186" s="253">
        <f t="shared" si="8"/>
        <v>184</v>
      </c>
      <c r="B186" s="193" t="s">
        <v>886</v>
      </c>
      <c r="C186" s="306"/>
      <c r="D186" s="274" t="s">
        <v>2</v>
      </c>
      <c r="E186" s="279">
        <v>2</v>
      </c>
      <c r="F186" s="297">
        <v>1960</v>
      </c>
      <c r="G186" s="249" t="s">
        <v>283</v>
      </c>
      <c r="H186" s="185" t="s">
        <v>284</v>
      </c>
      <c r="I186" s="304">
        <v>8</v>
      </c>
      <c r="J186" s="295"/>
      <c r="K186" s="184">
        <v>0</v>
      </c>
      <c r="L186" s="184">
        <v>0</v>
      </c>
      <c r="M186" s="67">
        <f t="shared" si="6"/>
        <v>0.32025999999999999</v>
      </c>
      <c r="N186" s="242">
        <f>320.26/1000</f>
        <v>0.32025999999999999</v>
      </c>
      <c r="O186" s="242"/>
      <c r="P186" s="258"/>
      <c r="Q186" s="241" t="s">
        <v>90</v>
      </c>
      <c r="R186" s="362">
        <v>3.0700000000000002E-2</v>
      </c>
      <c r="S186" s="361">
        <f t="shared" si="7"/>
        <v>47.21250666666667</v>
      </c>
      <c r="V186"/>
      <c r="W186"/>
    </row>
    <row r="187" spans="1:23" ht="15.75">
      <c r="A187" s="253">
        <f t="shared" si="8"/>
        <v>185</v>
      </c>
      <c r="B187" s="193" t="s">
        <v>885</v>
      </c>
      <c r="C187" s="306"/>
      <c r="D187" s="274" t="s">
        <v>2</v>
      </c>
      <c r="E187" s="279">
        <v>2</v>
      </c>
      <c r="F187" s="297">
        <v>1960</v>
      </c>
      <c r="G187" s="249" t="s">
        <v>283</v>
      </c>
      <c r="H187" s="185" t="s">
        <v>284</v>
      </c>
      <c r="I187" s="304">
        <v>5</v>
      </c>
      <c r="J187" s="295"/>
      <c r="K187" s="184">
        <v>0</v>
      </c>
      <c r="L187" s="184">
        <v>0</v>
      </c>
      <c r="M187" s="67">
        <f t="shared" si="6"/>
        <v>0.32123999999999997</v>
      </c>
      <c r="N187" s="242">
        <f>177.4/1000</f>
        <v>0.1774</v>
      </c>
      <c r="O187" s="242">
        <f>143.84/1000</f>
        <v>0.14384</v>
      </c>
      <c r="P187" s="258"/>
      <c r="Q187" s="241" t="s">
        <v>90</v>
      </c>
      <c r="R187" s="362">
        <v>1.6799999999999999E-2</v>
      </c>
      <c r="S187" s="361">
        <f t="shared" si="7"/>
        <v>25.836160000000003</v>
      </c>
      <c r="V187"/>
      <c r="W187"/>
    </row>
    <row r="188" spans="1:23" ht="15.75">
      <c r="A188" s="253">
        <f t="shared" si="8"/>
        <v>186</v>
      </c>
      <c r="B188" s="193" t="s">
        <v>884</v>
      </c>
      <c r="C188" s="306"/>
      <c r="D188" s="274" t="s">
        <v>2</v>
      </c>
      <c r="E188" s="279">
        <v>2</v>
      </c>
      <c r="F188" s="297">
        <v>1960</v>
      </c>
      <c r="G188" s="249" t="s">
        <v>283</v>
      </c>
      <c r="H188" s="185" t="s">
        <v>284</v>
      </c>
      <c r="I188" s="304">
        <v>3</v>
      </c>
      <c r="J188" s="295"/>
      <c r="K188" s="184">
        <v>0</v>
      </c>
      <c r="L188" s="184">
        <v>0</v>
      </c>
      <c r="M188" s="67">
        <f t="shared" si="6"/>
        <v>0.35798999999999997</v>
      </c>
      <c r="N188" s="242">
        <f>(92.7+43.5+46.9)/1000</f>
        <v>0.18309999999999998</v>
      </c>
      <c r="O188" s="242">
        <f>174.89/1000</f>
        <v>0.17488999999999999</v>
      </c>
      <c r="P188" s="266"/>
      <c r="Q188" s="241" t="s">
        <v>90</v>
      </c>
      <c r="R188" s="362">
        <f>0.0125+0.0026+0.0041</f>
        <v>1.9200000000000002E-2</v>
      </c>
      <c r="S188" s="361">
        <f t="shared" si="7"/>
        <v>29.527040000000003</v>
      </c>
      <c r="V188"/>
      <c r="W188"/>
    </row>
    <row r="189" spans="1:23" ht="15.75">
      <c r="A189" s="253">
        <f t="shared" si="8"/>
        <v>187</v>
      </c>
      <c r="B189" s="193" t="s">
        <v>883</v>
      </c>
      <c r="C189" s="306"/>
      <c r="D189" s="274" t="s">
        <v>2</v>
      </c>
      <c r="E189" s="279">
        <v>2</v>
      </c>
      <c r="F189" s="297">
        <v>1960</v>
      </c>
      <c r="G189" s="249" t="s">
        <v>283</v>
      </c>
      <c r="H189" s="185" t="s">
        <v>284</v>
      </c>
      <c r="I189" s="304">
        <v>7</v>
      </c>
      <c r="J189" s="295"/>
      <c r="K189" s="184">
        <v>0</v>
      </c>
      <c r="L189" s="184">
        <v>0</v>
      </c>
      <c r="M189" s="67">
        <f t="shared" si="6"/>
        <v>0.31696999999999997</v>
      </c>
      <c r="N189" s="242">
        <f>184.02/1000</f>
        <v>0.18402000000000002</v>
      </c>
      <c r="O189" s="242">
        <f>132.95/1000</f>
        <v>0.13294999999999998</v>
      </c>
      <c r="P189" s="266"/>
      <c r="Q189" s="241" t="s">
        <v>90</v>
      </c>
      <c r="R189" s="362">
        <v>1.9400000000000001E-2</v>
      </c>
      <c r="S189" s="361">
        <f t="shared" si="7"/>
        <v>29.834613333333337</v>
      </c>
      <c r="V189"/>
      <c r="W189"/>
    </row>
    <row r="190" spans="1:23" ht="15.75">
      <c r="A190" s="253">
        <f t="shared" si="8"/>
        <v>188</v>
      </c>
      <c r="B190" s="193" t="s">
        <v>882</v>
      </c>
      <c r="C190" s="306"/>
      <c r="D190" s="274" t="s">
        <v>2</v>
      </c>
      <c r="E190" s="279">
        <v>3</v>
      </c>
      <c r="F190" s="297">
        <v>1972</v>
      </c>
      <c r="G190" s="249" t="s">
        <v>283</v>
      </c>
      <c r="H190" s="185" t="s">
        <v>284</v>
      </c>
      <c r="I190" s="304">
        <v>20</v>
      </c>
      <c r="J190" s="295"/>
      <c r="K190" s="184">
        <v>0</v>
      </c>
      <c r="L190" s="184">
        <v>0</v>
      </c>
      <c r="M190" s="67">
        <f t="shared" si="6"/>
        <v>0.99659999999999993</v>
      </c>
      <c r="N190" s="242">
        <f>798.4/1000</f>
        <v>0.7984</v>
      </c>
      <c r="O190" s="242">
        <f>198.2/1000</f>
        <v>0.19819999999999999</v>
      </c>
      <c r="P190" s="266"/>
      <c r="Q190" s="241" t="s">
        <v>90</v>
      </c>
      <c r="R190" s="362">
        <v>5.7700000000000001E-2</v>
      </c>
      <c r="S190" s="361">
        <f t="shared" si="7"/>
        <v>88.734906666666674</v>
      </c>
      <c r="V190"/>
      <c r="W190"/>
    </row>
    <row r="191" spans="1:23" ht="15.75">
      <c r="A191" s="253">
        <f t="shared" si="8"/>
        <v>189</v>
      </c>
      <c r="B191" s="193" t="s">
        <v>881</v>
      </c>
      <c r="C191" s="306"/>
      <c r="D191" s="274" t="s">
        <v>2</v>
      </c>
      <c r="E191" s="279">
        <v>3</v>
      </c>
      <c r="F191" s="286">
        <v>1965</v>
      </c>
      <c r="G191" s="249" t="s">
        <v>283</v>
      </c>
      <c r="H191" s="185" t="s">
        <v>284</v>
      </c>
      <c r="I191" s="304">
        <v>9</v>
      </c>
      <c r="J191" s="295"/>
      <c r="K191" s="184">
        <v>0</v>
      </c>
      <c r="L191" s="184">
        <v>0</v>
      </c>
      <c r="M191" s="67">
        <f t="shared" si="6"/>
        <v>0.57899</v>
      </c>
      <c r="N191" s="242">
        <f>430.93/1000</f>
        <v>0.43092999999999998</v>
      </c>
      <c r="O191" s="242">
        <f>148.06/1000</f>
        <v>0.14806</v>
      </c>
      <c r="P191" s="266"/>
      <c r="Q191" s="241" t="s">
        <v>90</v>
      </c>
      <c r="R191" s="362">
        <v>3.15E-2</v>
      </c>
      <c r="S191" s="361">
        <f t="shared" si="7"/>
        <v>48.442800000000005</v>
      </c>
      <c r="V191"/>
      <c r="W191"/>
    </row>
    <row r="192" spans="1:23" ht="15.75">
      <c r="A192" s="253">
        <f t="shared" si="8"/>
        <v>190</v>
      </c>
      <c r="B192" s="193" t="s">
        <v>880</v>
      </c>
      <c r="C192" s="306"/>
      <c r="D192" s="274" t="s">
        <v>2</v>
      </c>
      <c r="E192" s="279">
        <v>3</v>
      </c>
      <c r="F192" s="297">
        <v>1966</v>
      </c>
      <c r="G192" s="249" t="s">
        <v>283</v>
      </c>
      <c r="H192" s="185" t="s">
        <v>284</v>
      </c>
      <c r="I192" s="304">
        <v>23</v>
      </c>
      <c r="J192" s="295"/>
      <c r="K192" s="184">
        <v>0</v>
      </c>
      <c r="L192" s="184">
        <v>0</v>
      </c>
      <c r="M192" s="67">
        <f t="shared" si="6"/>
        <v>0.95874999999999999</v>
      </c>
      <c r="N192" s="242">
        <f>896.31/1000</f>
        <v>0.89630999999999994</v>
      </c>
      <c r="O192" s="242">
        <f>62.44/1000</f>
        <v>6.2439999999999996E-2</v>
      </c>
      <c r="P192" s="266"/>
      <c r="Q192" s="241" t="s">
        <v>90</v>
      </c>
      <c r="R192" s="362">
        <v>5.28E-2</v>
      </c>
      <c r="S192" s="361">
        <f t="shared" si="7"/>
        <v>81.199359999999984</v>
      </c>
      <c r="V192"/>
      <c r="W192"/>
    </row>
    <row r="193" spans="1:23" ht="15.75">
      <c r="A193" s="253">
        <f t="shared" si="8"/>
        <v>191</v>
      </c>
      <c r="B193" s="193" t="s">
        <v>879</v>
      </c>
      <c r="C193" s="306"/>
      <c r="D193" s="274" t="s">
        <v>2</v>
      </c>
      <c r="E193" s="279">
        <v>3</v>
      </c>
      <c r="F193" s="297">
        <v>1977</v>
      </c>
      <c r="G193" s="249" t="s">
        <v>283</v>
      </c>
      <c r="H193" s="185" t="s">
        <v>284</v>
      </c>
      <c r="I193" s="304">
        <v>11</v>
      </c>
      <c r="J193" s="295"/>
      <c r="K193" s="184">
        <v>0</v>
      </c>
      <c r="L193" s="184">
        <v>0</v>
      </c>
      <c r="M193" s="67">
        <f t="shared" si="6"/>
        <v>0.83109999999999995</v>
      </c>
      <c r="N193" s="242">
        <f>481.15/1000</f>
        <v>0.48114999999999997</v>
      </c>
      <c r="O193" s="242">
        <f>349.95/1000</f>
        <v>0.34994999999999998</v>
      </c>
      <c r="P193" s="266"/>
      <c r="Q193" s="241" t="s">
        <v>90</v>
      </c>
      <c r="R193" s="362">
        <v>4.0500000000000001E-2</v>
      </c>
      <c r="S193" s="361">
        <f t="shared" si="7"/>
        <v>62.2836</v>
      </c>
      <c r="V193"/>
      <c r="W193"/>
    </row>
    <row r="194" spans="1:23" ht="15.75">
      <c r="A194" s="253">
        <f t="shared" si="8"/>
        <v>192</v>
      </c>
      <c r="B194" s="193" t="s">
        <v>878</v>
      </c>
      <c r="C194" s="306"/>
      <c r="D194" s="274" t="s">
        <v>2</v>
      </c>
      <c r="E194" s="279">
        <v>3</v>
      </c>
      <c r="F194" s="297">
        <v>1974</v>
      </c>
      <c r="G194" s="249" t="s">
        <v>283</v>
      </c>
      <c r="H194" s="185" t="s">
        <v>284</v>
      </c>
      <c r="I194" s="304">
        <v>14</v>
      </c>
      <c r="J194" s="295"/>
      <c r="K194" s="184">
        <v>0</v>
      </c>
      <c r="L194" s="184">
        <v>0</v>
      </c>
      <c r="M194" s="67">
        <f t="shared" si="6"/>
        <v>1.0682</v>
      </c>
      <c r="N194" s="242">
        <f>532.43/1000</f>
        <v>0.53242999999999996</v>
      </c>
      <c r="O194" s="242">
        <f>535.77/1000</f>
        <v>0.53576999999999997</v>
      </c>
      <c r="P194" s="266"/>
      <c r="Q194" s="241" t="s">
        <v>90</v>
      </c>
      <c r="R194" s="362">
        <v>4.4900000000000002E-2</v>
      </c>
      <c r="S194" s="361">
        <f t="shared" si="7"/>
        <v>69.050213333333346</v>
      </c>
      <c r="V194"/>
      <c r="W194"/>
    </row>
    <row r="195" spans="1:23" ht="15.75">
      <c r="A195" s="253">
        <f t="shared" si="8"/>
        <v>193</v>
      </c>
      <c r="B195" s="252" t="s">
        <v>576</v>
      </c>
      <c r="C195" s="306"/>
      <c r="D195" s="274" t="s">
        <v>2</v>
      </c>
      <c r="E195" s="299">
        <v>3</v>
      </c>
      <c r="F195" s="270">
        <v>1956</v>
      </c>
      <c r="G195" s="259" t="s">
        <v>283</v>
      </c>
      <c r="H195" s="185" t="s">
        <v>284</v>
      </c>
      <c r="I195" s="304">
        <v>20</v>
      </c>
      <c r="J195" s="295"/>
      <c r="K195" s="184">
        <v>0</v>
      </c>
      <c r="L195" s="184">
        <v>0</v>
      </c>
      <c r="M195" s="67">
        <f t="shared" ref="M195:M258" si="9">N195+O195+P195</f>
        <v>1.09761</v>
      </c>
      <c r="N195" s="242">
        <f>714.01/1000</f>
        <v>0.71401000000000003</v>
      </c>
      <c r="O195" s="254">
        <f>383.6/1000</f>
        <v>0.3836</v>
      </c>
      <c r="P195" s="242"/>
      <c r="Q195" s="241" t="s">
        <v>90</v>
      </c>
      <c r="R195" s="362">
        <v>4.8099999999999997E-2</v>
      </c>
      <c r="S195" s="361">
        <f t="shared" ref="S195:S258" si="10">R195*24*158*((18-3.4)/36)</f>
        <v>73.97138666666666</v>
      </c>
      <c r="V195"/>
      <c r="W195"/>
    </row>
    <row r="196" spans="1:23" ht="15.75">
      <c r="A196" s="253">
        <f t="shared" ref="A196:A259" si="11">A195+1</f>
        <v>194</v>
      </c>
      <c r="B196" s="193" t="s">
        <v>877</v>
      </c>
      <c r="C196" s="306"/>
      <c r="D196" s="274" t="s">
        <v>2</v>
      </c>
      <c r="E196" s="279">
        <v>3</v>
      </c>
      <c r="F196" s="286">
        <v>1964</v>
      </c>
      <c r="G196" s="249" t="s">
        <v>283</v>
      </c>
      <c r="H196" s="185" t="s">
        <v>284</v>
      </c>
      <c r="I196" s="304">
        <v>11</v>
      </c>
      <c r="J196" s="295"/>
      <c r="K196" s="184">
        <v>0</v>
      </c>
      <c r="L196" s="184">
        <v>0</v>
      </c>
      <c r="M196" s="67">
        <f t="shared" si="9"/>
        <v>1.08599</v>
      </c>
      <c r="N196" s="242">
        <f>486.78/1000</f>
        <v>0.48677999999999999</v>
      </c>
      <c r="O196" s="242">
        <f>599.21/1000</f>
        <v>0.59921000000000002</v>
      </c>
      <c r="P196" s="266"/>
      <c r="Q196" s="241" t="s">
        <v>90</v>
      </c>
      <c r="R196" s="362">
        <v>4.7E-2</v>
      </c>
      <c r="S196" s="361">
        <f t="shared" si="10"/>
        <v>72.27973333333334</v>
      </c>
      <c r="V196"/>
      <c r="W196"/>
    </row>
    <row r="197" spans="1:23" ht="15.75">
      <c r="A197" s="253">
        <f t="shared" si="11"/>
        <v>195</v>
      </c>
      <c r="B197" s="193" t="s">
        <v>876</v>
      </c>
      <c r="C197" s="306"/>
      <c r="D197" s="274" t="s">
        <v>2</v>
      </c>
      <c r="E197" s="279">
        <v>3</v>
      </c>
      <c r="F197" s="297">
        <v>1969</v>
      </c>
      <c r="G197" s="249" t="s">
        <v>283</v>
      </c>
      <c r="H197" s="185" t="s">
        <v>284</v>
      </c>
      <c r="I197" s="304">
        <v>18</v>
      </c>
      <c r="J197" s="295"/>
      <c r="K197" s="184">
        <v>0</v>
      </c>
      <c r="L197" s="184">
        <v>0</v>
      </c>
      <c r="M197" s="67">
        <f t="shared" si="9"/>
        <v>0.93300999999999989</v>
      </c>
      <c r="N197" s="242">
        <f>872.89/1000</f>
        <v>0.87288999999999994</v>
      </c>
      <c r="O197" s="242">
        <f>60.12/1000</f>
        <v>6.012E-2</v>
      </c>
      <c r="P197" s="266"/>
      <c r="Q197" s="241" t="s">
        <v>90</v>
      </c>
      <c r="R197" s="362">
        <v>5.5E-2</v>
      </c>
      <c r="S197" s="361">
        <f t="shared" si="10"/>
        <v>84.582666666666668</v>
      </c>
      <c r="V197"/>
      <c r="W197"/>
    </row>
    <row r="198" spans="1:23" ht="15.75">
      <c r="A198" s="253">
        <f t="shared" si="11"/>
        <v>196</v>
      </c>
      <c r="B198" s="193" t="s">
        <v>875</v>
      </c>
      <c r="C198" s="306"/>
      <c r="D198" s="274" t="s">
        <v>2</v>
      </c>
      <c r="E198" s="279">
        <v>3</v>
      </c>
      <c r="F198" s="286">
        <v>1966</v>
      </c>
      <c r="G198" s="249" t="s">
        <v>283</v>
      </c>
      <c r="H198" s="185" t="s">
        <v>284</v>
      </c>
      <c r="I198" s="304">
        <v>22</v>
      </c>
      <c r="J198" s="295"/>
      <c r="K198" s="184">
        <v>0</v>
      </c>
      <c r="L198" s="184">
        <v>0</v>
      </c>
      <c r="M198" s="67">
        <f t="shared" si="9"/>
        <v>0.94595000000000007</v>
      </c>
      <c r="N198" s="242">
        <f>889.14/1000</f>
        <v>0.88914000000000004</v>
      </c>
      <c r="O198" s="242">
        <f>56.81/1000</f>
        <v>5.6809999999999999E-2</v>
      </c>
      <c r="P198" s="258"/>
      <c r="Q198" s="241" t="s">
        <v>90</v>
      </c>
      <c r="R198" s="362">
        <v>6.1499999999999999E-2</v>
      </c>
      <c r="S198" s="361">
        <f t="shared" si="10"/>
        <v>94.578800000000001</v>
      </c>
      <c r="V198"/>
      <c r="W198"/>
    </row>
    <row r="199" spans="1:23" ht="15.75">
      <c r="A199" s="253">
        <f t="shared" si="11"/>
        <v>197</v>
      </c>
      <c r="B199" s="193" t="s">
        <v>874</v>
      </c>
      <c r="C199" s="306"/>
      <c r="D199" s="274" t="s">
        <v>2</v>
      </c>
      <c r="E199" s="279">
        <v>3</v>
      </c>
      <c r="F199" s="297">
        <v>1965</v>
      </c>
      <c r="G199" s="249" t="s">
        <v>283</v>
      </c>
      <c r="H199" s="185" t="s">
        <v>284</v>
      </c>
      <c r="I199" s="304">
        <v>21</v>
      </c>
      <c r="J199" s="295"/>
      <c r="K199" s="184">
        <v>0</v>
      </c>
      <c r="L199" s="184">
        <v>0</v>
      </c>
      <c r="M199" s="67">
        <f t="shared" si="9"/>
        <v>0.94193000000000005</v>
      </c>
      <c r="N199" s="242">
        <f>793.07/1000</f>
        <v>0.79307000000000005</v>
      </c>
      <c r="O199" s="242">
        <f>148.86/1000</f>
        <v>0.14886000000000002</v>
      </c>
      <c r="P199" s="266"/>
      <c r="Q199" s="241" t="s">
        <v>90</v>
      </c>
      <c r="R199" s="362">
        <v>5.7099999999999998E-2</v>
      </c>
      <c r="S199" s="361">
        <f t="shared" si="10"/>
        <v>87.812186666666662</v>
      </c>
      <c r="V199"/>
      <c r="W199"/>
    </row>
    <row r="200" spans="1:23" ht="15.75">
      <c r="A200" s="253">
        <f t="shared" si="11"/>
        <v>198</v>
      </c>
      <c r="B200" s="193" t="s">
        <v>873</v>
      </c>
      <c r="C200" s="306"/>
      <c r="D200" s="274" t="s">
        <v>2</v>
      </c>
      <c r="E200" s="279">
        <v>3</v>
      </c>
      <c r="F200" s="297">
        <v>1965</v>
      </c>
      <c r="G200" s="249" t="s">
        <v>283</v>
      </c>
      <c r="H200" s="185" t="s">
        <v>284</v>
      </c>
      <c r="I200" s="304">
        <v>17</v>
      </c>
      <c r="J200" s="295"/>
      <c r="K200" s="184">
        <v>0</v>
      </c>
      <c r="L200" s="184">
        <v>0</v>
      </c>
      <c r="M200" s="67">
        <f t="shared" si="9"/>
        <v>1.09493</v>
      </c>
      <c r="N200" s="242">
        <f>715.06/1000</f>
        <v>0.71505999999999992</v>
      </c>
      <c r="O200" s="242">
        <f>379.87/1000</f>
        <v>0.37986999999999999</v>
      </c>
      <c r="P200" s="258"/>
      <c r="Q200" s="241" t="s">
        <v>90</v>
      </c>
      <c r="R200" s="362">
        <v>4.7899999999999998E-2</v>
      </c>
      <c r="S200" s="361">
        <f t="shared" si="10"/>
        <v>73.663813333333337</v>
      </c>
      <c r="V200"/>
      <c r="W200"/>
    </row>
    <row r="201" spans="1:23" ht="15.75">
      <c r="A201" s="253">
        <f t="shared" si="11"/>
        <v>199</v>
      </c>
      <c r="B201" s="193" t="s">
        <v>872</v>
      </c>
      <c r="C201" s="306"/>
      <c r="D201" s="274" t="s">
        <v>2</v>
      </c>
      <c r="E201" s="279">
        <v>3</v>
      </c>
      <c r="F201" s="297">
        <v>1963</v>
      </c>
      <c r="G201" s="249" t="s">
        <v>283</v>
      </c>
      <c r="H201" s="185" t="s">
        <v>284</v>
      </c>
      <c r="I201" s="304">
        <v>20</v>
      </c>
      <c r="J201" s="295"/>
      <c r="K201" s="184">
        <v>0</v>
      </c>
      <c r="L201" s="184">
        <v>0</v>
      </c>
      <c r="M201" s="67">
        <f t="shared" si="9"/>
        <v>0.95061000000000007</v>
      </c>
      <c r="N201" s="242">
        <f>823.61/1000</f>
        <v>0.82361000000000006</v>
      </c>
      <c r="O201" s="242">
        <f>127/1000</f>
        <v>0.127</v>
      </c>
      <c r="P201" s="258"/>
      <c r="Q201" s="241" t="s">
        <v>90</v>
      </c>
      <c r="R201" s="362">
        <v>4.7699999999999999E-2</v>
      </c>
      <c r="S201" s="361">
        <f t="shared" si="10"/>
        <v>73.35624</v>
      </c>
      <c r="V201"/>
      <c r="W201"/>
    </row>
    <row r="202" spans="1:23" ht="15.75">
      <c r="A202" s="253">
        <f t="shared" si="11"/>
        <v>200</v>
      </c>
      <c r="B202" s="193" t="s">
        <v>871</v>
      </c>
      <c r="C202" s="306"/>
      <c r="D202" s="274" t="s">
        <v>2</v>
      </c>
      <c r="E202" s="279">
        <v>3</v>
      </c>
      <c r="F202" s="286">
        <v>1962</v>
      </c>
      <c r="G202" s="249" t="s">
        <v>283</v>
      </c>
      <c r="H202" s="185" t="s">
        <v>284</v>
      </c>
      <c r="I202" s="304">
        <v>22</v>
      </c>
      <c r="J202" s="295"/>
      <c r="K202" s="184">
        <v>0</v>
      </c>
      <c r="L202" s="184">
        <v>0</v>
      </c>
      <c r="M202" s="67">
        <f t="shared" si="9"/>
        <v>0.93814000000000008</v>
      </c>
      <c r="N202" s="242">
        <f>715.98/1000</f>
        <v>0.71598000000000006</v>
      </c>
      <c r="O202" s="242">
        <f>222.16/1000</f>
        <v>0.22216</v>
      </c>
      <c r="P202" s="266"/>
      <c r="Q202" s="241" t="s">
        <v>90</v>
      </c>
      <c r="R202" s="362">
        <v>5.4699999999999999E-2</v>
      </c>
      <c r="S202" s="361">
        <f t="shared" si="10"/>
        <v>84.121306666666655</v>
      </c>
      <c r="V202"/>
      <c r="W202"/>
    </row>
    <row r="203" spans="1:23" ht="15.75">
      <c r="A203" s="253">
        <f t="shared" si="11"/>
        <v>201</v>
      </c>
      <c r="B203" s="193" t="s">
        <v>870</v>
      </c>
      <c r="C203" s="306"/>
      <c r="D203" s="274" t="s">
        <v>2</v>
      </c>
      <c r="E203" s="279">
        <v>3</v>
      </c>
      <c r="F203" s="297">
        <v>1963</v>
      </c>
      <c r="G203" s="249" t="s">
        <v>283</v>
      </c>
      <c r="H203" s="185" t="s">
        <v>284</v>
      </c>
      <c r="I203" s="304">
        <v>23</v>
      </c>
      <c r="J203" s="295"/>
      <c r="K203" s="184">
        <v>0</v>
      </c>
      <c r="L203" s="184">
        <v>0</v>
      </c>
      <c r="M203" s="67">
        <f t="shared" si="9"/>
        <v>0.93959999999999999</v>
      </c>
      <c r="N203" s="242">
        <f>896.3/1000</f>
        <v>0.89629999999999999</v>
      </c>
      <c r="O203" s="242">
        <f>43.3/1000</f>
        <v>4.3299999999999998E-2</v>
      </c>
      <c r="P203" s="266"/>
      <c r="Q203" s="241" t="s">
        <v>90</v>
      </c>
      <c r="R203" s="362">
        <v>5.7799999999999997E-2</v>
      </c>
      <c r="S203" s="361">
        <f t="shared" si="10"/>
        <v>88.888693333333322</v>
      </c>
      <c r="V203"/>
      <c r="W203"/>
    </row>
    <row r="204" spans="1:23" ht="15.75">
      <c r="A204" s="253">
        <f t="shared" si="11"/>
        <v>202</v>
      </c>
      <c r="B204" s="193" t="s">
        <v>869</v>
      </c>
      <c r="C204" s="306"/>
      <c r="D204" s="274" t="s">
        <v>2</v>
      </c>
      <c r="E204" s="279">
        <v>3</v>
      </c>
      <c r="F204" s="297">
        <v>1965</v>
      </c>
      <c r="G204" s="249" t="s">
        <v>283</v>
      </c>
      <c r="H204" s="185" t="s">
        <v>284</v>
      </c>
      <c r="I204" s="304">
        <v>22</v>
      </c>
      <c r="J204" s="295"/>
      <c r="K204" s="184">
        <v>0</v>
      </c>
      <c r="L204" s="184">
        <v>0</v>
      </c>
      <c r="M204" s="67">
        <f t="shared" si="9"/>
        <v>0.96295000000000008</v>
      </c>
      <c r="N204" s="242">
        <f>785.85/1000</f>
        <v>0.78585000000000005</v>
      </c>
      <c r="O204" s="242">
        <f>177.1/1000</f>
        <v>0.17710000000000001</v>
      </c>
      <c r="P204" s="258"/>
      <c r="Q204" s="241" t="s">
        <v>90</v>
      </c>
      <c r="R204" s="362">
        <v>5.6300000000000003E-2</v>
      </c>
      <c r="S204" s="361">
        <f t="shared" si="10"/>
        <v>86.581893333333326</v>
      </c>
      <c r="V204"/>
      <c r="W204"/>
    </row>
    <row r="205" spans="1:23" ht="15.75">
      <c r="A205" s="253">
        <f t="shared" si="11"/>
        <v>203</v>
      </c>
      <c r="B205" s="193" t="s">
        <v>868</v>
      </c>
      <c r="C205" s="306"/>
      <c r="D205" s="274" t="s">
        <v>2</v>
      </c>
      <c r="E205" s="279">
        <v>3</v>
      </c>
      <c r="F205" s="297">
        <v>1960</v>
      </c>
      <c r="G205" s="249" t="s">
        <v>283</v>
      </c>
      <c r="H205" s="185" t="s">
        <v>284</v>
      </c>
      <c r="I205" s="304">
        <v>11</v>
      </c>
      <c r="J205" s="295"/>
      <c r="K205" s="184">
        <v>0</v>
      </c>
      <c r="L205" s="184">
        <v>0</v>
      </c>
      <c r="M205" s="67">
        <f t="shared" si="9"/>
        <v>0.56640000000000001</v>
      </c>
      <c r="N205" s="242">
        <f>508.9/1000</f>
        <v>0.50890000000000002</v>
      </c>
      <c r="O205" s="242">
        <f>57.5/1000</f>
        <v>5.7500000000000002E-2</v>
      </c>
      <c r="P205" s="266"/>
      <c r="Q205" s="241" t="s">
        <v>90</v>
      </c>
      <c r="R205" s="362">
        <v>3.1E-2</v>
      </c>
      <c r="S205" s="361">
        <f t="shared" si="10"/>
        <v>47.673866666666662</v>
      </c>
      <c r="V205"/>
      <c r="W205"/>
    </row>
    <row r="206" spans="1:23" ht="15.75">
      <c r="A206" s="253">
        <f t="shared" si="11"/>
        <v>204</v>
      </c>
      <c r="B206" s="193" t="s">
        <v>867</v>
      </c>
      <c r="C206" s="305"/>
      <c r="D206" s="274" t="s">
        <v>2</v>
      </c>
      <c r="E206" s="279">
        <v>3</v>
      </c>
      <c r="F206" s="297">
        <v>1960</v>
      </c>
      <c r="G206" s="249" t="s">
        <v>283</v>
      </c>
      <c r="H206" s="185" t="s">
        <v>284</v>
      </c>
      <c r="I206" s="304">
        <v>11</v>
      </c>
      <c r="J206" s="295"/>
      <c r="K206" s="184">
        <v>0</v>
      </c>
      <c r="L206" s="184">
        <v>0</v>
      </c>
      <c r="M206" s="67">
        <f t="shared" si="9"/>
        <v>0.55896000000000001</v>
      </c>
      <c r="N206" s="242">
        <f>415.73/1000</f>
        <v>0.41573000000000004</v>
      </c>
      <c r="O206" s="242">
        <f>143.23/1000</f>
        <v>0.14323</v>
      </c>
      <c r="P206" s="266"/>
      <c r="Q206" s="241" t="s">
        <v>90</v>
      </c>
      <c r="R206" s="362">
        <v>3.09E-2</v>
      </c>
      <c r="S206" s="361">
        <f t="shared" si="10"/>
        <v>47.520080000000007</v>
      </c>
      <c r="V206"/>
      <c r="W206"/>
    </row>
    <row r="207" spans="1:23" ht="15.75">
      <c r="A207" s="253">
        <f t="shared" si="11"/>
        <v>205</v>
      </c>
      <c r="B207" s="193" t="s">
        <v>866</v>
      </c>
      <c r="C207" s="298"/>
      <c r="D207" s="274" t="s">
        <v>2</v>
      </c>
      <c r="E207" s="279">
        <v>3</v>
      </c>
      <c r="F207" s="297">
        <v>1959</v>
      </c>
      <c r="G207" s="249" t="s">
        <v>283</v>
      </c>
      <c r="H207" s="185" t="s">
        <v>284</v>
      </c>
      <c r="I207" s="304">
        <v>12</v>
      </c>
      <c r="J207" s="295"/>
      <c r="K207" s="184"/>
      <c r="L207" s="184"/>
      <c r="M207" s="67">
        <f t="shared" si="9"/>
        <v>1.0428500000000001</v>
      </c>
      <c r="N207" s="242">
        <f>499.39/1000</f>
        <v>0.49939</v>
      </c>
      <c r="O207" s="242">
        <f>543.46/1000</f>
        <v>0.54346000000000005</v>
      </c>
      <c r="P207" s="258"/>
      <c r="Q207" s="241" t="s">
        <v>90</v>
      </c>
      <c r="R207" s="362">
        <v>3.7400000000000003E-2</v>
      </c>
      <c r="S207" s="361">
        <f t="shared" si="10"/>
        <v>57.51621333333334</v>
      </c>
      <c r="V207"/>
      <c r="W207"/>
    </row>
    <row r="208" spans="1:23" ht="15.75">
      <c r="A208" s="253">
        <f t="shared" si="11"/>
        <v>206</v>
      </c>
      <c r="B208" s="252" t="s">
        <v>566</v>
      </c>
      <c r="C208" s="298"/>
      <c r="D208" s="274" t="s">
        <v>2</v>
      </c>
      <c r="E208" s="279">
        <v>4</v>
      </c>
      <c r="F208" s="286">
        <v>1973</v>
      </c>
      <c r="G208" s="249" t="s">
        <v>283</v>
      </c>
      <c r="H208" s="185" t="s">
        <v>284</v>
      </c>
      <c r="I208" s="304">
        <v>12</v>
      </c>
      <c r="J208" s="295"/>
      <c r="K208" s="184"/>
      <c r="L208" s="184"/>
      <c r="M208" s="67">
        <f t="shared" si="9"/>
        <v>0.81096000000000001</v>
      </c>
      <c r="N208" s="242">
        <f>542.2/1000</f>
        <v>0.54220000000000002</v>
      </c>
      <c r="O208" s="242">
        <f>268.76/1000</f>
        <v>0.26876</v>
      </c>
      <c r="P208" s="301"/>
      <c r="Q208" s="241" t="s">
        <v>90</v>
      </c>
      <c r="R208" s="362">
        <v>3.6999999999999998E-2</v>
      </c>
      <c r="S208" s="361">
        <f t="shared" si="10"/>
        <v>56.901066666666658</v>
      </c>
      <c r="V208"/>
      <c r="W208"/>
    </row>
    <row r="209" spans="1:23" ht="15.75">
      <c r="A209" s="253">
        <f t="shared" si="11"/>
        <v>207</v>
      </c>
      <c r="B209" s="193" t="s">
        <v>865</v>
      </c>
      <c r="C209" s="298"/>
      <c r="D209" s="274" t="s">
        <v>2</v>
      </c>
      <c r="E209" s="279">
        <v>4</v>
      </c>
      <c r="F209" s="297">
        <v>1991</v>
      </c>
      <c r="G209" s="249" t="s">
        <v>283</v>
      </c>
      <c r="H209" s="185" t="s">
        <v>284</v>
      </c>
      <c r="I209" s="304">
        <v>13</v>
      </c>
      <c r="J209" s="295"/>
      <c r="K209" s="184"/>
      <c r="L209" s="184"/>
      <c r="M209" s="67">
        <f t="shared" si="9"/>
        <v>0.9027400000000001</v>
      </c>
      <c r="N209" s="242">
        <f>650.33/1000</f>
        <v>0.65033000000000007</v>
      </c>
      <c r="O209" s="242">
        <f>252.41/1000</f>
        <v>0.25241000000000002</v>
      </c>
      <c r="P209" s="258"/>
      <c r="Q209" s="241" t="s">
        <v>90</v>
      </c>
      <c r="R209" s="362">
        <f>0.0414</f>
        <v>4.1399999999999999E-2</v>
      </c>
      <c r="S209" s="361">
        <f t="shared" si="10"/>
        <v>63.667679999999997</v>
      </c>
      <c r="V209"/>
      <c r="W209"/>
    </row>
    <row r="210" spans="1:23" ht="15.75">
      <c r="A210" s="253">
        <f t="shared" si="11"/>
        <v>208</v>
      </c>
      <c r="B210" s="193" t="s">
        <v>864</v>
      </c>
      <c r="C210" s="298"/>
      <c r="D210" s="274" t="s">
        <v>2</v>
      </c>
      <c r="E210" s="279">
        <v>4</v>
      </c>
      <c r="F210" s="297">
        <v>1991</v>
      </c>
      <c r="G210" s="249" t="s">
        <v>283</v>
      </c>
      <c r="H210" s="185" t="s">
        <v>284</v>
      </c>
      <c r="I210" s="304">
        <v>6</v>
      </c>
      <c r="J210" s="295"/>
      <c r="K210" s="184"/>
      <c r="L210" s="184"/>
      <c r="M210" s="67">
        <f t="shared" si="9"/>
        <v>0.58130000000000004</v>
      </c>
      <c r="N210" s="242">
        <f>275.2/1000</f>
        <v>0.2752</v>
      </c>
      <c r="O210" s="242">
        <f>306.1/1000</f>
        <v>0.30610000000000004</v>
      </c>
      <c r="P210" s="258"/>
      <c r="Q210" s="241" t="s">
        <v>90</v>
      </c>
      <c r="R210" s="363">
        <v>2.01E-2</v>
      </c>
      <c r="S210" s="361">
        <f t="shared" si="10"/>
        <v>30.91112</v>
      </c>
      <c r="V210"/>
      <c r="W210"/>
    </row>
    <row r="211" spans="1:23" ht="15.75">
      <c r="A211" s="253">
        <f t="shared" si="11"/>
        <v>209</v>
      </c>
      <c r="B211" s="193" t="s">
        <v>863</v>
      </c>
      <c r="C211" s="298"/>
      <c r="D211" s="274" t="s">
        <v>2</v>
      </c>
      <c r="E211" s="279">
        <v>4</v>
      </c>
      <c r="F211" s="286">
        <v>1973</v>
      </c>
      <c r="G211" s="249" t="s">
        <v>283</v>
      </c>
      <c r="H211" s="185" t="s">
        <v>284</v>
      </c>
      <c r="I211" s="304">
        <v>15</v>
      </c>
      <c r="J211" s="295"/>
      <c r="K211" s="184"/>
      <c r="L211" s="184"/>
      <c r="M211" s="67">
        <f t="shared" si="9"/>
        <v>0.7747400000000001</v>
      </c>
      <c r="N211" s="242">
        <f>724.69/1000</f>
        <v>0.72469000000000006</v>
      </c>
      <c r="O211" s="242">
        <f>50.05/1000</f>
        <v>5.0049999999999997E-2</v>
      </c>
      <c r="P211" s="258"/>
      <c r="Q211" s="241" t="s">
        <v>90</v>
      </c>
      <c r="R211" s="362">
        <v>4.8399999999999999E-2</v>
      </c>
      <c r="S211" s="361">
        <f t="shared" si="10"/>
        <v>74.432746666666674</v>
      </c>
      <c r="V211"/>
      <c r="W211"/>
    </row>
    <row r="212" spans="1:23" ht="15.75">
      <c r="A212" s="253">
        <f t="shared" si="11"/>
        <v>210</v>
      </c>
      <c r="B212" s="193" t="s">
        <v>862</v>
      </c>
      <c r="C212" s="298"/>
      <c r="D212" s="274" t="s">
        <v>2</v>
      </c>
      <c r="E212" s="279">
        <v>4</v>
      </c>
      <c r="F212" s="286">
        <v>2002</v>
      </c>
      <c r="G212" s="249" t="s">
        <v>283</v>
      </c>
      <c r="H212" s="185" t="s">
        <v>284</v>
      </c>
      <c r="I212" s="304">
        <v>22</v>
      </c>
      <c r="J212" s="295"/>
      <c r="K212" s="184"/>
      <c r="L212" s="184"/>
      <c r="M212" s="67">
        <f t="shared" si="9"/>
        <v>1.1096999999999999</v>
      </c>
      <c r="N212" s="242">
        <f>1014.4/1000</f>
        <v>1.0144</v>
      </c>
      <c r="O212" s="242">
        <f>95.3/1000</f>
        <v>9.5299999999999996E-2</v>
      </c>
      <c r="P212" s="266"/>
      <c r="Q212" s="241" t="s">
        <v>90</v>
      </c>
      <c r="R212" s="362">
        <v>5.4800000000000001E-2</v>
      </c>
      <c r="S212" s="361">
        <f t="shared" si="10"/>
        <v>84.275093333333331</v>
      </c>
      <c r="V212"/>
      <c r="W212"/>
    </row>
    <row r="213" spans="1:23" ht="15.75">
      <c r="A213" s="253">
        <f t="shared" si="11"/>
        <v>211</v>
      </c>
      <c r="B213" s="193" t="s">
        <v>861</v>
      </c>
      <c r="C213" s="298"/>
      <c r="D213" s="274" t="s">
        <v>2</v>
      </c>
      <c r="E213" s="279">
        <v>4</v>
      </c>
      <c r="F213" s="297">
        <v>1963</v>
      </c>
      <c r="G213" s="249" t="s">
        <v>283</v>
      </c>
      <c r="H213" s="185" t="s">
        <v>284</v>
      </c>
      <c r="I213" s="304">
        <v>16</v>
      </c>
      <c r="J213" s="295"/>
      <c r="K213" s="184"/>
      <c r="L213" s="184"/>
      <c r="M213" s="67">
        <f t="shared" si="9"/>
        <v>1.0055700000000001</v>
      </c>
      <c r="N213" s="242">
        <f>1005.57/1000</f>
        <v>1.0055700000000001</v>
      </c>
      <c r="O213" s="242"/>
      <c r="P213" s="258"/>
      <c r="Q213" s="241" t="s">
        <v>90</v>
      </c>
      <c r="R213" s="362">
        <v>4.48E-2</v>
      </c>
      <c r="S213" s="361">
        <f t="shared" si="10"/>
        <v>68.89642666666667</v>
      </c>
      <c r="V213"/>
      <c r="W213"/>
    </row>
    <row r="214" spans="1:23" ht="15.75">
      <c r="A214" s="253">
        <f t="shared" si="11"/>
        <v>212</v>
      </c>
      <c r="B214" s="252" t="s">
        <v>572</v>
      </c>
      <c r="C214" s="298"/>
      <c r="D214" s="274" t="s">
        <v>2</v>
      </c>
      <c r="E214" s="273" t="s">
        <v>294</v>
      </c>
      <c r="F214" s="267">
        <v>1991</v>
      </c>
      <c r="G214" s="259" t="s">
        <v>283</v>
      </c>
      <c r="H214" s="185" t="s">
        <v>284</v>
      </c>
      <c r="I214" s="304">
        <v>118</v>
      </c>
      <c r="J214" s="295"/>
      <c r="K214" s="184"/>
      <c r="L214" s="184"/>
      <c r="M214" s="67">
        <f t="shared" si="9"/>
        <v>7.9994500000000004</v>
      </c>
      <c r="N214" s="242">
        <f>6065/1000</f>
        <v>6.0650000000000004</v>
      </c>
      <c r="O214" s="242">
        <f>1934.45/1000</f>
        <v>1.93445</v>
      </c>
      <c r="P214" s="301"/>
      <c r="Q214" s="241" t="s">
        <v>90</v>
      </c>
      <c r="R214" s="362">
        <v>0.24990000000000001</v>
      </c>
      <c r="S214" s="361">
        <f t="shared" si="10"/>
        <v>384.31288000000001</v>
      </c>
      <c r="V214"/>
      <c r="W214"/>
    </row>
    <row r="215" spans="1:23" ht="15.75">
      <c r="A215" s="253">
        <f t="shared" si="11"/>
        <v>213</v>
      </c>
      <c r="B215" s="193" t="s">
        <v>860</v>
      </c>
      <c r="C215" s="298"/>
      <c r="D215" s="274" t="s">
        <v>2</v>
      </c>
      <c r="E215" s="279" t="s">
        <v>294</v>
      </c>
      <c r="F215" s="286">
        <v>1987</v>
      </c>
      <c r="G215" s="249" t="s">
        <v>283</v>
      </c>
      <c r="H215" s="185" t="s">
        <v>284</v>
      </c>
      <c r="I215" s="304">
        <v>81</v>
      </c>
      <c r="J215" s="295"/>
      <c r="K215" s="184"/>
      <c r="L215" s="184"/>
      <c r="M215" s="67">
        <f t="shared" si="9"/>
        <v>3.681</v>
      </c>
      <c r="N215" s="242">
        <f>3479.84/1000</f>
        <v>3.4798400000000003</v>
      </c>
      <c r="O215" s="242">
        <f>201.16/1000</f>
        <v>0.20116000000000001</v>
      </c>
      <c r="P215" s="258"/>
      <c r="Q215" s="241" t="s">
        <v>90</v>
      </c>
      <c r="R215" s="362">
        <v>0.17169999999999999</v>
      </c>
      <c r="S215" s="361">
        <f t="shared" si="10"/>
        <v>264.05170666666669</v>
      </c>
      <c r="V215"/>
      <c r="W215"/>
    </row>
    <row r="216" spans="1:23" ht="15.75">
      <c r="A216" s="253">
        <f t="shared" si="11"/>
        <v>214</v>
      </c>
      <c r="B216" s="193" t="s">
        <v>859</v>
      </c>
      <c r="C216" s="298"/>
      <c r="D216" s="274" t="s">
        <v>2</v>
      </c>
      <c r="E216" s="279" t="s">
        <v>294</v>
      </c>
      <c r="F216" s="297">
        <v>1969</v>
      </c>
      <c r="G216" s="249" t="s">
        <v>283</v>
      </c>
      <c r="H216" s="185" t="s">
        <v>284</v>
      </c>
      <c r="I216" s="296">
        <v>64</v>
      </c>
      <c r="J216" s="295"/>
      <c r="K216" s="184">
        <v>0</v>
      </c>
      <c r="L216" s="184">
        <v>0</v>
      </c>
      <c r="M216" s="67">
        <f t="shared" si="9"/>
        <v>3.3384899999999997</v>
      </c>
      <c r="N216" s="242">
        <f>3304.39/1000</f>
        <v>3.3043899999999997</v>
      </c>
      <c r="O216" s="242">
        <f>34.1/1000</f>
        <v>3.4099999999999998E-2</v>
      </c>
      <c r="P216" s="266"/>
      <c r="Q216" s="241" t="s">
        <v>90</v>
      </c>
      <c r="R216" s="362">
        <v>0.14990000000000001</v>
      </c>
      <c r="S216" s="361">
        <f t="shared" si="10"/>
        <v>230.52621333333332</v>
      </c>
      <c r="V216"/>
      <c r="W216"/>
    </row>
    <row r="217" spans="1:23" ht="15.75">
      <c r="A217" s="253">
        <f t="shared" si="11"/>
        <v>215</v>
      </c>
      <c r="B217" s="193" t="s">
        <v>858</v>
      </c>
      <c r="C217" s="298"/>
      <c r="D217" s="274" t="s">
        <v>2</v>
      </c>
      <c r="E217" s="279" t="s">
        <v>294</v>
      </c>
      <c r="F217" s="286">
        <v>1976</v>
      </c>
      <c r="G217" s="249" t="s">
        <v>283</v>
      </c>
      <c r="H217" s="185" t="s">
        <v>284</v>
      </c>
      <c r="I217" s="304">
        <v>64</v>
      </c>
      <c r="J217" s="295"/>
      <c r="K217" s="184"/>
      <c r="L217" s="184"/>
      <c r="M217" s="67">
        <f t="shared" si="9"/>
        <v>3.06968</v>
      </c>
      <c r="N217" s="242">
        <f>2717.01/1000</f>
        <v>2.7170100000000001</v>
      </c>
      <c r="O217" s="242">
        <f>352.67/1000</f>
        <v>0.35267000000000004</v>
      </c>
      <c r="P217" s="258"/>
      <c r="Q217" s="241" t="s">
        <v>90</v>
      </c>
      <c r="R217" s="362">
        <v>0.17019999999999999</v>
      </c>
      <c r="S217" s="361">
        <f t="shared" si="10"/>
        <v>261.74490666666662</v>
      </c>
      <c r="V217"/>
      <c r="W217"/>
    </row>
    <row r="218" spans="1:23" ht="15.75">
      <c r="A218" s="253">
        <f t="shared" si="11"/>
        <v>216</v>
      </c>
      <c r="B218" s="193" t="s">
        <v>857</v>
      </c>
      <c r="C218" s="298"/>
      <c r="D218" s="274" t="s">
        <v>2</v>
      </c>
      <c r="E218" s="279" t="s">
        <v>294</v>
      </c>
      <c r="F218" s="286">
        <v>1989</v>
      </c>
      <c r="G218" s="249" t="s">
        <v>283</v>
      </c>
      <c r="H218" s="185" t="s">
        <v>284</v>
      </c>
      <c r="I218" s="296">
        <v>134</v>
      </c>
      <c r="J218" s="295"/>
      <c r="K218" s="184">
        <v>0</v>
      </c>
      <c r="L218" s="184">
        <v>0</v>
      </c>
      <c r="M218" s="67">
        <f t="shared" si="9"/>
        <v>8.4732000000000003</v>
      </c>
      <c r="N218" s="242">
        <f>7927.6/1000</f>
        <v>7.9276</v>
      </c>
      <c r="O218" s="242">
        <f>545.6/1000</f>
        <v>0.54559999999999997</v>
      </c>
      <c r="P218" s="258"/>
      <c r="Q218" s="241" t="s">
        <v>90</v>
      </c>
      <c r="R218" s="362">
        <v>0.39479999999999998</v>
      </c>
      <c r="S218" s="361">
        <f t="shared" si="10"/>
        <v>607.14976000000001</v>
      </c>
      <c r="V218"/>
      <c r="W218"/>
    </row>
    <row r="219" spans="1:23" ht="15.75">
      <c r="A219" s="253">
        <f t="shared" si="11"/>
        <v>217</v>
      </c>
      <c r="B219" s="193" t="s">
        <v>856</v>
      </c>
      <c r="C219" s="298"/>
      <c r="D219" s="274" t="s">
        <v>2</v>
      </c>
      <c r="E219" s="279" t="s">
        <v>294</v>
      </c>
      <c r="F219" s="297">
        <v>1970</v>
      </c>
      <c r="G219" s="249" t="s">
        <v>283</v>
      </c>
      <c r="H219" s="185" t="s">
        <v>284</v>
      </c>
      <c r="I219" s="296">
        <v>94</v>
      </c>
      <c r="J219" s="295"/>
      <c r="K219" s="184">
        <v>0</v>
      </c>
      <c r="L219" s="184">
        <v>0</v>
      </c>
      <c r="M219" s="67">
        <f t="shared" si="9"/>
        <v>4.4223800000000004</v>
      </c>
      <c r="N219" s="242">
        <f>4105.15/1000</f>
        <v>4.1051500000000001</v>
      </c>
      <c r="O219" s="242">
        <f>317.23/1000</f>
        <v>0.31723000000000001</v>
      </c>
      <c r="P219" s="258"/>
      <c r="Q219" s="241" t="s">
        <v>90</v>
      </c>
      <c r="R219" s="362">
        <v>0.20960000000000001</v>
      </c>
      <c r="S219" s="361">
        <f t="shared" si="10"/>
        <v>322.33685333333335</v>
      </c>
      <c r="V219"/>
      <c r="W219"/>
    </row>
    <row r="220" spans="1:23" ht="15.75">
      <c r="A220" s="253">
        <f t="shared" si="11"/>
        <v>218</v>
      </c>
      <c r="B220" s="193" t="s">
        <v>855</v>
      </c>
      <c r="C220" s="298"/>
      <c r="D220" s="274" t="s">
        <v>2</v>
      </c>
      <c r="E220" s="279" t="s">
        <v>294</v>
      </c>
      <c r="F220" s="286">
        <v>1992</v>
      </c>
      <c r="G220" s="249" t="s">
        <v>283</v>
      </c>
      <c r="H220" s="185" t="s">
        <v>284</v>
      </c>
      <c r="I220" s="296">
        <v>123</v>
      </c>
      <c r="J220" s="295"/>
      <c r="K220" s="184">
        <v>0</v>
      </c>
      <c r="L220" s="184">
        <v>0</v>
      </c>
      <c r="M220" s="67">
        <f t="shared" si="9"/>
        <v>6.04739</v>
      </c>
      <c r="N220" s="242">
        <f>5671.22/1000</f>
        <v>5.6712199999999999</v>
      </c>
      <c r="O220" s="242">
        <f>376.17/1000</f>
        <v>0.37617</v>
      </c>
      <c r="P220" s="258"/>
      <c r="Q220" s="241" t="s">
        <v>90</v>
      </c>
      <c r="R220" s="362">
        <v>0.2681</v>
      </c>
      <c r="S220" s="361">
        <f t="shared" si="10"/>
        <v>412.30205333333333</v>
      </c>
      <c r="V220"/>
      <c r="W220"/>
    </row>
    <row r="221" spans="1:23" ht="15.75">
      <c r="A221" s="253">
        <f t="shared" si="11"/>
        <v>219</v>
      </c>
      <c r="B221" s="193" t="s">
        <v>854</v>
      </c>
      <c r="C221" s="298"/>
      <c r="D221" s="274" t="s">
        <v>2</v>
      </c>
      <c r="E221" s="279" t="s">
        <v>294</v>
      </c>
      <c r="F221" s="297">
        <v>1986</v>
      </c>
      <c r="G221" s="249" t="s">
        <v>283</v>
      </c>
      <c r="H221" s="185" t="s">
        <v>284</v>
      </c>
      <c r="I221" s="296">
        <v>45</v>
      </c>
      <c r="J221" s="295"/>
      <c r="K221" s="184">
        <v>0</v>
      </c>
      <c r="L221" s="184">
        <v>0</v>
      </c>
      <c r="M221" s="67">
        <f t="shared" si="9"/>
        <v>1.88835</v>
      </c>
      <c r="N221" s="242">
        <f>1622.07/1000</f>
        <v>1.6220699999999999</v>
      </c>
      <c r="O221" s="242">
        <f>266.28/1000</f>
        <v>0.26627999999999996</v>
      </c>
      <c r="P221" s="258"/>
      <c r="Q221" s="241" t="s">
        <v>90</v>
      </c>
      <c r="R221" s="362">
        <v>7.8899999999999998E-2</v>
      </c>
      <c r="S221" s="361">
        <f t="shared" si="10"/>
        <v>121.33768000000001</v>
      </c>
      <c r="V221"/>
      <c r="W221"/>
    </row>
    <row r="222" spans="1:23" ht="15.75">
      <c r="A222" s="253">
        <f t="shared" si="11"/>
        <v>220</v>
      </c>
      <c r="B222" s="193" t="s">
        <v>853</v>
      </c>
      <c r="C222" s="298"/>
      <c r="D222" s="274" t="s">
        <v>2</v>
      </c>
      <c r="E222" s="279" t="s">
        <v>294</v>
      </c>
      <c r="F222" s="297">
        <v>1986</v>
      </c>
      <c r="G222" s="249" t="s">
        <v>283</v>
      </c>
      <c r="H222" s="185" t="s">
        <v>284</v>
      </c>
      <c r="I222" s="296">
        <v>85</v>
      </c>
      <c r="J222" s="295"/>
      <c r="K222" s="184">
        <v>0</v>
      </c>
      <c r="L222" s="184">
        <v>0</v>
      </c>
      <c r="M222" s="67">
        <f t="shared" si="9"/>
        <v>3.9337</v>
      </c>
      <c r="N222" s="242">
        <f>3800.71/1000</f>
        <v>3.80071</v>
      </c>
      <c r="O222" s="242">
        <f>132.99/1000</f>
        <v>0.13299</v>
      </c>
      <c r="P222" s="258"/>
      <c r="Q222" s="241" t="s">
        <v>90</v>
      </c>
      <c r="R222" s="362">
        <v>0.18149999999999999</v>
      </c>
      <c r="S222" s="361">
        <f t="shared" si="10"/>
        <v>279.12279999999998</v>
      </c>
      <c r="V222"/>
      <c r="W222"/>
    </row>
    <row r="223" spans="1:23" ht="15.75">
      <c r="A223" s="253">
        <f t="shared" si="11"/>
        <v>221</v>
      </c>
      <c r="B223" s="193" t="s">
        <v>852</v>
      </c>
      <c r="C223" s="298"/>
      <c r="D223" s="274" t="s">
        <v>2</v>
      </c>
      <c r="E223" s="279" t="s">
        <v>294</v>
      </c>
      <c r="F223" s="297">
        <v>1992</v>
      </c>
      <c r="G223" s="249" t="s">
        <v>283</v>
      </c>
      <c r="H223" s="185" t="s">
        <v>284</v>
      </c>
      <c r="I223" s="296">
        <v>71</v>
      </c>
      <c r="J223" s="295"/>
      <c r="K223" s="184">
        <v>0</v>
      </c>
      <c r="L223" s="184">
        <v>0</v>
      </c>
      <c r="M223" s="67">
        <f t="shared" si="9"/>
        <v>4.6685999999999996</v>
      </c>
      <c r="N223" s="242">
        <f>4194.5/1000</f>
        <v>4.1944999999999997</v>
      </c>
      <c r="O223" s="242">
        <f>474.1/1000</f>
        <v>0.47410000000000002</v>
      </c>
      <c r="P223" s="258"/>
      <c r="Q223" s="241" t="s">
        <v>90</v>
      </c>
      <c r="R223" s="362">
        <v>0.2114</v>
      </c>
      <c r="S223" s="361">
        <f t="shared" si="10"/>
        <v>325.10501333333332</v>
      </c>
      <c r="V223"/>
      <c r="W223"/>
    </row>
    <row r="224" spans="1:23" ht="15.75">
      <c r="A224" s="253">
        <f t="shared" si="11"/>
        <v>222</v>
      </c>
      <c r="B224" s="193" t="s">
        <v>851</v>
      </c>
      <c r="C224" s="298"/>
      <c r="D224" s="274" t="s">
        <v>2</v>
      </c>
      <c r="E224" s="279" t="s">
        <v>294</v>
      </c>
      <c r="F224" s="286">
        <v>1989</v>
      </c>
      <c r="G224" s="249" t="s">
        <v>283</v>
      </c>
      <c r="H224" s="185" t="s">
        <v>284</v>
      </c>
      <c r="I224" s="296">
        <v>77</v>
      </c>
      <c r="J224" s="295"/>
      <c r="K224" s="184">
        <v>0</v>
      </c>
      <c r="L224" s="184">
        <v>0</v>
      </c>
      <c r="M224" s="67">
        <f t="shared" si="9"/>
        <v>4.7709999999999999</v>
      </c>
      <c r="N224" s="242">
        <f>4582.4/1000</f>
        <v>4.5823999999999998</v>
      </c>
      <c r="O224" s="242">
        <f>188.6/1000</f>
        <v>0.18859999999999999</v>
      </c>
      <c r="P224" s="258"/>
      <c r="Q224" s="241" t="s">
        <v>90</v>
      </c>
      <c r="R224" s="362">
        <v>0.20569999999999999</v>
      </c>
      <c r="S224" s="361">
        <f t="shared" si="10"/>
        <v>316.33917333333335</v>
      </c>
      <c r="V224"/>
      <c r="W224"/>
    </row>
    <row r="225" spans="1:23" ht="15.75">
      <c r="A225" s="253">
        <f t="shared" si="11"/>
        <v>223</v>
      </c>
      <c r="B225" s="193" t="s">
        <v>850</v>
      </c>
      <c r="C225" s="298"/>
      <c r="D225" s="274" t="s">
        <v>2</v>
      </c>
      <c r="E225" s="279" t="s">
        <v>294</v>
      </c>
      <c r="F225" s="297">
        <v>1993</v>
      </c>
      <c r="G225" s="249" t="s">
        <v>283</v>
      </c>
      <c r="H225" s="185" t="s">
        <v>284</v>
      </c>
      <c r="I225" s="296">
        <v>49</v>
      </c>
      <c r="J225" s="295"/>
      <c r="K225" s="184">
        <v>0</v>
      </c>
      <c r="L225" s="184">
        <v>0</v>
      </c>
      <c r="M225" s="67">
        <f t="shared" si="9"/>
        <v>3.5600999999999998</v>
      </c>
      <c r="N225" s="242">
        <f>2851.7/1000</f>
        <v>2.8516999999999997</v>
      </c>
      <c r="O225" s="242">
        <f>708.4/1000</f>
        <v>0.70840000000000003</v>
      </c>
      <c r="P225" s="258"/>
      <c r="Q225" s="241" t="s">
        <v>90</v>
      </c>
      <c r="R225" s="362">
        <v>0.1384</v>
      </c>
      <c r="S225" s="361">
        <f t="shared" si="10"/>
        <v>212.84074666666669</v>
      </c>
      <c r="V225"/>
      <c r="W225"/>
    </row>
    <row r="226" spans="1:23" ht="15.75">
      <c r="A226" s="253">
        <f t="shared" si="11"/>
        <v>224</v>
      </c>
      <c r="B226" s="193" t="s">
        <v>849</v>
      </c>
      <c r="C226" s="298"/>
      <c r="D226" s="274" t="s">
        <v>2</v>
      </c>
      <c r="E226" s="279" t="s">
        <v>294</v>
      </c>
      <c r="F226" s="297">
        <v>1990</v>
      </c>
      <c r="G226" s="249" t="s">
        <v>283</v>
      </c>
      <c r="H226" s="185" t="s">
        <v>284</v>
      </c>
      <c r="I226" s="296">
        <v>64</v>
      </c>
      <c r="J226" s="295"/>
      <c r="K226" s="184">
        <v>0</v>
      </c>
      <c r="L226" s="184">
        <v>0</v>
      </c>
      <c r="M226" s="67">
        <f t="shared" si="9"/>
        <v>3.4173999999999998</v>
      </c>
      <c r="N226" s="242">
        <f>2812.9/1000</f>
        <v>2.8129</v>
      </c>
      <c r="O226" s="242">
        <f>604.5/1000</f>
        <v>0.60450000000000004</v>
      </c>
      <c r="P226" s="258"/>
      <c r="Q226" s="241" t="s">
        <v>90</v>
      </c>
      <c r="R226" s="362">
        <v>0.1431</v>
      </c>
      <c r="S226" s="361">
        <f t="shared" si="10"/>
        <v>220.06872000000001</v>
      </c>
      <c r="V226"/>
      <c r="W226"/>
    </row>
    <row r="227" spans="1:23" ht="15.75">
      <c r="A227" s="253">
        <f t="shared" si="11"/>
        <v>225</v>
      </c>
      <c r="B227" s="193" t="s">
        <v>848</v>
      </c>
      <c r="C227" s="298"/>
      <c r="D227" s="274" t="s">
        <v>2</v>
      </c>
      <c r="E227" s="279" t="s">
        <v>294</v>
      </c>
      <c r="F227" s="297">
        <v>1987</v>
      </c>
      <c r="G227" s="249" t="s">
        <v>283</v>
      </c>
      <c r="H227" s="185" t="s">
        <v>284</v>
      </c>
      <c r="I227" s="296">
        <v>30</v>
      </c>
      <c r="J227" s="295"/>
      <c r="K227" s="184">
        <v>0</v>
      </c>
      <c r="L227" s="184">
        <v>0</v>
      </c>
      <c r="M227" s="67">
        <f t="shared" si="9"/>
        <v>2.3270200000000001</v>
      </c>
      <c r="N227" s="242">
        <f>1730.72/1000</f>
        <v>1.73072</v>
      </c>
      <c r="O227" s="242">
        <f>596.3/1000</f>
        <v>0.59629999999999994</v>
      </c>
      <c r="P227" s="258"/>
      <c r="Q227" s="241" t="s">
        <v>90</v>
      </c>
      <c r="R227" s="362">
        <v>0.1104</v>
      </c>
      <c r="S227" s="361">
        <f t="shared" si="10"/>
        <v>169.78048000000001</v>
      </c>
      <c r="V227"/>
      <c r="W227"/>
    </row>
    <row r="228" spans="1:23" ht="15.75">
      <c r="A228" s="253">
        <f t="shared" si="11"/>
        <v>226</v>
      </c>
      <c r="B228" s="193" t="s">
        <v>847</v>
      </c>
      <c r="C228" s="298"/>
      <c r="D228" s="274" t="s">
        <v>2</v>
      </c>
      <c r="E228" s="279" t="s">
        <v>294</v>
      </c>
      <c r="F228" s="297">
        <v>1988</v>
      </c>
      <c r="G228" s="249" t="s">
        <v>283</v>
      </c>
      <c r="H228" s="185" t="s">
        <v>284</v>
      </c>
      <c r="I228" s="296">
        <v>34</v>
      </c>
      <c r="J228" s="295"/>
      <c r="K228" s="184">
        <v>0</v>
      </c>
      <c r="L228" s="184">
        <v>0</v>
      </c>
      <c r="M228" s="67">
        <f t="shared" si="9"/>
        <v>2.3462000000000001</v>
      </c>
      <c r="N228" s="242">
        <f>1944/1000</f>
        <v>1.944</v>
      </c>
      <c r="O228" s="242">
        <f>402.2/1000</f>
        <v>0.4022</v>
      </c>
      <c r="P228" s="258"/>
      <c r="Q228" s="241" t="s">
        <v>90</v>
      </c>
      <c r="R228" s="362">
        <v>0.1255</v>
      </c>
      <c r="S228" s="361">
        <f t="shared" si="10"/>
        <v>193.00226666666669</v>
      </c>
      <c r="V228"/>
      <c r="W228"/>
    </row>
    <row r="229" spans="1:23" ht="15.75">
      <c r="A229" s="253">
        <f t="shared" si="11"/>
        <v>227</v>
      </c>
      <c r="B229" s="193" t="s">
        <v>846</v>
      </c>
      <c r="C229" s="298"/>
      <c r="D229" s="274" t="s">
        <v>2</v>
      </c>
      <c r="E229" s="279" t="s">
        <v>294</v>
      </c>
      <c r="F229" s="286">
        <v>1988</v>
      </c>
      <c r="G229" s="249" t="s">
        <v>283</v>
      </c>
      <c r="H229" s="185" t="s">
        <v>284</v>
      </c>
      <c r="I229" s="296">
        <v>24</v>
      </c>
      <c r="J229" s="295"/>
      <c r="K229" s="184">
        <v>0</v>
      </c>
      <c r="L229" s="184">
        <v>0</v>
      </c>
      <c r="M229" s="67">
        <f t="shared" si="9"/>
        <v>1.4132</v>
      </c>
      <c r="N229" s="242">
        <f>1150.13/1000</f>
        <v>1.1501300000000001</v>
      </c>
      <c r="O229" s="242">
        <f>263.07/1000</f>
        <v>0.26306999999999997</v>
      </c>
      <c r="P229" s="258"/>
      <c r="Q229" s="241" t="s">
        <v>90</v>
      </c>
      <c r="R229" s="362">
        <v>7.1199999999999999E-2</v>
      </c>
      <c r="S229" s="361">
        <f t="shared" si="10"/>
        <v>109.49610666666668</v>
      </c>
      <c r="V229"/>
      <c r="W229"/>
    </row>
    <row r="230" spans="1:23" ht="15.75">
      <c r="A230" s="253">
        <f t="shared" si="11"/>
        <v>228</v>
      </c>
      <c r="B230" s="193" t="s">
        <v>845</v>
      </c>
      <c r="C230" s="298"/>
      <c r="D230" s="274" t="s">
        <v>2</v>
      </c>
      <c r="E230" s="279" t="s">
        <v>294</v>
      </c>
      <c r="F230" s="286">
        <v>1992</v>
      </c>
      <c r="G230" s="249" t="s">
        <v>283</v>
      </c>
      <c r="H230" s="185" t="s">
        <v>284</v>
      </c>
      <c r="I230" s="296">
        <v>68</v>
      </c>
      <c r="J230" s="295"/>
      <c r="K230" s="184">
        <v>0</v>
      </c>
      <c r="L230" s="184">
        <v>0</v>
      </c>
      <c r="M230" s="67">
        <f t="shared" si="9"/>
        <v>3.8361999999999998</v>
      </c>
      <c r="N230" s="242">
        <f>3719.15/1000</f>
        <v>3.71915</v>
      </c>
      <c r="O230" s="242">
        <f>117.05/1000</f>
        <v>0.11705</v>
      </c>
      <c r="P230" s="258"/>
      <c r="Q230" s="241" t="s">
        <v>90</v>
      </c>
      <c r="R230" s="362">
        <v>0.2039</v>
      </c>
      <c r="S230" s="361">
        <f t="shared" si="10"/>
        <v>313.57101333333333</v>
      </c>
      <c r="V230"/>
      <c r="W230"/>
    </row>
    <row r="231" spans="1:23" ht="15.75">
      <c r="A231" s="253">
        <f t="shared" si="11"/>
        <v>229</v>
      </c>
      <c r="B231" s="193" t="s">
        <v>844</v>
      </c>
      <c r="C231" s="298"/>
      <c r="D231" s="274" t="s">
        <v>2</v>
      </c>
      <c r="E231" s="279" t="s">
        <v>294</v>
      </c>
      <c r="F231" s="297">
        <v>1990</v>
      </c>
      <c r="G231" s="249" t="s">
        <v>283</v>
      </c>
      <c r="H231" s="185" t="s">
        <v>284</v>
      </c>
      <c r="I231" s="296">
        <v>42</v>
      </c>
      <c r="J231" s="295"/>
      <c r="K231" s="184">
        <v>0</v>
      </c>
      <c r="L231" s="184">
        <v>0</v>
      </c>
      <c r="M231" s="67">
        <f t="shared" si="9"/>
        <v>2.4528000000000003</v>
      </c>
      <c r="N231" s="242">
        <f>2295.5/1000</f>
        <v>2.2955000000000001</v>
      </c>
      <c r="O231" s="242">
        <f>157.3/1000</f>
        <v>0.15730000000000002</v>
      </c>
      <c r="P231" s="258"/>
      <c r="Q231" s="241" t="s">
        <v>90</v>
      </c>
      <c r="R231" s="362">
        <v>0.155</v>
      </c>
      <c r="S231" s="361">
        <f t="shared" si="10"/>
        <v>238.36933333333334</v>
      </c>
      <c r="V231"/>
      <c r="W231"/>
    </row>
    <row r="232" spans="1:23" ht="15.75">
      <c r="A232" s="253">
        <f t="shared" si="11"/>
        <v>230</v>
      </c>
      <c r="B232" s="193" t="s">
        <v>843</v>
      </c>
      <c r="C232" s="298"/>
      <c r="D232" s="274" t="s">
        <v>2</v>
      </c>
      <c r="E232" s="279" t="s">
        <v>294</v>
      </c>
      <c r="F232" s="297">
        <v>1980</v>
      </c>
      <c r="G232" s="249" t="s">
        <v>283</v>
      </c>
      <c r="H232" s="185" t="s">
        <v>284</v>
      </c>
      <c r="I232" s="296">
        <v>15</v>
      </c>
      <c r="J232" s="295"/>
      <c r="K232" s="184">
        <v>0</v>
      </c>
      <c r="L232" s="184">
        <v>0</v>
      </c>
      <c r="M232" s="67">
        <f t="shared" si="9"/>
        <v>1.3421099999999999</v>
      </c>
      <c r="N232" s="242">
        <f>899.71/1000</f>
        <v>0.89971000000000001</v>
      </c>
      <c r="O232" s="242">
        <f>442.4/1000</f>
        <v>0.44239999999999996</v>
      </c>
      <c r="P232" s="258"/>
      <c r="Q232" s="241" t="s">
        <v>90</v>
      </c>
      <c r="R232" s="362">
        <v>5.6000000000000001E-2</v>
      </c>
      <c r="S232" s="361">
        <f t="shared" si="10"/>
        <v>86.120533333333341</v>
      </c>
      <c r="V232"/>
      <c r="W232"/>
    </row>
    <row r="233" spans="1:23" ht="15.75">
      <c r="A233" s="253">
        <f t="shared" si="11"/>
        <v>231</v>
      </c>
      <c r="B233" s="193" t="s">
        <v>842</v>
      </c>
      <c r="C233" s="298"/>
      <c r="D233" s="274" t="s">
        <v>2</v>
      </c>
      <c r="E233" s="279" t="s">
        <v>294</v>
      </c>
      <c r="F233" s="297">
        <v>1987</v>
      </c>
      <c r="G233" s="249" t="s">
        <v>283</v>
      </c>
      <c r="H233" s="185" t="s">
        <v>284</v>
      </c>
      <c r="I233" s="296">
        <v>18</v>
      </c>
      <c r="J233" s="295"/>
      <c r="K233" s="184">
        <v>0</v>
      </c>
      <c r="L233" s="184">
        <v>0</v>
      </c>
      <c r="M233" s="67">
        <f t="shared" si="9"/>
        <v>0.98239999999999994</v>
      </c>
      <c r="N233" s="242">
        <f>982.4/1000</f>
        <v>0.98239999999999994</v>
      </c>
      <c r="O233" s="266"/>
      <c r="P233" s="258"/>
      <c r="Q233" s="241" t="s">
        <v>90</v>
      </c>
      <c r="R233" s="362">
        <v>5.4100000000000002E-2</v>
      </c>
      <c r="S233" s="361">
        <f t="shared" si="10"/>
        <v>83.198586666666671</v>
      </c>
      <c r="V233"/>
      <c r="W233"/>
    </row>
    <row r="234" spans="1:23" ht="15.75">
      <c r="A234" s="253">
        <f t="shared" si="11"/>
        <v>232</v>
      </c>
      <c r="B234" s="193" t="s">
        <v>841</v>
      </c>
      <c r="C234" s="298"/>
      <c r="D234" s="274" t="s">
        <v>2</v>
      </c>
      <c r="E234" s="279" t="s">
        <v>294</v>
      </c>
      <c r="F234" s="297">
        <v>1987</v>
      </c>
      <c r="G234" s="249" t="s">
        <v>283</v>
      </c>
      <c r="H234" s="185" t="s">
        <v>284</v>
      </c>
      <c r="I234" s="296">
        <v>58</v>
      </c>
      <c r="J234" s="295"/>
      <c r="K234" s="184">
        <v>0</v>
      </c>
      <c r="L234" s="184">
        <v>0</v>
      </c>
      <c r="M234" s="67">
        <f t="shared" si="9"/>
        <v>3.4704000000000002</v>
      </c>
      <c r="N234" s="242">
        <f>3270.5/1000</f>
        <v>3.2705000000000002</v>
      </c>
      <c r="O234" s="242">
        <f>199.9/1000</f>
        <v>0.19989999999999999</v>
      </c>
      <c r="P234" s="266"/>
      <c r="Q234" s="241" t="s">
        <v>90</v>
      </c>
      <c r="R234" s="362">
        <v>0.1668</v>
      </c>
      <c r="S234" s="361">
        <f t="shared" si="10"/>
        <v>256.51615999999996</v>
      </c>
      <c r="V234"/>
      <c r="W234"/>
    </row>
    <row r="235" spans="1:23" ht="15.75">
      <c r="A235" s="253">
        <f t="shared" si="11"/>
        <v>233</v>
      </c>
      <c r="B235" s="193" t="s">
        <v>840</v>
      </c>
      <c r="C235" s="298"/>
      <c r="D235" s="274" t="s">
        <v>2</v>
      </c>
      <c r="E235" s="279" t="s">
        <v>294</v>
      </c>
      <c r="F235" s="297">
        <v>1978</v>
      </c>
      <c r="G235" s="249" t="s">
        <v>283</v>
      </c>
      <c r="H235" s="185" t="s">
        <v>284</v>
      </c>
      <c r="I235" s="296">
        <v>79</v>
      </c>
      <c r="J235" s="295"/>
      <c r="K235" s="184">
        <v>0</v>
      </c>
      <c r="L235" s="184">
        <v>0</v>
      </c>
      <c r="M235" s="67">
        <f t="shared" si="9"/>
        <v>4.2821000000000007</v>
      </c>
      <c r="N235" s="242">
        <f>3489.4/1000</f>
        <v>3.4894000000000003</v>
      </c>
      <c r="O235" s="242">
        <f>792.7/1000</f>
        <v>0.79270000000000007</v>
      </c>
      <c r="P235" s="258"/>
      <c r="Q235" s="241" t="s">
        <v>90</v>
      </c>
      <c r="R235" s="362">
        <v>0.1835</v>
      </c>
      <c r="S235" s="361">
        <f t="shared" si="10"/>
        <v>282.19853333333333</v>
      </c>
      <c r="V235"/>
      <c r="W235"/>
    </row>
    <row r="236" spans="1:23" ht="15.75">
      <c r="A236" s="253">
        <f t="shared" si="11"/>
        <v>234</v>
      </c>
      <c r="B236" s="193" t="s">
        <v>839</v>
      </c>
      <c r="C236" s="298"/>
      <c r="D236" s="274" t="s">
        <v>2</v>
      </c>
      <c r="E236" s="279" t="s">
        <v>294</v>
      </c>
      <c r="F236" s="297">
        <v>1978</v>
      </c>
      <c r="G236" s="249" t="s">
        <v>283</v>
      </c>
      <c r="H236" s="185" t="s">
        <v>284</v>
      </c>
      <c r="I236" s="296">
        <v>42</v>
      </c>
      <c r="J236" s="295"/>
      <c r="K236" s="184">
        <v>0</v>
      </c>
      <c r="L236" s="184">
        <v>0</v>
      </c>
      <c r="M236" s="67">
        <f t="shared" si="9"/>
        <v>2.8138899999999998</v>
      </c>
      <c r="N236" s="242">
        <f>1900.59/1000</f>
        <v>1.90059</v>
      </c>
      <c r="O236" s="242">
        <f>913.3/1000</f>
        <v>0.9133</v>
      </c>
      <c r="P236" s="258"/>
      <c r="Q236" s="241" t="s">
        <v>90</v>
      </c>
      <c r="R236" s="362">
        <v>0.11409999999999999</v>
      </c>
      <c r="S236" s="361">
        <f t="shared" si="10"/>
        <v>175.47058666666666</v>
      </c>
      <c r="V236"/>
      <c r="W236"/>
    </row>
    <row r="237" spans="1:23" ht="15.75">
      <c r="A237" s="253">
        <f t="shared" si="11"/>
        <v>235</v>
      </c>
      <c r="B237" s="193" t="s">
        <v>838</v>
      </c>
      <c r="C237" s="298"/>
      <c r="D237" s="274" t="s">
        <v>2</v>
      </c>
      <c r="E237" s="279" t="s">
        <v>294</v>
      </c>
      <c r="F237" s="297">
        <v>1970</v>
      </c>
      <c r="G237" s="249" t="s">
        <v>283</v>
      </c>
      <c r="H237" s="185" t="s">
        <v>284</v>
      </c>
      <c r="I237" s="296">
        <v>36</v>
      </c>
      <c r="J237" s="295"/>
      <c r="K237" s="184">
        <v>0</v>
      </c>
      <c r="L237" s="184">
        <v>0</v>
      </c>
      <c r="M237" s="67">
        <f t="shared" si="9"/>
        <v>3.3938199999999998</v>
      </c>
      <c r="N237" s="242">
        <f>1958.81/1000</f>
        <v>1.9588099999999999</v>
      </c>
      <c r="O237" s="242">
        <f>1435.01/1000</f>
        <v>1.4350099999999999</v>
      </c>
      <c r="P237" s="258"/>
      <c r="Q237" s="241" t="s">
        <v>90</v>
      </c>
      <c r="R237" s="362">
        <v>9.4200000000000006E-2</v>
      </c>
      <c r="S237" s="361">
        <f t="shared" si="10"/>
        <v>144.86704</v>
      </c>
      <c r="V237"/>
      <c r="W237"/>
    </row>
    <row r="238" spans="1:23" ht="15.75">
      <c r="A238" s="253">
        <f t="shared" si="11"/>
        <v>236</v>
      </c>
      <c r="B238" s="193" t="s">
        <v>837</v>
      </c>
      <c r="C238" s="298"/>
      <c r="D238" s="274" t="s">
        <v>2</v>
      </c>
      <c r="E238" s="279" t="s">
        <v>294</v>
      </c>
      <c r="F238" s="297">
        <v>1990</v>
      </c>
      <c r="G238" s="249" t="s">
        <v>283</v>
      </c>
      <c r="H238" s="185" t="s">
        <v>284</v>
      </c>
      <c r="I238" s="296">
        <v>43</v>
      </c>
      <c r="J238" s="295"/>
      <c r="K238" s="184">
        <v>0</v>
      </c>
      <c r="L238" s="184">
        <v>0</v>
      </c>
      <c r="M238" s="67">
        <f t="shared" si="9"/>
        <v>2.6736000000000004</v>
      </c>
      <c r="N238" s="242">
        <f>2316.13/1000</f>
        <v>2.3161300000000002</v>
      </c>
      <c r="O238" s="242">
        <f>357.47/1000</f>
        <v>0.35747000000000001</v>
      </c>
      <c r="P238" s="258"/>
      <c r="Q238" s="241" t="s">
        <v>90</v>
      </c>
      <c r="R238" s="362">
        <v>0.1008</v>
      </c>
      <c r="S238" s="361">
        <f t="shared" si="10"/>
        <v>155.01696000000001</v>
      </c>
      <c r="V238"/>
      <c r="W238"/>
    </row>
    <row r="239" spans="1:23" ht="15.75">
      <c r="A239" s="253">
        <f t="shared" si="11"/>
        <v>237</v>
      </c>
      <c r="B239" s="193" t="s">
        <v>836</v>
      </c>
      <c r="C239" s="298"/>
      <c r="D239" s="274" t="s">
        <v>2</v>
      </c>
      <c r="E239" s="279" t="s">
        <v>294</v>
      </c>
      <c r="F239" s="297">
        <v>1992</v>
      </c>
      <c r="G239" s="249" t="s">
        <v>283</v>
      </c>
      <c r="H239" s="185" t="s">
        <v>284</v>
      </c>
      <c r="I239" s="296">
        <v>24</v>
      </c>
      <c r="J239" s="295"/>
      <c r="K239" s="184">
        <v>0</v>
      </c>
      <c r="L239" s="184">
        <v>0</v>
      </c>
      <c r="M239" s="67">
        <f t="shared" si="9"/>
        <v>1.1432</v>
      </c>
      <c r="N239" s="242">
        <f>1116.96/1000</f>
        <v>1.11696</v>
      </c>
      <c r="O239" s="242">
        <f>26.24/1000</f>
        <v>2.6239999999999999E-2</v>
      </c>
      <c r="P239" s="258"/>
      <c r="Q239" s="241" t="s">
        <v>90</v>
      </c>
      <c r="R239" s="362">
        <v>6.0600000000000001E-2</v>
      </c>
      <c r="S239" s="361">
        <f t="shared" si="10"/>
        <v>93.194720000000004</v>
      </c>
      <c r="V239"/>
      <c r="W239"/>
    </row>
    <row r="240" spans="1:23" ht="15.75">
      <c r="A240" s="253">
        <f t="shared" si="11"/>
        <v>238</v>
      </c>
      <c r="B240" s="252" t="s">
        <v>530</v>
      </c>
      <c r="C240" s="298"/>
      <c r="D240" s="274" t="s">
        <v>2</v>
      </c>
      <c r="E240" s="299" t="s">
        <v>294</v>
      </c>
      <c r="F240" s="267">
        <v>1990</v>
      </c>
      <c r="G240" s="259" t="s">
        <v>283</v>
      </c>
      <c r="H240" s="185" t="s">
        <v>284</v>
      </c>
      <c r="I240" s="296">
        <v>63</v>
      </c>
      <c r="J240" s="295"/>
      <c r="K240" s="184">
        <v>0</v>
      </c>
      <c r="L240" s="184">
        <v>0</v>
      </c>
      <c r="M240" s="67">
        <f t="shared" si="9"/>
        <v>3.8239000000000001</v>
      </c>
      <c r="N240" s="242">
        <f>3610.56/1000</f>
        <v>3.61056</v>
      </c>
      <c r="O240" s="242">
        <f>213.34/1000</f>
        <v>0.21334</v>
      </c>
      <c r="P240" s="242"/>
      <c r="Q240" s="241" t="s">
        <v>90</v>
      </c>
      <c r="R240" s="362">
        <v>0.1825</v>
      </c>
      <c r="S240" s="361">
        <f t="shared" si="10"/>
        <v>280.66066666666666</v>
      </c>
      <c r="V240"/>
      <c r="W240"/>
    </row>
    <row r="241" spans="1:23" ht="15.75">
      <c r="A241" s="253">
        <f t="shared" si="11"/>
        <v>239</v>
      </c>
      <c r="B241" s="252" t="s">
        <v>626</v>
      </c>
      <c r="C241" s="298"/>
      <c r="D241" s="274" t="s">
        <v>2</v>
      </c>
      <c r="E241" s="299" t="s">
        <v>294</v>
      </c>
      <c r="F241" s="267">
        <v>1993</v>
      </c>
      <c r="G241" s="259" t="s">
        <v>283</v>
      </c>
      <c r="H241" s="185" t="s">
        <v>284</v>
      </c>
      <c r="I241" s="304">
        <v>34</v>
      </c>
      <c r="J241" s="295"/>
      <c r="K241" s="184"/>
      <c r="L241" s="184"/>
      <c r="M241" s="67">
        <f t="shared" si="9"/>
        <v>2.07633</v>
      </c>
      <c r="N241" s="242">
        <f>1841.12/1000</f>
        <v>1.8411199999999999</v>
      </c>
      <c r="O241" s="242">
        <f>235.21/1000</f>
        <v>0.23521</v>
      </c>
      <c r="P241" s="242"/>
      <c r="Q241" s="241" t="s">
        <v>90</v>
      </c>
      <c r="R241" s="362">
        <v>9.5500000000000002E-2</v>
      </c>
      <c r="S241" s="361">
        <f t="shared" si="10"/>
        <v>146.86626666666666</v>
      </c>
      <c r="V241"/>
      <c r="W241"/>
    </row>
    <row r="242" spans="1:23" ht="15.75">
      <c r="A242" s="253">
        <f t="shared" si="11"/>
        <v>240</v>
      </c>
      <c r="B242" s="193" t="s">
        <v>835</v>
      </c>
      <c r="C242" s="298"/>
      <c r="D242" s="274" t="s">
        <v>2</v>
      </c>
      <c r="E242" s="279" t="s">
        <v>294</v>
      </c>
      <c r="F242" s="297">
        <v>1969</v>
      </c>
      <c r="G242" s="249" t="s">
        <v>283</v>
      </c>
      <c r="H242" s="185" t="s">
        <v>284</v>
      </c>
      <c r="I242" s="296">
        <v>78</v>
      </c>
      <c r="J242" s="295"/>
      <c r="K242" s="184">
        <v>0</v>
      </c>
      <c r="L242" s="184">
        <v>0</v>
      </c>
      <c r="M242" s="67">
        <f t="shared" si="9"/>
        <v>4.3926299999999996</v>
      </c>
      <c r="N242" s="242">
        <f>3545.08/1000</f>
        <v>3.54508</v>
      </c>
      <c r="O242" s="242">
        <f>847.55/1000</f>
        <v>0.84754999999999991</v>
      </c>
      <c r="P242" s="258"/>
      <c r="Q242" s="241" t="s">
        <v>90</v>
      </c>
      <c r="R242" s="362">
        <v>0.18870000000000001</v>
      </c>
      <c r="S242" s="361">
        <f t="shared" si="10"/>
        <v>290.19544000000002</v>
      </c>
      <c r="V242"/>
      <c r="W242"/>
    </row>
    <row r="243" spans="1:23" ht="15.75">
      <c r="A243" s="253">
        <f t="shared" si="11"/>
        <v>241</v>
      </c>
      <c r="B243" s="193" t="s">
        <v>834</v>
      </c>
      <c r="C243" s="298"/>
      <c r="D243" s="274" t="s">
        <v>2</v>
      </c>
      <c r="E243" s="279" t="s">
        <v>294</v>
      </c>
      <c r="F243" s="297">
        <v>1984</v>
      </c>
      <c r="G243" s="249" t="s">
        <v>283</v>
      </c>
      <c r="H243" s="185" t="s">
        <v>284</v>
      </c>
      <c r="I243" s="296">
        <v>134</v>
      </c>
      <c r="J243" s="295"/>
      <c r="K243" s="184">
        <v>0</v>
      </c>
      <c r="L243" s="184">
        <v>0</v>
      </c>
      <c r="M243" s="67">
        <f t="shared" si="9"/>
        <v>3.3408400000000005</v>
      </c>
      <c r="N243" s="242">
        <f>3098.34/1000</f>
        <v>3.0983400000000003</v>
      </c>
      <c r="O243" s="242">
        <f>242.5/1000</f>
        <v>0.24249999999999999</v>
      </c>
      <c r="P243" s="266"/>
      <c r="Q243" s="241" t="s">
        <v>90</v>
      </c>
      <c r="R243" s="362">
        <v>0.14710000000000001</v>
      </c>
      <c r="S243" s="361">
        <f t="shared" si="10"/>
        <v>226.22018666666671</v>
      </c>
      <c r="V243"/>
      <c r="W243"/>
    </row>
    <row r="244" spans="1:23" ht="15.75">
      <c r="A244" s="253">
        <f t="shared" si="11"/>
        <v>242</v>
      </c>
      <c r="B244" s="193" t="s">
        <v>833</v>
      </c>
      <c r="C244" s="298"/>
      <c r="D244" s="274" t="s">
        <v>2</v>
      </c>
      <c r="E244" s="279" t="s">
        <v>294</v>
      </c>
      <c r="F244" s="286">
        <v>1986</v>
      </c>
      <c r="G244" s="249" t="s">
        <v>283</v>
      </c>
      <c r="H244" s="185" t="s">
        <v>284</v>
      </c>
      <c r="I244" s="296">
        <v>52</v>
      </c>
      <c r="J244" s="295"/>
      <c r="K244" s="184">
        <v>0</v>
      </c>
      <c r="L244" s="184">
        <v>0</v>
      </c>
      <c r="M244" s="67">
        <f t="shared" si="9"/>
        <v>2.9842</v>
      </c>
      <c r="N244" s="242">
        <f>2619.75/1000</f>
        <v>2.6197499999999998</v>
      </c>
      <c r="O244" s="242">
        <f>364.45/1000</f>
        <v>0.36445</v>
      </c>
      <c r="P244" s="266"/>
      <c r="Q244" s="241" t="s">
        <v>90</v>
      </c>
      <c r="R244" s="362">
        <v>0.1414</v>
      </c>
      <c r="S244" s="361">
        <f t="shared" si="10"/>
        <v>217.45434666666668</v>
      </c>
      <c r="V244"/>
      <c r="W244"/>
    </row>
    <row r="245" spans="1:23" ht="15.75">
      <c r="A245" s="253">
        <f t="shared" si="11"/>
        <v>243</v>
      </c>
      <c r="B245" s="193" t="s">
        <v>832</v>
      </c>
      <c r="C245" s="298"/>
      <c r="D245" s="274" t="s">
        <v>2</v>
      </c>
      <c r="E245" s="279" t="s">
        <v>294</v>
      </c>
      <c r="F245" s="286">
        <v>1996</v>
      </c>
      <c r="G245" s="249" t="s">
        <v>283</v>
      </c>
      <c r="H245" s="185" t="s">
        <v>284</v>
      </c>
      <c r="I245" s="296">
        <v>28</v>
      </c>
      <c r="J245" s="295"/>
      <c r="K245" s="184">
        <v>0</v>
      </c>
      <c r="L245" s="184">
        <v>0</v>
      </c>
      <c r="M245" s="67">
        <f t="shared" si="9"/>
        <v>2.7342</v>
      </c>
      <c r="N245" s="242">
        <f>1920.19/1000</f>
        <v>1.9201900000000001</v>
      </c>
      <c r="O245" s="242">
        <f>814.01/1000</f>
        <v>0.81401000000000001</v>
      </c>
      <c r="P245" s="258"/>
      <c r="Q245" s="241" t="s">
        <v>90</v>
      </c>
      <c r="R245" s="362">
        <v>8.2500000000000004E-2</v>
      </c>
      <c r="S245" s="361">
        <f t="shared" si="10"/>
        <v>126.874</v>
      </c>
      <c r="V245"/>
      <c r="W245"/>
    </row>
    <row r="246" spans="1:23" ht="15.75">
      <c r="A246" s="253">
        <f t="shared" si="11"/>
        <v>244</v>
      </c>
      <c r="B246" s="193" t="s">
        <v>831</v>
      </c>
      <c r="C246" s="298"/>
      <c r="D246" s="274" t="s">
        <v>2</v>
      </c>
      <c r="E246" s="279" t="s">
        <v>294</v>
      </c>
      <c r="F246" s="286">
        <v>1996</v>
      </c>
      <c r="G246" s="249" t="s">
        <v>283</v>
      </c>
      <c r="H246" s="185" t="s">
        <v>284</v>
      </c>
      <c r="I246" s="296">
        <v>39</v>
      </c>
      <c r="J246" s="295"/>
      <c r="K246" s="184">
        <v>0</v>
      </c>
      <c r="L246" s="184">
        <v>0</v>
      </c>
      <c r="M246" s="67">
        <f t="shared" si="9"/>
        <v>2.69</v>
      </c>
      <c r="N246" s="242">
        <f>2077.31/1000</f>
        <v>2.0773099999999998</v>
      </c>
      <c r="O246" s="242">
        <f>612.69/1000</f>
        <v>0.61269000000000007</v>
      </c>
      <c r="P246" s="258"/>
      <c r="Q246" s="241" t="s">
        <v>90</v>
      </c>
      <c r="R246" s="362">
        <v>8.5999999999999993E-2</v>
      </c>
      <c r="S246" s="361">
        <f t="shared" si="10"/>
        <v>132.25653333333335</v>
      </c>
      <c r="V246"/>
      <c r="W246"/>
    </row>
    <row r="247" spans="1:23" ht="15.75">
      <c r="A247" s="253">
        <f t="shared" si="11"/>
        <v>245</v>
      </c>
      <c r="B247" s="193" t="s">
        <v>830</v>
      </c>
      <c r="C247" s="298"/>
      <c r="D247" s="274" t="s">
        <v>2</v>
      </c>
      <c r="E247" s="279" t="s">
        <v>294</v>
      </c>
      <c r="F247" s="286">
        <v>1995</v>
      </c>
      <c r="G247" s="249" t="s">
        <v>283</v>
      </c>
      <c r="H247" s="185" t="s">
        <v>284</v>
      </c>
      <c r="I247" s="296">
        <v>36</v>
      </c>
      <c r="J247" s="295"/>
      <c r="K247" s="184">
        <v>0</v>
      </c>
      <c r="L247" s="184">
        <v>0</v>
      </c>
      <c r="M247" s="67">
        <f t="shared" si="9"/>
        <v>5.6959999999999997</v>
      </c>
      <c r="N247" s="242">
        <f>1963.05/1000</f>
        <v>1.96305</v>
      </c>
      <c r="O247" s="242">
        <f>3732.95/1000</f>
        <v>3.7329499999999998</v>
      </c>
      <c r="P247" s="258"/>
      <c r="Q247" s="241" t="s">
        <v>90</v>
      </c>
      <c r="R247" s="362">
        <v>0.1133</v>
      </c>
      <c r="S247" s="361">
        <f t="shared" si="10"/>
        <v>174.24029333333334</v>
      </c>
      <c r="V247"/>
      <c r="W247"/>
    </row>
    <row r="248" spans="1:23" ht="15.75">
      <c r="A248" s="253">
        <f t="shared" si="11"/>
        <v>246</v>
      </c>
      <c r="B248" s="193" t="s">
        <v>829</v>
      </c>
      <c r="C248" s="298"/>
      <c r="D248" s="274" t="s">
        <v>2</v>
      </c>
      <c r="E248" s="279" t="s">
        <v>294</v>
      </c>
      <c r="F248" s="297">
        <v>1997</v>
      </c>
      <c r="G248" s="249" t="s">
        <v>283</v>
      </c>
      <c r="H248" s="185" t="s">
        <v>284</v>
      </c>
      <c r="I248" s="296">
        <v>12</v>
      </c>
      <c r="J248" s="295"/>
      <c r="K248" s="184">
        <v>0</v>
      </c>
      <c r="L248" s="184">
        <v>0</v>
      </c>
      <c r="M248" s="67">
        <f t="shared" si="9"/>
        <v>1.1625000000000001</v>
      </c>
      <c r="N248" s="242">
        <f>707.09/1000</f>
        <v>0.70709</v>
      </c>
      <c r="O248" s="242">
        <f>455.41/1000</f>
        <v>0.45541000000000004</v>
      </c>
      <c r="P248" s="258"/>
      <c r="Q248" s="241" t="s">
        <v>90</v>
      </c>
      <c r="R248" s="362">
        <v>5.33E-2</v>
      </c>
      <c r="S248" s="361">
        <f t="shared" si="10"/>
        <v>81.968293333333335</v>
      </c>
      <c r="V248"/>
      <c r="W248"/>
    </row>
    <row r="249" spans="1:23" ht="15.75">
      <c r="A249" s="253">
        <f t="shared" si="11"/>
        <v>247</v>
      </c>
      <c r="B249" s="193" t="s">
        <v>828</v>
      </c>
      <c r="C249" s="298"/>
      <c r="D249" s="274" t="s">
        <v>2</v>
      </c>
      <c r="E249" s="279" t="s">
        <v>294</v>
      </c>
      <c r="F249" s="297">
        <v>2006</v>
      </c>
      <c r="G249" s="249" t="s">
        <v>283</v>
      </c>
      <c r="H249" s="185" t="s">
        <v>284</v>
      </c>
      <c r="I249" s="296">
        <v>32</v>
      </c>
      <c r="J249" s="295"/>
      <c r="K249" s="184">
        <v>0</v>
      </c>
      <c r="L249" s="184">
        <v>0</v>
      </c>
      <c r="M249" s="67">
        <f t="shared" si="9"/>
        <v>2.286</v>
      </c>
      <c r="N249" s="242">
        <f>1834.98/1000</f>
        <v>1.8349800000000001</v>
      </c>
      <c r="O249" s="242">
        <f>451.02/1000</f>
        <v>0.45101999999999998</v>
      </c>
      <c r="P249" s="258"/>
      <c r="Q249" s="241" t="s">
        <v>90</v>
      </c>
      <c r="R249" s="362">
        <v>0.10009999999999999</v>
      </c>
      <c r="S249" s="361">
        <f t="shared" si="10"/>
        <v>153.94045333333335</v>
      </c>
      <c r="V249"/>
      <c r="W249"/>
    </row>
    <row r="250" spans="1:23" ht="15.75">
      <c r="A250" s="253">
        <f t="shared" si="11"/>
        <v>248</v>
      </c>
      <c r="B250" s="193" t="s">
        <v>827</v>
      </c>
      <c r="C250" s="298"/>
      <c r="D250" s="274" t="s">
        <v>2</v>
      </c>
      <c r="E250" s="279" t="s">
        <v>294</v>
      </c>
      <c r="F250" s="297">
        <v>2003</v>
      </c>
      <c r="G250" s="249" t="s">
        <v>283</v>
      </c>
      <c r="H250" s="185" t="s">
        <v>284</v>
      </c>
      <c r="I250" s="296">
        <v>36</v>
      </c>
      <c r="J250" s="295"/>
      <c r="K250" s="184">
        <v>0</v>
      </c>
      <c r="L250" s="184">
        <v>0</v>
      </c>
      <c r="M250" s="67">
        <f t="shared" si="9"/>
        <v>2.1307</v>
      </c>
      <c r="N250" s="242">
        <f>2130.7/1000</f>
        <v>2.1307</v>
      </c>
      <c r="O250" s="242"/>
      <c r="P250" s="258"/>
      <c r="Q250" s="241" t="s">
        <v>90</v>
      </c>
      <c r="R250" s="362">
        <v>0.10059999999999999</v>
      </c>
      <c r="S250" s="361">
        <f t="shared" si="10"/>
        <v>154.70938666666666</v>
      </c>
      <c r="V250"/>
      <c r="W250"/>
    </row>
    <row r="251" spans="1:23" ht="15.75">
      <c r="A251" s="253">
        <f t="shared" si="11"/>
        <v>249</v>
      </c>
      <c r="B251" s="252" t="s">
        <v>538</v>
      </c>
      <c r="C251" s="298"/>
      <c r="D251" s="274" t="s">
        <v>2</v>
      </c>
      <c r="E251" s="273" t="s">
        <v>294</v>
      </c>
      <c r="F251" s="270">
        <v>1980</v>
      </c>
      <c r="G251" s="259" t="s">
        <v>283</v>
      </c>
      <c r="H251" s="185" t="s">
        <v>284</v>
      </c>
      <c r="I251" s="296">
        <v>86</v>
      </c>
      <c r="J251" s="295"/>
      <c r="K251" s="184">
        <v>0</v>
      </c>
      <c r="L251" s="184">
        <v>0</v>
      </c>
      <c r="M251" s="67">
        <f t="shared" si="9"/>
        <v>5.0311599999999999</v>
      </c>
      <c r="N251" s="242">
        <f>3340.2/1000</f>
        <v>3.3401999999999998</v>
      </c>
      <c r="O251" s="242">
        <f>1690.96/1000</f>
        <v>1.69096</v>
      </c>
      <c r="P251" s="254"/>
      <c r="Q251" s="241" t="s">
        <v>90</v>
      </c>
      <c r="R251" s="362">
        <v>0.18459999999999999</v>
      </c>
      <c r="S251" s="361">
        <f t="shared" si="10"/>
        <v>283.89018666666669</v>
      </c>
      <c r="V251"/>
      <c r="W251"/>
    </row>
    <row r="252" spans="1:23" ht="15.75">
      <c r="A252" s="253">
        <f t="shared" si="11"/>
        <v>250</v>
      </c>
      <c r="B252" s="193" t="s">
        <v>826</v>
      </c>
      <c r="C252" s="298"/>
      <c r="D252" s="274" t="s">
        <v>2</v>
      </c>
      <c r="E252" s="279" t="s">
        <v>294</v>
      </c>
      <c r="F252" s="297">
        <v>1983</v>
      </c>
      <c r="G252" s="249" t="s">
        <v>283</v>
      </c>
      <c r="H252" s="185" t="s">
        <v>284</v>
      </c>
      <c r="I252" s="296">
        <v>50</v>
      </c>
      <c r="J252" s="295"/>
      <c r="K252" s="184">
        <v>0</v>
      </c>
      <c r="L252" s="184">
        <v>0</v>
      </c>
      <c r="M252" s="67">
        <f t="shared" si="9"/>
        <v>3.05267</v>
      </c>
      <c r="N252" s="242">
        <f>2078.74/1000</f>
        <v>2.0787399999999998</v>
      </c>
      <c r="O252" s="242">
        <f>973.93/1000</f>
        <v>0.97392999999999996</v>
      </c>
      <c r="P252" s="258"/>
      <c r="Q252" s="241" t="s">
        <v>90</v>
      </c>
      <c r="R252" s="362">
        <v>0.1235</v>
      </c>
      <c r="S252" s="361">
        <f t="shared" si="10"/>
        <v>189.92653333333334</v>
      </c>
      <c r="V252"/>
      <c r="W252"/>
    </row>
    <row r="253" spans="1:23" ht="15.75">
      <c r="A253" s="253">
        <f t="shared" si="11"/>
        <v>251</v>
      </c>
      <c r="B253" s="193" t="s">
        <v>825</v>
      </c>
      <c r="C253" s="298"/>
      <c r="D253" s="274" t="s">
        <v>2</v>
      </c>
      <c r="E253" s="279" t="s">
        <v>294</v>
      </c>
      <c r="F253" s="297">
        <v>1983</v>
      </c>
      <c r="G253" s="249" t="s">
        <v>283</v>
      </c>
      <c r="H253" s="185" t="s">
        <v>284</v>
      </c>
      <c r="I253" s="296">
        <v>61</v>
      </c>
      <c r="J253" s="295"/>
      <c r="K253" s="184">
        <v>0</v>
      </c>
      <c r="L253" s="184">
        <v>0</v>
      </c>
      <c r="M253" s="67">
        <f t="shared" si="9"/>
        <v>3.2004000000000001</v>
      </c>
      <c r="N253" s="242">
        <f>2574.59/1000</f>
        <v>2.5745900000000002</v>
      </c>
      <c r="O253" s="242">
        <f>625.81/1000</f>
        <v>0.62580999999999998</v>
      </c>
      <c r="P253" s="258"/>
      <c r="Q253" s="241" t="s">
        <v>90</v>
      </c>
      <c r="R253" s="362">
        <v>0.1399</v>
      </c>
      <c r="S253" s="361">
        <f t="shared" si="10"/>
        <v>215.14754666666664</v>
      </c>
      <c r="V253"/>
      <c r="W253"/>
    </row>
    <row r="254" spans="1:23" ht="15.75">
      <c r="A254" s="253">
        <f t="shared" si="11"/>
        <v>252</v>
      </c>
      <c r="B254" s="193" t="s">
        <v>824</v>
      </c>
      <c r="C254" s="298"/>
      <c r="D254" s="274" t="s">
        <v>2</v>
      </c>
      <c r="E254" s="279" t="s">
        <v>294</v>
      </c>
      <c r="F254" s="297">
        <v>1977</v>
      </c>
      <c r="G254" s="249" t="s">
        <v>283</v>
      </c>
      <c r="H254" s="185" t="s">
        <v>284</v>
      </c>
      <c r="I254" s="296">
        <v>125</v>
      </c>
      <c r="J254" s="295"/>
      <c r="K254" s="184">
        <v>0</v>
      </c>
      <c r="L254" s="184">
        <v>0</v>
      </c>
      <c r="M254" s="67">
        <f t="shared" si="9"/>
        <v>7.6438800000000002</v>
      </c>
      <c r="N254" s="242">
        <f>5944.68/1000</f>
        <v>5.94468</v>
      </c>
      <c r="O254" s="242">
        <f>1699.2/1000</f>
        <v>1.6992</v>
      </c>
      <c r="P254" s="258"/>
      <c r="Q254" s="241" t="s">
        <v>90</v>
      </c>
      <c r="R254" s="362">
        <v>0.30120000000000002</v>
      </c>
      <c r="S254" s="361">
        <f t="shared" si="10"/>
        <v>463.20544000000001</v>
      </c>
      <c r="V254"/>
      <c r="W254"/>
    </row>
    <row r="255" spans="1:23" ht="15.75">
      <c r="A255" s="253">
        <f t="shared" si="11"/>
        <v>253</v>
      </c>
      <c r="B255" s="193" t="s">
        <v>823</v>
      </c>
      <c r="C255" s="303"/>
      <c r="D255" s="274" t="s">
        <v>2</v>
      </c>
      <c r="E255" s="279" t="s">
        <v>294</v>
      </c>
      <c r="F255" s="297">
        <v>1977</v>
      </c>
      <c r="G255" s="249" t="s">
        <v>283</v>
      </c>
      <c r="H255" s="185" t="s">
        <v>284</v>
      </c>
      <c r="I255" s="197">
        <v>1</v>
      </c>
      <c r="J255" s="295"/>
      <c r="K255" s="184">
        <v>0</v>
      </c>
      <c r="L255" s="184">
        <v>0</v>
      </c>
      <c r="M255" s="67">
        <f t="shared" si="9"/>
        <v>0.10199999999999999</v>
      </c>
      <c r="N255" s="242">
        <f>102/1000</f>
        <v>0.10199999999999999</v>
      </c>
      <c r="O255" s="242"/>
      <c r="P255" s="302"/>
      <c r="Q255" s="241" t="s">
        <v>90</v>
      </c>
      <c r="R255" s="362">
        <v>6.6E-3</v>
      </c>
      <c r="S255" s="361">
        <f t="shared" si="10"/>
        <v>10.149919999999998</v>
      </c>
      <c r="V255"/>
      <c r="W255"/>
    </row>
    <row r="256" spans="1:23" ht="15.75">
      <c r="A256" s="253">
        <f t="shared" si="11"/>
        <v>254</v>
      </c>
      <c r="B256" s="252" t="s">
        <v>534</v>
      </c>
      <c r="C256" s="298"/>
      <c r="D256" s="274" t="s">
        <v>2</v>
      </c>
      <c r="E256" s="273" t="s">
        <v>294</v>
      </c>
      <c r="F256" s="270">
        <v>1974</v>
      </c>
      <c r="G256" s="259" t="s">
        <v>283</v>
      </c>
      <c r="H256" s="185" t="s">
        <v>284</v>
      </c>
      <c r="I256" s="296">
        <v>79</v>
      </c>
      <c r="J256" s="295"/>
      <c r="K256" s="184">
        <v>0</v>
      </c>
      <c r="L256" s="184">
        <v>0</v>
      </c>
      <c r="M256" s="67">
        <f t="shared" si="9"/>
        <v>4.4173499999999999</v>
      </c>
      <c r="N256" s="242">
        <f>3187.51/1000</f>
        <v>3.1875100000000001</v>
      </c>
      <c r="O256" s="242">
        <f>1229.84/1000</f>
        <v>1.2298399999999998</v>
      </c>
      <c r="P256" s="301"/>
      <c r="Q256" s="241" t="s">
        <v>90</v>
      </c>
      <c r="R256" s="362">
        <v>0.16489999999999999</v>
      </c>
      <c r="S256" s="361">
        <f t="shared" si="10"/>
        <v>253.59421333333333</v>
      </c>
      <c r="V256"/>
      <c r="W256"/>
    </row>
    <row r="257" spans="1:23" ht="15.75">
      <c r="A257" s="253">
        <f t="shared" si="11"/>
        <v>255</v>
      </c>
      <c r="B257" s="193" t="s">
        <v>822</v>
      </c>
      <c r="C257" s="298"/>
      <c r="D257" s="274" t="s">
        <v>2</v>
      </c>
      <c r="E257" s="279" t="s">
        <v>294</v>
      </c>
      <c r="F257" s="297">
        <v>1976</v>
      </c>
      <c r="G257" s="249" t="s">
        <v>283</v>
      </c>
      <c r="H257" s="185" t="s">
        <v>284</v>
      </c>
      <c r="I257" s="296">
        <v>56</v>
      </c>
      <c r="J257" s="295"/>
      <c r="K257" s="184">
        <v>0</v>
      </c>
      <c r="L257" s="184">
        <v>0</v>
      </c>
      <c r="M257" s="67">
        <f t="shared" si="9"/>
        <v>4.4472100000000001</v>
      </c>
      <c r="N257" s="242">
        <f>2045.13/1000</f>
        <v>2.0451299999999999</v>
      </c>
      <c r="O257" s="242">
        <f>2402.08/1000</f>
        <v>2.4020799999999998</v>
      </c>
      <c r="P257" s="258"/>
      <c r="Q257" s="241" t="s">
        <v>90</v>
      </c>
      <c r="R257" s="362">
        <v>0.12740000000000001</v>
      </c>
      <c r="S257" s="361">
        <f t="shared" si="10"/>
        <v>195.92421333333334</v>
      </c>
      <c r="V257"/>
      <c r="W257"/>
    </row>
    <row r="258" spans="1:23" ht="15.75">
      <c r="A258" s="253">
        <f t="shared" si="11"/>
        <v>256</v>
      </c>
      <c r="B258" s="193" t="s">
        <v>821</v>
      </c>
      <c r="C258" s="298"/>
      <c r="D258" s="274" t="s">
        <v>2</v>
      </c>
      <c r="E258" s="279" t="s">
        <v>294</v>
      </c>
      <c r="F258" s="297">
        <v>1975</v>
      </c>
      <c r="G258" s="249" t="s">
        <v>283</v>
      </c>
      <c r="H258" s="185" t="s">
        <v>284</v>
      </c>
      <c r="I258" s="296">
        <v>95</v>
      </c>
      <c r="J258" s="295"/>
      <c r="K258" s="184">
        <v>0</v>
      </c>
      <c r="L258" s="184">
        <v>0</v>
      </c>
      <c r="M258" s="67">
        <f t="shared" si="9"/>
        <v>4.47912</v>
      </c>
      <c r="N258" s="242">
        <f>4132.18/1000</f>
        <v>4.13218</v>
      </c>
      <c r="O258" s="242">
        <f>346.94/1000</f>
        <v>0.34693999999999997</v>
      </c>
      <c r="P258" s="258"/>
      <c r="Q258" s="241" t="s">
        <v>90</v>
      </c>
      <c r="R258" s="362">
        <v>0.189</v>
      </c>
      <c r="S258" s="361">
        <f t="shared" si="10"/>
        <v>290.65679999999998</v>
      </c>
      <c r="V258"/>
      <c r="W258"/>
    </row>
    <row r="259" spans="1:23" ht="15.75">
      <c r="A259" s="253">
        <f t="shared" si="11"/>
        <v>257</v>
      </c>
      <c r="B259" s="193" t="s">
        <v>820</v>
      </c>
      <c r="C259" s="298"/>
      <c r="D259" s="274" t="s">
        <v>2</v>
      </c>
      <c r="E259" s="279" t="s">
        <v>294</v>
      </c>
      <c r="F259" s="297">
        <v>1976</v>
      </c>
      <c r="G259" s="249" t="s">
        <v>283</v>
      </c>
      <c r="H259" s="185" t="s">
        <v>284</v>
      </c>
      <c r="I259" s="296">
        <v>123</v>
      </c>
      <c r="J259" s="295"/>
      <c r="K259" s="184">
        <v>0</v>
      </c>
      <c r="L259" s="184">
        <v>0</v>
      </c>
      <c r="M259" s="67">
        <f t="shared" ref="M259:M322" si="12">N259+O259+P259</f>
        <v>7.2891200000000005</v>
      </c>
      <c r="N259" s="242">
        <f>5925.47/1000</f>
        <v>5.9254700000000007</v>
      </c>
      <c r="O259" s="242">
        <f>1363.65/1000</f>
        <v>1.36365</v>
      </c>
      <c r="P259" s="258"/>
      <c r="Q259" s="241" t="s">
        <v>90</v>
      </c>
      <c r="R259" s="365">
        <v>0.32600000000000001</v>
      </c>
      <c r="S259" s="361">
        <f t="shared" ref="S259:S322" si="13">R259*24*158*((18-3.4)/36)</f>
        <v>501.34453333333335</v>
      </c>
      <c r="V259"/>
      <c r="W259"/>
    </row>
    <row r="260" spans="1:23" ht="15.75">
      <c r="A260" s="253">
        <f t="shared" ref="A260:A323" si="14">A259+1</f>
        <v>258</v>
      </c>
      <c r="B260" s="193" t="s">
        <v>819</v>
      </c>
      <c r="C260" s="298"/>
      <c r="D260" s="274" t="s">
        <v>2</v>
      </c>
      <c r="E260" s="279" t="s">
        <v>294</v>
      </c>
      <c r="F260" s="297">
        <v>1978</v>
      </c>
      <c r="G260" s="249" t="s">
        <v>283</v>
      </c>
      <c r="H260" s="185" t="s">
        <v>284</v>
      </c>
      <c r="I260" s="296">
        <v>70</v>
      </c>
      <c r="J260" s="295"/>
      <c r="K260" s="184">
        <v>0</v>
      </c>
      <c r="L260" s="184">
        <v>0</v>
      </c>
      <c r="M260" s="67">
        <f t="shared" si="12"/>
        <v>5.4148800000000001</v>
      </c>
      <c r="N260" s="242">
        <f>3146.48/1000</f>
        <v>3.1464799999999999</v>
      </c>
      <c r="O260" s="242">
        <f>2268.4/1000</f>
        <v>2.2684000000000002</v>
      </c>
      <c r="P260" s="258"/>
      <c r="Q260" s="241" t="s">
        <v>90</v>
      </c>
      <c r="R260" s="365">
        <v>0.19620000000000001</v>
      </c>
      <c r="S260" s="361">
        <f t="shared" si="13"/>
        <v>301.72944000000001</v>
      </c>
      <c r="V260"/>
      <c r="W260"/>
    </row>
    <row r="261" spans="1:23" ht="15.75">
      <c r="A261" s="253">
        <f t="shared" si="14"/>
        <v>259</v>
      </c>
      <c r="B261" s="193" t="s">
        <v>818</v>
      </c>
      <c r="C261" s="298"/>
      <c r="D261" s="274" t="s">
        <v>2</v>
      </c>
      <c r="E261" s="279" t="s">
        <v>294</v>
      </c>
      <c r="F261" s="297">
        <v>1977</v>
      </c>
      <c r="G261" s="249" t="s">
        <v>283</v>
      </c>
      <c r="H261" s="185" t="s">
        <v>284</v>
      </c>
      <c r="I261" s="296">
        <v>63</v>
      </c>
      <c r="J261" s="295"/>
      <c r="K261" s="184">
        <v>0</v>
      </c>
      <c r="L261" s="184">
        <v>0</v>
      </c>
      <c r="M261" s="67">
        <f t="shared" si="12"/>
        <v>3.7124499999999996</v>
      </c>
      <c r="N261" s="242">
        <f>3071.41/1000</f>
        <v>3.0714099999999998</v>
      </c>
      <c r="O261" s="242">
        <f>641.04/1000</f>
        <v>0.64103999999999994</v>
      </c>
      <c r="P261" s="258"/>
      <c r="Q261" s="241" t="s">
        <v>90</v>
      </c>
      <c r="R261" s="362">
        <v>0.15720000000000001</v>
      </c>
      <c r="S261" s="361">
        <f t="shared" si="13"/>
        <v>241.75263999999999</v>
      </c>
      <c r="V261"/>
      <c r="W261"/>
    </row>
    <row r="262" spans="1:23" ht="15.75">
      <c r="A262" s="253">
        <f t="shared" si="14"/>
        <v>260</v>
      </c>
      <c r="B262" s="193" t="s">
        <v>817</v>
      </c>
      <c r="C262" s="298"/>
      <c r="D262" s="274" t="s">
        <v>2</v>
      </c>
      <c r="E262" s="279" t="s">
        <v>294</v>
      </c>
      <c r="F262" s="286">
        <v>1978</v>
      </c>
      <c r="G262" s="249" t="s">
        <v>283</v>
      </c>
      <c r="H262" s="185" t="s">
        <v>284</v>
      </c>
      <c r="I262" s="296">
        <v>78</v>
      </c>
      <c r="J262" s="295"/>
      <c r="K262" s="184">
        <v>0</v>
      </c>
      <c r="L262" s="184">
        <v>0</v>
      </c>
      <c r="M262" s="67">
        <f t="shared" si="12"/>
        <v>4.7509500000000005</v>
      </c>
      <c r="N262" s="242">
        <f>4049.07/1000</f>
        <v>4.0490700000000004</v>
      </c>
      <c r="O262" s="242">
        <f>701.88/1000</f>
        <v>0.70187999999999995</v>
      </c>
      <c r="P262" s="258"/>
      <c r="Q262" s="241" t="s">
        <v>90</v>
      </c>
      <c r="R262" s="362">
        <v>0.18099999999999999</v>
      </c>
      <c r="S262" s="361">
        <f t="shared" si="13"/>
        <v>278.35386666666659</v>
      </c>
      <c r="V262"/>
      <c r="W262"/>
    </row>
    <row r="263" spans="1:23" ht="15.75">
      <c r="A263" s="253">
        <f t="shared" si="14"/>
        <v>261</v>
      </c>
      <c r="B263" s="193" t="s">
        <v>816</v>
      </c>
      <c r="C263" s="298"/>
      <c r="D263" s="274" t="s">
        <v>2</v>
      </c>
      <c r="E263" s="279" t="s">
        <v>294</v>
      </c>
      <c r="F263" s="286">
        <v>1981</v>
      </c>
      <c r="G263" s="249" t="s">
        <v>283</v>
      </c>
      <c r="H263" s="185" t="s">
        <v>284</v>
      </c>
      <c r="I263" s="296">
        <v>124</v>
      </c>
      <c r="J263" s="295"/>
      <c r="K263" s="184">
        <v>0</v>
      </c>
      <c r="L263" s="184">
        <v>0</v>
      </c>
      <c r="M263" s="67">
        <f t="shared" si="12"/>
        <v>4.2338000000000005</v>
      </c>
      <c r="N263" s="242">
        <f>3101.09/1000</f>
        <v>3.1010900000000001</v>
      </c>
      <c r="O263" s="242">
        <f>1132.71/1000</f>
        <v>1.1327100000000001</v>
      </c>
      <c r="P263" s="258"/>
      <c r="Q263" s="241" t="s">
        <v>90</v>
      </c>
      <c r="R263" s="362">
        <v>0.16159999999999999</v>
      </c>
      <c r="S263" s="361">
        <f t="shared" si="13"/>
        <v>248.51925333333332</v>
      </c>
      <c r="V263"/>
      <c r="W263"/>
    </row>
    <row r="264" spans="1:23" ht="15.75">
      <c r="A264" s="253">
        <f t="shared" si="14"/>
        <v>262</v>
      </c>
      <c r="B264" s="193" t="s">
        <v>815</v>
      </c>
      <c r="C264" s="298"/>
      <c r="D264" s="274" t="s">
        <v>2</v>
      </c>
      <c r="E264" s="279" t="s">
        <v>294</v>
      </c>
      <c r="F264" s="286">
        <v>1981</v>
      </c>
      <c r="G264" s="249" t="s">
        <v>283</v>
      </c>
      <c r="H264" s="185" t="s">
        <v>284</v>
      </c>
      <c r="I264" s="296">
        <v>78</v>
      </c>
      <c r="J264" s="295"/>
      <c r="K264" s="184">
        <v>0</v>
      </c>
      <c r="L264" s="184">
        <v>0</v>
      </c>
      <c r="M264" s="67">
        <f t="shared" si="12"/>
        <v>4.1871</v>
      </c>
      <c r="N264" s="242">
        <f>1875.49/1000</f>
        <v>1.8754900000000001</v>
      </c>
      <c r="O264" s="242">
        <f>2311.61/1000</f>
        <v>2.3116099999999999</v>
      </c>
      <c r="P264" s="258"/>
      <c r="Q264" s="241" t="s">
        <v>90</v>
      </c>
      <c r="R264" s="362">
        <v>0.1085</v>
      </c>
      <c r="S264" s="361">
        <f t="shared" si="13"/>
        <v>166.85853333333336</v>
      </c>
      <c r="V264"/>
      <c r="W264"/>
    </row>
    <row r="265" spans="1:23" ht="15.75">
      <c r="A265" s="253">
        <f t="shared" si="14"/>
        <v>263</v>
      </c>
      <c r="B265" s="193" t="s">
        <v>814</v>
      </c>
      <c r="C265" s="298"/>
      <c r="D265" s="274" t="s">
        <v>2</v>
      </c>
      <c r="E265" s="279" t="s">
        <v>294</v>
      </c>
      <c r="F265" s="297">
        <v>1980</v>
      </c>
      <c r="G265" s="249" t="s">
        <v>283</v>
      </c>
      <c r="H265" s="185" t="s">
        <v>284</v>
      </c>
      <c r="I265" s="296">
        <v>94</v>
      </c>
      <c r="J265" s="295"/>
      <c r="K265" s="184">
        <v>0</v>
      </c>
      <c r="L265" s="184">
        <v>0</v>
      </c>
      <c r="M265" s="67">
        <f t="shared" si="12"/>
        <v>5.38436</v>
      </c>
      <c r="N265" s="242">
        <f>4631.12/1000</f>
        <v>4.6311200000000001</v>
      </c>
      <c r="O265" s="242">
        <f>753.24/1000</f>
        <v>0.75324000000000002</v>
      </c>
      <c r="P265" s="258"/>
      <c r="Q265" s="241" t="s">
        <v>90</v>
      </c>
      <c r="R265" s="362">
        <v>0.25130000000000002</v>
      </c>
      <c r="S265" s="361">
        <f t="shared" si="13"/>
        <v>386.46589333333338</v>
      </c>
      <c r="V265"/>
      <c r="W265"/>
    </row>
    <row r="266" spans="1:23" ht="15.75">
      <c r="A266" s="253">
        <f t="shared" si="14"/>
        <v>264</v>
      </c>
      <c r="B266" s="193" t="s">
        <v>813</v>
      </c>
      <c r="C266" s="298"/>
      <c r="D266" s="274" t="s">
        <v>2</v>
      </c>
      <c r="E266" s="279" t="s">
        <v>294</v>
      </c>
      <c r="F266" s="297">
        <v>1982</v>
      </c>
      <c r="G266" s="249" t="s">
        <v>283</v>
      </c>
      <c r="H266" s="185" t="s">
        <v>284</v>
      </c>
      <c r="I266" s="296">
        <v>83</v>
      </c>
      <c r="J266" s="295"/>
      <c r="K266" s="184">
        <v>0</v>
      </c>
      <c r="L266" s="184">
        <v>0</v>
      </c>
      <c r="M266" s="67">
        <f t="shared" si="12"/>
        <v>4.3812499999999996</v>
      </c>
      <c r="N266" s="242">
        <f>3990.7/1000</f>
        <v>3.9906999999999999</v>
      </c>
      <c r="O266" s="242">
        <f>390.55/1000</f>
        <v>0.39055000000000001</v>
      </c>
      <c r="P266" s="258"/>
      <c r="Q266" s="241" t="s">
        <v>90</v>
      </c>
      <c r="R266" s="362">
        <v>0.16569999999999999</v>
      </c>
      <c r="S266" s="361">
        <f t="shared" si="13"/>
        <v>254.82450666666665</v>
      </c>
      <c r="V266"/>
      <c r="W266"/>
    </row>
    <row r="267" spans="1:23" ht="15.75">
      <c r="A267" s="253">
        <f t="shared" si="14"/>
        <v>265</v>
      </c>
      <c r="B267" s="193" t="s">
        <v>812</v>
      </c>
      <c r="C267" s="298"/>
      <c r="D267" s="274" t="s">
        <v>2</v>
      </c>
      <c r="E267" s="279" t="s">
        <v>294</v>
      </c>
      <c r="F267" s="286">
        <v>1998</v>
      </c>
      <c r="G267" s="249" t="s">
        <v>283</v>
      </c>
      <c r="H267" s="185" t="s">
        <v>284</v>
      </c>
      <c r="I267" s="296">
        <v>34</v>
      </c>
      <c r="J267" s="295"/>
      <c r="K267" s="184">
        <v>0</v>
      </c>
      <c r="L267" s="184">
        <v>0</v>
      </c>
      <c r="M267" s="67">
        <f t="shared" si="12"/>
        <v>2.5427000000000004</v>
      </c>
      <c r="N267" s="242">
        <f>2157.8/1000</f>
        <v>2.1578000000000004</v>
      </c>
      <c r="O267" s="242">
        <f>384.9/1000</f>
        <v>0.38489999999999996</v>
      </c>
      <c r="P267" s="258"/>
      <c r="Q267" s="241" t="s">
        <v>90</v>
      </c>
      <c r="R267" s="362">
        <v>0.12520000000000001</v>
      </c>
      <c r="S267" s="361">
        <f t="shared" si="13"/>
        <v>192.5409066666667</v>
      </c>
      <c r="V267"/>
      <c r="W267"/>
    </row>
    <row r="268" spans="1:23" ht="15.75">
      <c r="A268" s="253">
        <f t="shared" si="14"/>
        <v>266</v>
      </c>
      <c r="B268" s="193" t="s">
        <v>811</v>
      </c>
      <c r="C268" s="298"/>
      <c r="D268" s="274" t="s">
        <v>2</v>
      </c>
      <c r="E268" s="279" t="s">
        <v>294</v>
      </c>
      <c r="F268" s="286">
        <v>1996</v>
      </c>
      <c r="G268" s="249" t="s">
        <v>283</v>
      </c>
      <c r="H268" s="185" t="s">
        <v>284</v>
      </c>
      <c r="I268" s="296">
        <v>90</v>
      </c>
      <c r="J268" s="295"/>
      <c r="K268" s="184">
        <v>0</v>
      </c>
      <c r="L268" s="184">
        <v>0</v>
      </c>
      <c r="M268" s="67">
        <f t="shared" si="12"/>
        <v>7.1017000000000001</v>
      </c>
      <c r="N268" s="242">
        <f>4885.27/1000</f>
        <v>4.8852700000000002</v>
      </c>
      <c r="O268" s="242">
        <f>2216.43/1000</f>
        <v>2.2164299999999999</v>
      </c>
      <c r="P268" s="266"/>
      <c r="Q268" s="241" t="s">
        <v>90</v>
      </c>
      <c r="R268" s="362">
        <v>0.25600000000000001</v>
      </c>
      <c r="S268" s="361">
        <f t="shared" si="13"/>
        <v>393.69386666666668</v>
      </c>
      <c r="V268"/>
      <c r="W268"/>
    </row>
    <row r="269" spans="1:23" ht="15.75">
      <c r="A269" s="253">
        <f t="shared" si="14"/>
        <v>267</v>
      </c>
      <c r="B269" s="193" t="s">
        <v>810</v>
      </c>
      <c r="C269" s="298"/>
      <c r="D269" s="274" t="s">
        <v>2</v>
      </c>
      <c r="E269" s="279" t="s">
        <v>294</v>
      </c>
      <c r="F269" s="297">
        <v>1992</v>
      </c>
      <c r="G269" s="249" t="s">
        <v>283</v>
      </c>
      <c r="H269" s="185" t="s">
        <v>284</v>
      </c>
      <c r="I269" s="296">
        <v>92</v>
      </c>
      <c r="J269" s="295"/>
      <c r="K269" s="184">
        <v>0</v>
      </c>
      <c r="L269" s="184">
        <v>0</v>
      </c>
      <c r="M269" s="67">
        <f t="shared" si="12"/>
        <v>5.9478100000000005</v>
      </c>
      <c r="N269" s="242">
        <f>4960.35/1000</f>
        <v>4.96035</v>
      </c>
      <c r="O269" s="242">
        <f>987.46/1000</f>
        <v>0.98746</v>
      </c>
      <c r="P269" s="258"/>
      <c r="Q269" s="241" t="s">
        <v>90</v>
      </c>
      <c r="R269" s="362">
        <v>0.1918</v>
      </c>
      <c r="S269" s="361">
        <f t="shared" si="13"/>
        <v>294.96282666666667</v>
      </c>
      <c r="V269"/>
      <c r="W269"/>
    </row>
    <row r="270" spans="1:23" ht="15.75">
      <c r="A270" s="253">
        <f t="shared" si="14"/>
        <v>268</v>
      </c>
      <c r="B270" s="193" t="s">
        <v>809</v>
      </c>
      <c r="C270" s="298"/>
      <c r="D270" s="274" t="s">
        <v>2</v>
      </c>
      <c r="E270" s="279" t="s">
        <v>294</v>
      </c>
      <c r="F270" s="297">
        <v>1996</v>
      </c>
      <c r="G270" s="249" t="s">
        <v>283</v>
      </c>
      <c r="H270" s="185" t="s">
        <v>284</v>
      </c>
      <c r="I270" s="296">
        <v>23</v>
      </c>
      <c r="J270" s="295"/>
      <c r="K270" s="184">
        <v>0</v>
      </c>
      <c r="L270" s="184">
        <v>0</v>
      </c>
      <c r="M270" s="67">
        <f t="shared" si="12"/>
        <v>1.2557800000000001</v>
      </c>
      <c r="N270" s="242">
        <f>782.23/1000</f>
        <v>0.78222999999999998</v>
      </c>
      <c r="O270" s="242">
        <f>473.55/1000</f>
        <v>0.47355000000000003</v>
      </c>
      <c r="P270" s="258"/>
      <c r="Q270" s="241" t="s">
        <v>90</v>
      </c>
      <c r="R270" s="362">
        <v>5.2499999999999998E-2</v>
      </c>
      <c r="S270" s="361">
        <f t="shared" si="13"/>
        <v>80.738</v>
      </c>
      <c r="V270"/>
      <c r="W270"/>
    </row>
    <row r="271" spans="1:23" ht="15.75">
      <c r="A271" s="253">
        <f t="shared" si="14"/>
        <v>269</v>
      </c>
      <c r="B271" s="193" t="s">
        <v>808</v>
      </c>
      <c r="C271" s="298"/>
      <c r="D271" s="274" t="s">
        <v>2</v>
      </c>
      <c r="E271" s="279" t="s">
        <v>294</v>
      </c>
      <c r="F271" s="297">
        <v>1996</v>
      </c>
      <c r="G271" s="249" t="s">
        <v>283</v>
      </c>
      <c r="H271" s="185" t="s">
        <v>284</v>
      </c>
      <c r="I271" s="296">
        <v>24</v>
      </c>
      <c r="J271" s="295"/>
      <c r="K271" s="184">
        <v>0</v>
      </c>
      <c r="L271" s="184">
        <v>0</v>
      </c>
      <c r="M271" s="67">
        <f t="shared" si="12"/>
        <v>1.2149000000000001</v>
      </c>
      <c r="N271" s="242">
        <f>851.56/1000</f>
        <v>0.85155999999999998</v>
      </c>
      <c r="O271" s="242">
        <f>363.34/1000</f>
        <v>0.36334</v>
      </c>
      <c r="P271" s="258"/>
      <c r="Q271" s="241" t="s">
        <v>90</v>
      </c>
      <c r="R271" s="362">
        <v>4.8599999999999997E-2</v>
      </c>
      <c r="S271" s="361">
        <f t="shared" si="13"/>
        <v>74.740319999999997</v>
      </c>
      <c r="V271"/>
      <c r="W271"/>
    </row>
    <row r="272" spans="1:23" ht="15.75">
      <c r="A272" s="253">
        <f t="shared" si="14"/>
        <v>270</v>
      </c>
      <c r="B272" s="193" t="s">
        <v>496</v>
      </c>
      <c r="C272" s="298"/>
      <c r="D272" s="274" t="s">
        <v>2</v>
      </c>
      <c r="E272" s="279" t="s">
        <v>294</v>
      </c>
      <c r="F272" s="297">
        <v>1987</v>
      </c>
      <c r="G272" s="249" t="s">
        <v>283</v>
      </c>
      <c r="H272" s="185" t="s">
        <v>284</v>
      </c>
      <c r="I272" s="296">
        <v>16</v>
      </c>
      <c r="J272" s="295"/>
      <c r="K272" s="184">
        <v>0</v>
      </c>
      <c r="L272" s="184">
        <v>0</v>
      </c>
      <c r="M272" s="67">
        <f t="shared" si="12"/>
        <v>1.1491</v>
      </c>
      <c r="N272" s="242">
        <f>710.08/1000</f>
        <v>0.71008000000000004</v>
      </c>
      <c r="O272" s="242">
        <f>439.02/1000</f>
        <v>0.43901999999999997</v>
      </c>
      <c r="P272" s="301"/>
      <c r="Q272" s="241" t="s">
        <v>90</v>
      </c>
      <c r="R272" s="362">
        <v>4.7899999999999998E-2</v>
      </c>
      <c r="S272" s="361">
        <f t="shared" si="13"/>
        <v>73.663813333333337</v>
      </c>
      <c r="V272"/>
      <c r="W272"/>
    </row>
    <row r="273" spans="1:23" ht="15.75">
      <c r="A273" s="253">
        <f t="shared" si="14"/>
        <v>271</v>
      </c>
      <c r="B273" s="193" t="s">
        <v>807</v>
      </c>
      <c r="C273" s="298"/>
      <c r="D273" s="274" t="s">
        <v>2</v>
      </c>
      <c r="E273" s="279" t="s">
        <v>294</v>
      </c>
      <c r="F273" s="297">
        <v>1987</v>
      </c>
      <c r="G273" s="249" t="s">
        <v>283</v>
      </c>
      <c r="H273" s="185" t="s">
        <v>284</v>
      </c>
      <c r="I273" s="296">
        <v>20</v>
      </c>
      <c r="J273" s="295"/>
      <c r="K273" s="184">
        <v>0</v>
      </c>
      <c r="L273" s="184">
        <v>0</v>
      </c>
      <c r="M273" s="67">
        <f t="shared" si="12"/>
        <v>1.4053</v>
      </c>
      <c r="N273" s="242">
        <f>970.4/1000</f>
        <v>0.97039999999999993</v>
      </c>
      <c r="O273" s="242">
        <f>434.9/1000</f>
        <v>0.43489999999999995</v>
      </c>
      <c r="P273" s="258"/>
      <c r="Q273" s="241" t="s">
        <v>90</v>
      </c>
      <c r="R273" s="362">
        <v>4.9500000000000002E-2</v>
      </c>
      <c r="S273" s="361">
        <f t="shared" si="13"/>
        <v>76.124400000000009</v>
      </c>
      <c r="V273"/>
      <c r="W273"/>
    </row>
    <row r="274" spans="1:23" ht="15.75">
      <c r="A274" s="253">
        <f t="shared" si="14"/>
        <v>272</v>
      </c>
      <c r="B274" s="193" t="s">
        <v>806</v>
      </c>
      <c r="C274" s="298"/>
      <c r="D274" s="274" t="s">
        <v>2</v>
      </c>
      <c r="E274" s="279" t="s">
        <v>294</v>
      </c>
      <c r="F274" s="297">
        <v>1987</v>
      </c>
      <c r="G274" s="249" t="s">
        <v>283</v>
      </c>
      <c r="H274" s="185" t="s">
        <v>284</v>
      </c>
      <c r="I274" s="296">
        <v>24</v>
      </c>
      <c r="J274" s="295"/>
      <c r="K274" s="184">
        <v>0</v>
      </c>
      <c r="L274" s="184">
        <v>0</v>
      </c>
      <c r="M274" s="67">
        <f t="shared" si="12"/>
        <v>1.4133300000000002</v>
      </c>
      <c r="N274" s="242">
        <f>1072.17/1000</f>
        <v>1.0721700000000001</v>
      </c>
      <c r="O274" s="242">
        <f>341.16/1000</f>
        <v>0.34116000000000002</v>
      </c>
      <c r="P274" s="258"/>
      <c r="Q274" s="241" t="s">
        <v>90</v>
      </c>
      <c r="R274" s="362">
        <v>5.3100000000000001E-2</v>
      </c>
      <c r="S274" s="361">
        <f t="shared" si="13"/>
        <v>81.660719999999998</v>
      </c>
      <c r="V274"/>
      <c r="W274"/>
    </row>
    <row r="275" spans="1:23" ht="15.75">
      <c r="A275" s="253">
        <f t="shared" si="14"/>
        <v>273</v>
      </c>
      <c r="B275" s="193" t="s">
        <v>495</v>
      </c>
      <c r="C275" s="298"/>
      <c r="D275" s="274" t="s">
        <v>2</v>
      </c>
      <c r="E275" s="279" t="s">
        <v>294</v>
      </c>
      <c r="F275" s="297">
        <v>1987</v>
      </c>
      <c r="G275" s="249" t="s">
        <v>283</v>
      </c>
      <c r="H275" s="185" t="s">
        <v>284</v>
      </c>
      <c r="I275" s="296">
        <v>20</v>
      </c>
      <c r="J275" s="295"/>
      <c r="K275" s="184">
        <v>0</v>
      </c>
      <c r="L275" s="184">
        <v>0</v>
      </c>
      <c r="M275" s="67">
        <f t="shared" si="12"/>
        <v>1.1632</v>
      </c>
      <c r="N275" s="242">
        <f>914.91/1000</f>
        <v>0.91491</v>
      </c>
      <c r="O275" s="242">
        <f>248.29/1000</f>
        <v>0.24828999999999998</v>
      </c>
      <c r="P275" s="258"/>
      <c r="Q275" s="241" t="s">
        <v>90</v>
      </c>
      <c r="R275" s="362">
        <v>5.1900000000000002E-2</v>
      </c>
      <c r="S275" s="361">
        <f t="shared" si="13"/>
        <v>79.815280000000001</v>
      </c>
      <c r="V275"/>
      <c r="W275"/>
    </row>
    <row r="276" spans="1:23" ht="15.75">
      <c r="A276" s="253">
        <f t="shared" si="14"/>
        <v>274</v>
      </c>
      <c r="B276" s="193" t="s">
        <v>805</v>
      </c>
      <c r="C276" s="298"/>
      <c r="D276" s="274" t="s">
        <v>2</v>
      </c>
      <c r="E276" s="279" t="s">
        <v>294</v>
      </c>
      <c r="F276" s="286">
        <v>1986</v>
      </c>
      <c r="G276" s="249" t="s">
        <v>283</v>
      </c>
      <c r="H276" s="185" t="s">
        <v>284</v>
      </c>
      <c r="I276" s="296">
        <v>21</v>
      </c>
      <c r="J276" s="295"/>
      <c r="K276" s="184">
        <v>0</v>
      </c>
      <c r="L276" s="184">
        <v>0</v>
      </c>
      <c r="M276" s="67">
        <f t="shared" si="12"/>
        <v>1.4045999999999998</v>
      </c>
      <c r="N276" s="242">
        <f>839.82/1000</f>
        <v>0.83982000000000001</v>
      </c>
      <c r="O276" s="242">
        <f>564.78/1000</f>
        <v>0.56477999999999995</v>
      </c>
      <c r="P276" s="258"/>
      <c r="Q276" s="241" t="s">
        <v>90</v>
      </c>
      <c r="R276" s="362">
        <v>5.9700000000000003E-2</v>
      </c>
      <c r="S276" s="361">
        <f t="shared" si="13"/>
        <v>91.810640000000006</v>
      </c>
      <c r="V276"/>
      <c r="W276"/>
    </row>
    <row r="277" spans="1:23" ht="15.75">
      <c r="A277" s="253">
        <f t="shared" si="14"/>
        <v>275</v>
      </c>
      <c r="B277" s="193" t="s">
        <v>804</v>
      </c>
      <c r="C277" s="298"/>
      <c r="D277" s="274" t="s">
        <v>2</v>
      </c>
      <c r="E277" s="279" t="s">
        <v>294</v>
      </c>
      <c r="F277" s="286">
        <v>1986</v>
      </c>
      <c r="G277" s="249" t="s">
        <v>283</v>
      </c>
      <c r="H277" s="185" t="s">
        <v>284</v>
      </c>
      <c r="I277" s="296">
        <v>22</v>
      </c>
      <c r="J277" s="295"/>
      <c r="K277" s="184">
        <v>0</v>
      </c>
      <c r="L277" s="184">
        <v>0</v>
      </c>
      <c r="M277" s="67">
        <f t="shared" si="12"/>
        <v>1.4175</v>
      </c>
      <c r="N277" s="242">
        <f>1065.9/1000</f>
        <v>1.0659000000000001</v>
      </c>
      <c r="O277" s="242">
        <f>351.6/1000</f>
        <v>0.35160000000000002</v>
      </c>
      <c r="P277" s="258"/>
      <c r="Q277" s="241" t="s">
        <v>90</v>
      </c>
      <c r="R277" s="362">
        <v>5.8700000000000002E-2</v>
      </c>
      <c r="S277" s="361">
        <f t="shared" si="13"/>
        <v>90.272773333333348</v>
      </c>
      <c r="V277"/>
      <c r="W277"/>
    </row>
    <row r="278" spans="1:23" ht="15.75">
      <c r="A278" s="253">
        <f t="shared" si="14"/>
        <v>276</v>
      </c>
      <c r="B278" s="193" t="s">
        <v>803</v>
      </c>
      <c r="C278" s="298"/>
      <c r="D278" s="274" t="s">
        <v>2</v>
      </c>
      <c r="E278" s="279" t="s">
        <v>294</v>
      </c>
      <c r="F278" s="286">
        <v>1986</v>
      </c>
      <c r="G278" s="249" t="s">
        <v>283</v>
      </c>
      <c r="H278" s="185" t="s">
        <v>284</v>
      </c>
      <c r="I278" s="296">
        <v>17</v>
      </c>
      <c r="J278" s="295"/>
      <c r="K278" s="184">
        <v>0</v>
      </c>
      <c r="L278" s="184">
        <v>0</v>
      </c>
      <c r="M278" s="67">
        <f t="shared" si="12"/>
        <v>1.3980000000000001</v>
      </c>
      <c r="N278" s="242">
        <f>769.96/1000</f>
        <v>0.76996000000000009</v>
      </c>
      <c r="O278" s="242">
        <f>628.04/1000</f>
        <v>0.62803999999999993</v>
      </c>
      <c r="P278" s="258"/>
      <c r="Q278" s="241" t="s">
        <v>90</v>
      </c>
      <c r="R278" s="362">
        <v>4.8899999999999999E-2</v>
      </c>
      <c r="S278" s="361">
        <f t="shared" si="13"/>
        <v>75.201679999999996</v>
      </c>
      <c r="V278"/>
      <c r="W278"/>
    </row>
    <row r="279" spans="1:23" ht="15.75">
      <c r="A279" s="253">
        <f t="shared" si="14"/>
        <v>277</v>
      </c>
      <c r="B279" s="193" t="s">
        <v>802</v>
      </c>
      <c r="C279" s="298"/>
      <c r="D279" s="274" t="s">
        <v>2</v>
      </c>
      <c r="E279" s="279" t="s">
        <v>294</v>
      </c>
      <c r="F279" s="286">
        <v>1986</v>
      </c>
      <c r="G279" s="249" t="s">
        <v>283</v>
      </c>
      <c r="H279" s="185" t="s">
        <v>284</v>
      </c>
      <c r="I279" s="296">
        <v>43</v>
      </c>
      <c r="J279" s="295"/>
      <c r="K279" s="184">
        <v>0</v>
      </c>
      <c r="L279" s="184">
        <v>0</v>
      </c>
      <c r="M279" s="67">
        <f t="shared" si="12"/>
        <v>2.7572000000000001</v>
      </c>
      <c r="N279" s="242">
        <f>2036.08/1000</f>
        <v>2.0360800000000001</v>
      </c>
      <c r="O279" s="242">
        <f>721.12/1000</f>
        <v>0.72111999999999998</v>
      </c>
      <c r="P279" s="258"/>
      <c r="Q279" s="241" t="s">
        <v>90</v>
      </c>
      <c r="R279" s="362">
        <v>0.1298</v>
      </c>
      <c r="S279" s="361">
        <f t="shared" si="13"/>
        <v>199.61509333333333</v>
      </c>
      <c r="V279"/>
      <c r="W279"/>
    </row>
    <row r="280" spans="1:23" ht="15.75">
      <c r="A280" s="253">
        <f t="shared" si="14"/>
        <v>278</v>
      </c>
      <c r="B280" s="193" t="s">
        <v>801</v>
      </c>
      <c r="C280" s="298"/>
      <c r="D280" s="274" t="s">
        <v>2</v>
      </c>
      <c r="E280" s="279" t="s">
        <v>294</v>
      </c>
      <c r="F280" s="286">
        <v>1986</v>
      </c>
      <c r="G280" s="249" t="s">
        <v>283</v>
      </c>
      <c r="H280" s="185" t="s">
        <v>284</v>
      </c>
      <c r="I280" s="296">
        <v>25</v>
      </c>
      <c r="J280" s="295"/>
      <c r="K280" s="184">
        <v>0</v>
      </c>
      <c r="L280" s="184">
        <v>0</v>
      </c>
      <c r="M280" s="67">
        <f t="shared" si="12"/>
        <v>1.407</v>
      </c>
      <c r="N280" s="242">
        <f>1163.83/1000</f>
        <v>1.1638299999999999</v>
      </c>
      <c r="O280" s="242">
        <f>243.17/1000</f>
        <v>0.24317</v>
      </c>
      <c r="P280" s="258"/>
      <c r="Q280" s="241" t="s">
        <v>90</v>
      </c>
      <c r="R280" s="362">
        <v>7.2400000000000006E-2</v>
      </c>
      <c r="S280" s="361">
        <f t="shared" si="13"/>
        <v>111.34154666666666</v>
      </c>
      <c r="V280"/>
      <c r="W280"/>
    </row>
    <row r="281" spans="1:23" ht="15.75">
      <c r="A281" s="253">
        <f t="shared" si="14"/>
        <v>279</v>
      </c>
      <c r="B281" s="193" t="s">
        <v>800</v>
      </c>
      <c r="C281" s="298"/>
      <c r="D281" s="274" t="s">
        <v>2</v>
      </c>
      <c r="E281" s="279" t="s">
        <v>294</v>
      </c>
      <c r="F281" s="297">
        <v>1987</v>
      </c>
      <c r="G281" s="249" t="s">
        <v>283</v>
      </c>
      <c r="H281" s="185" t="s">
        <v>284</v>
      </c>
      <c r="I281" s="296">
        <v>90</v>
      </c>
      <c r="J281" s="295"/>
      <c r="K281" s="184">
        <v>0</v>
      </c>
      <c r="L281" s="184">
        <v>0</v>
      </c>
      <c r="M281" s="67">
        <f t="shared" si="12"/>
        <v>6.1230499999999992</v>
      </c>
      <c r="N281" s="242">
        <f>5017.44/1000</f>
        <v>5.0174399999999997</v>
      </c>
      <c r="O281" s="242">
        <f>1105.61/1000</f>
        <v>1.10561</v>
      </c>
      <c r="P281" s="258"/>
      <c r="Q281" s="241" t="s">
        <v>90</v>
      </c>
      <c r="R281" s="362">
        <v>0.18770000000000001</v>
      </c>
      <c r="S281" s="361">
        <f t="shared" si="13"/>
        <v>288.65757333333335</v>
      </c>
      <c r="V281"/>
      <c r="W281"/>
    </row>
    <row r="282" spans="1:23" ht="15.75">
      <c r="A282" s="253">
        <f t="shared" si="14"/>
        <v>280</v>
      </c>
      <c r="B282" s="193" t="s">
        <v>799</v>
      </c>
      <c r="C282" s="298"/>
      <c r="D282" s="274" t="s">
        <v>2</v>
      </c>
      <c r="E282" s="279" t="s">
        <v>294</v>
      </c>
      <c r="F282" s="286">
        <v>1981</v>
      </c>
      <c r="G282" s="249" t="s">
        <v>283</v>
      </c>
      <c r="H282" s="185" t="s">
        <v>284</v>
      </c>
      <c r="I282" s="296">
        <v>60</v>
      </c>
      <c r="J282" s="295"/>
      <c r="K282" s="184">
        <v>0</v>
      </c>
      <c r="L282" s="184">
        <v>0</v>
      </c>
      <c r="M282" s="67">
        <f t="shared" si="12"/>
        <v>3.9896099999999999</v>
      </c>
      <c r="N282" s="242">
        <f>3091.06/1000</f>
        <v>3.0910600000000001</v>
      </c>
      <c r="O282" s="242">
        <f>898.55/1000</f>
        <v>0.89854999999999996</v>
      </c>
      <c r="P282" s="258"/>
      <c r="Q282" s="241" t="s">
        <v>90</v>
      </c>
      <c r="R282" s="362">
        <v>0.16420000000000001</v>
      </c>
      <c r="S282" s="361">
        <f t="shared" si="13"/>
        <v>252.5177066666667</v>
      </c>
      <c r="V282"/>
      <c r="W282"/>
    </row>
    <row r="283" spans="1:23" ht="15.75">
      <c r="A283" s="253">
        <f t="shared" si="14"/>
        <v>281</v>
      </c>
      <c r="B283" s="193" t="s">
        <v>798</v>
      </c>
      <c r="C283" s="298"/>
      <c r="D283" s="274" t="s">
        <v>2</v>
      </c>
      <c r="E283" s="279" t="s">
        <v>294</v>
      </c>
      <c r="F283" s="297">
        <v>1981</v>
      </c>
      <c r="G283" s="249" t="s">
        <v>283</v>
      </c>
      <c r="H283" s="185" t="s">
        <v>284</v>
      </c>
      <c r="I283" s="296">
        <v>82</v>
      </c>
      <c r="J283" s="295"/>
      <c r="K283" s="184">
        <v>0</v>
      </c>
      <c r="L283" s="184">
        <v>0</v>
      </c>
      <c r="M283" s="67">
        <f t="shared" si="12"/>
        <v>5.1782400000000006</v>
      </c>
      <c r="N283" s="242">
        <f>3579.26/1000</f>
        <v>3.5792600000000001</v>
      </c>
      <c r="O283" s="242">
        <f>1598.98/1000</f>
        <v>1.5989800000000001</v>
      </c>
      <c r="P283" s="258"/>
      <c r="Q283" s="241" t="s">
        <v>90</v>
      </c>
      <c r="R283" s="362">
        <v>0.18959999999999999</v>
      </c>
      <c r="S283" s="361">
        <f t="shared" si="13"/>
        <v>291.57951999999995</v>
      </c>
      <c r="V283"/>
      <c r="W283"/>
    </row>
    <row r="284" spans="1:23" ht="15.75">
      <c r="A284" s="253">
        <f t="shared" si="14"/>
        <v>282</v>
      </c>
      <c r="B284" s="193" t="s">
        <v>797</v>
      </c>
      <c r="C284" s="298"/>
      <c r="D284" s="274" t="s">
        <v>2</v>
      </c>
      <c r="E284" s="279" t="s">
        <v>294</v>
      </c>
      <c r="F284" s="297">
        <v>1981</v>
      </c>
      <c r="G284" s="249" t="s">
        <v>283</v>
      </c>
      <c r="H284" s="185" t="s">
        <v>284</v>
      </c>
      <c r="I284" s="296">
        <v>126</v>
      </c>
      <c r="J284" s="295"/>
      <c r="K284" s="184">
        <v>0</v>
      </c>
      <c r="L284" s="184">
        <v>0</v>
      </c>
      <c r="M284" s="67">
        <f t="shared" si="12"/>
        <v>7.1598699999999997</v>
      </c>
      <c r="N284" s="242">
        <f>6340.93/1000</f>
        <v>6.3409300000000002</v>
      </c>
      <c r="O284" s="242">
        <f>818.94/1000</f>
        <v>0.81894</v>
      </c>
      <c r="P284" s="258"/>
      <c r="Q284" s="241" t="s">
        <v>90</v>
      </c>
      <c r="R284" s="362">
        <v>0.31919999999999998</v>
      </c>
      <c r="S284" s="361">
        <f t="shared" si="13"/>
        <v>490.88704000000001</v>
      </c>
      <c r="V284"/>
      <c r="W284"/>
    </row>
    <row r="285" spans="1:23" ht="15.75">
      <c r="A285" s="253">
        <f t="shared" si="14"/>
        <v>283</v>
      </c>
      <c r="B285" s="193" t="s">
        <v>796</v>
      </c>
      <c r="C285" s="298"/>
      <c r="D285" s="274" t="s">
        <v>2</v>
      </c>
      <c r="E285" s="279" t="s">
        <v>294</v>
      </c>
      <c r="F285" s="297">
        <v>1981</v>
      </c>
      <c r="G285" s="249" t="s">
        <v>283</v>
      </c>
      <c r="H285" s="185" t="s">
        <v>284</v>
      </c>
      <c r="I285" s="296">
        <v>1</v>
      </c>
      <c r="J285" s="295"/>
      <c r="K285" s="184">
        <v>0</v>
      </c>
      <c r="L285" s="184">
        <v>0</v>
      </c>
      <c r="M285" s="67">
        <f t="shared" si="12"/>
        <v>6.2700000000000006E-2</v>
      </c>
      <c r="N285" s="242">
        <f>62.7/1000</f>
        <v>6.2700000000000006E-2</v>
      </c>
      <c r="O285" s="242"/>
      <c r="P285" s="258"/>
      <c r="Q285" s="241" t="s">
        <v>90</v>
      </c>
      <c r="R285" s="362">
        <v>2.8E-3</v>
      </c>
      <c r="S285" s="361">
        <f t="shared" si="13"/>
        <v>4.3060266666666669</v>
      </c>
      <c r="V285"/>
      <c r="W285"/>
    </row>
    <row r="286" spans="1:23" ht="15.75">
      <c r="A286" s="253">
        <f t="shared" si="14"/>
        <v>284</v>
      </c>
      <c r="B286" s="193" t="s">
        <v>795</v>
      </c>
      <c r="C286" s="298"/>
      <c r="D286" s="274" t="s">
        <v>2</v>
      </c>
      <c r="E286" s="279" t="s">
        <v>294</v>
      </c>
      <c r="F286" s="297">
        <v>1981</v>
      </c>
      <c r="G286" s="249" t="s">
        <v>283</v>
      </c>
      <c r="H286" s="185" t="s">
        <v>284</v>
      </c>
      <c r="I286" s="296">
        <v>1</v>
      </c>
      <c r="J286" s="295"/>
      <c r="K286" s="184">
        <v>0</v>
      </c>
      <c r="L286" s="184">
        <v>0</v>
      </c>
      <c r="M286" s="67">
        <f t="shared" si="12"/>
        <v>5.8700000000000002E-2</v>
      </c>
      <c r="N286" s="242">
        <f>58.7/1000</f>
        <v>5.8700000000000002E-2</v>
      </c>
      <c r="O286" s="242"/>
      <c r="P286" s="258"/>
      <c r="Q286" s="241" t="s">
        <v>90</v>
      </c>
      <c r="R286" s="362">
        <v>3.0000000000000001E-3</v>
      </c>
      <c r="S286" s="361">
        <f t="shared" si="13"/>
        <v>4.6136000000000008</v>
      </c>
      <c r="V286"/>
      <c r="W286"/>
    </row>
    <row r="287" spans="1:23" ht="15.75">
      <c r="A287" s="253">
        <f t="shared" si="14"/>
        <v>285</v>
      </c>
      <c r="B287" s="193" t="s">
        <v>794</v>
      </c>
      <c r="C287" s="298"/>
      <c r="D287" s="274" t="s">
        <v>2</v>
      </c>
      <c r="E287" s="279" t="s">
        <v>294</v>
      </c>
      <c r="F287" s="297">
        <v>1986</v>
      </c>
      <c r="G287" s="249" t="s">
        <v>283</v>
      </c>
      <c r="H287" s="185" t="s">
        <v>284</v>
      </c>
      <c r="I287" s="296">
        <v>94</v>
      </c>
      <c r="J287" s="295"/>
      <c r="K287" s="184">
        <v>0</v>
      </c>
      <c r="L287" s="184">
        <v>0</v>
      </c>
      <c r="M287" s="67">
        <f t="shared" si="12"/>
        <v>6.1110000000000007</v>
      </c>
      <c r="N287" s="242">
        <f>5131.68/1000</f>
        <v>5.1316800000000002</v>
      </c>
      <c r="O287" s="242">
        <f>979.32/1000</f>
        <v>0.97932000000000008</v>
      </c>
      <c r="P287" s="258"/>
      <c r="Q287" s="241" t="s">
        <v>90</v>
      </c>
      <c r="R287" s="362">
        <v>0.22650000000000001</v>
      </c>
      <c r="S287" s="361">
        <f t="shared" si="13"/>
        <v>348.32679999999999</v>
      </c>
      <c r="V287"/>
      <c r="W287"/>
    </row>
    <row r="288" spans="1:23" ht="15.75">
      <c r="A288" s="253">
        <f t="shared" si="14"/>
        <v>286</v>
      </c>
      <c r="B288" s="193" t="s">
        <v>793</v>
      </c>
      <c r="C288" s="298"/>
      <c r="D288" s="274" t="s">
        <v>2</v>
      </c>
      <c r="E288" s="279" t="s">
        <v>294</v>
      </c>
      <c r="F288" s="297">
        <v>2006</v>
      </c>
      <c r="G288" s="249" t="s">
        <v>283</v>
      </c>
      <c r="H288" s="185" t="s">
        <v>284</v>
      </c>
      <c r="I288" s="296">
        <v>83</v>
      </c>
      <c r="J288" s="295"/>
      <c r="K288" s="184">
        <v>0</v>
      </c>
      <c r="L288" s="184">
        <v>0</v>
      </c>
      <c r="M288" s="67">
        <f t="shared" si="12"/>
        <v>4.6525300000000005</v>
      </c>
      <c r="N288" s="242">
        <f>4502.43/1000</f>
        <v>4.5024300000000004</v>
      </c>
      <c r="O288" s="242">
        <f>150.1/1000</f>
        <v>0.15009999999999998</v>
      </c>
      <c r="P288" s="258"/>
      <c r="Q288" s="241" t="s">
        <v>90</v>
      </c>
      <c r="R288" s="365">
        <v>0.19239999999999999</v>
      </c>
      <c r="S288" s="361">
        <f t="shared" si="13"/>
        <v>295.88554666666664</v>
      </c>
      <c r="V288"/>
      <c r="W288"/>
    </row>
    <row r="289" spans="1:23" ht="15.75">
      <c r="A289" s="253">
        <f t="shared" si="14"/>
        <v>287</v>
      </c>
      <c r="B289" s="193" t="s">
        <v>792</v>
      </c>
      <c r="C289" s="298"/>
      <c r="D289" s="274" t="s">
        <v>2</v>
      </c>
      <c r="E289" s="279" t="s">
        <v>294</v>
      </c>
      <c r="F289" s="297">
        <v>1992</v>
      </c>
      <c r="G289" s="249" t="s">
        <v>283</v>
      </c>
      <c r="H289" s="185" t="s">
        <v>284</v>
      </c>
      <c r="I289" s="296">
        <v>31</v>
      </c>
      <c r="J289" s="295"/>
      <c r="K289" s="184">
        <v>0</v>
      </c>
      <c r="L289" s="184">
        <v>0</v>
      </c>
      <c r="M289" s="67">
        <f t="shared" si="12"/>
        <v>2.9818299999999995</v>
      </c>
      <c r="N289" s="242">
        <f>1581.26/1000</f>
        <v>1.5812599999999999</v>
      </c>
      <c r="O289" s="242">
        <f>1400.57/1000</f>
        <v>1.4005699999999999</v>
      </c>
      <c r="P289" s="258"/>
      <c r="Q289" s="241" t="s">
        <v>90</v>
      </c>
      <c r="R289" s="365">
        <v>9.4299999999999995E-2</v>
      </c>
      <c r="S289" s="361">
        <f t="shared" si="13"/>
        <v>145.02082666666666</v>
      </c>
      <c r="V289"/>
      <c r="W289"/>
    </row>
    <row r="290" spans="1:23" ht="15.75">
      <c r="A290" s="253">
        <f t="shared" si="14"/>
        <v>288</v>
      </c>
      <c r="B290" s="193" t="s">
        <v>791</v>
      </c>
      <c r="C290" s="298"/>
      <c r="D290" s="274" t="s">
        <v>2</v>
      </c>
      <c r="E290" s="279" t="s">
        <v>294</v>
      </c>
      <c r="F290" s="297">
        <v>1992</v>
      </c>
      <c r="G290" s="249" t="s">
        <v>283</v>
      </c>
      <c r="H290" s="185" t="s">
        <v>284</v>
      </c>
      <c r="I290" s="296">
        <v>32</v>
      </c>
      <c r="J290" s="295"/>
      <c r="K290" s="184">
        <v>0</v>
      </c>
      <c r="L290" s="184">
        <v>0</v>
      </c>
      <c r="M290" s="67">
        <f t="shared" si="12"/>
        <v>2.1324000000000001</v>
      </c>
      <c r="N290" s="242">
        <f>1875.55/1000</f>
        <v>1.8755500000000001</v>
      </c>
      <c r="O290" s="242">
        <f>256.85/1000</f>
        <v>0.25685000000000002</v>
      </c>
      <c r="P290" s="258"/>
      <c r="Q290" s="241" t="s">
        <v>90</v>
      </c>
      <c r="R290" s="365">
        <v>8.5800000000000001E-2</v>
      </c>
      <c r="S290" s="361">
        <f t="shared" si="13"/>
        <v>131.94896</v>
      </c>
      <c r="V290"/>
      <c r="W290"/>
    </row>
    <row r="291" spans="1:23" ht="15.75">
      <c r="A291" s="253">
        <f t="shared" si="14"/>
        <v>289</v>
      </c>
      <c r="B291" s="193" t="s">
        <v>790</v>
      </c>
      <c r="C291" s="298"/>
      <c r="D291" s="274" t="s">
        <v>2</v>
      </c>
      <c r="E291" s="279" t="s">
        <v>294</v>
      </c>
      <c r="F291" s="297">
        <v>1992</v>
      </c>
      <c r="G291" s="249" t="s">
        <v>283</v>
      </c>
      <c r="H291" s="185" t="s">
        <v>284</v>
      </c>
      <c r="I291" s="296">
        <v>56</v>
      </c>
      <c r="J291" s="295"/>
      <c r="K291" s="184">
        <v>0</v>
      </c>
      <c r="L291" s="184">
        <v>0</v>
      </c>
      <c r="M291" s="67">
        <f t="shared" si="12"/>
        <v>3.5214000000000003</v>
      </c>
      <c r="N291" s="242">
        <f>2511.3/1000</f>
        <v>2.5113000000000003</v>
      </c>
      <c r="O291" s="242">
        <f>1010.1/1000</f>
        <v>1.0101</v>
      </c>
      <c r="P291" s="258"/>
      <c r="Q291" s="241" t="s">
        <v>90</v>
      </c>
      <c r="R291" s="365">
        <v>0.1358</v>
      </c>
      <c r="S291" s="361">
        <f t="shared" si="13"/>
        <v>208.84229333333332</v>
      </c>
      <c r="V291"/>
      <c r="W291"/>
    </row>
    <row r="292" spans="1:23" ht="15.75">
      <c r="A292" s="253">
        <f t="shared" si="14"/>
        <v>290</v>
      </c>
      <c r="B292" s="193" t="s">
        <v>789</v>
      </c>
      <c r="C292" s="298"/>
      <c r="D292" s="274" t="s">
        <v>2</v>
      </c>
      <c r="E292" s="279" t="s">
        <v>294</v>
      </c>
      <c r="F292" s="297">
        <v>1993</v>
      </c>
      <c r="G292" s="249" t="s">
        <v>283</v>
      </c>
      <c r="H292" s="185" t="s">
        <v>284</v>
      </c>
      <c r="I292" s="296">
        <v>76</v>
      </c>
      <c r="J292" s="295"/>
      <c r="K292" s="184">
        <v>0</v>
      </c>
      <c r="L292" s="184">
        <v>0</v>
      </c>
      <c r="M292" s="67">
        <f t="shared" si="12"/>
        <v>4.7664999999999997</v>
      </c>
      <c r="N292" s="242">
        <f>4442.2/1000</f>
        <v>4.4421999999999997</v>
      </c>
      <c r="O292" s="242">
        <f>324.3/1000</f>
        <v>0.32430000000000003</v>
      </c>
      <c r="P292" s="258"/>
      <c r="Q292" s="241" t="s">
        <v>90</v>
      </c>
      <c r="R292" s="365">
        <v>0.21310000000000001</v>
      </c>
      <c r="S292" s="361">
        <f t="shared" si="13"/>
        <v>327.71938666666665</v>
      </c>
      <c r="V292"/>
      <c r="W292"/>
    </row>
    <row r="293" spans="1:23" ht="15.75">
      <c r="A293" s="253">
        <f t="shared" si="14"/>
        <v>291</v>
      </c>
      <c r="B293" s="193" t="s">
        <v>788</v>
      </c>
      <c r="C293" s="298"/>
      <c r="D293" s="274" t="s">
        <v>2</v>
      </c>
      <c r="E293" s="279" t="s">
        <v>294</v>
      </c>
      <c r="F293" s="297">
        <v>1995</v>
      </c>
      <c r="G293" s="249" t="s">
        <v>283</v>
      </c>
      <c r="H293" s="185" t="s">
        <v>284</v>
      </c>
      <c r="I293" s="296">
        <v>65</v>
      </c>
      <c r="J293" s="295"/>
      <c r="K293" s="184">
        <v>0</v>
      </c>
      <c r="L293" s="184">
        <v>0</v>
      </c>
      <c r="M293" s="67">
        <f t="shared" si="12"/>
        <v>4.0125999999999999</v>
      </c>
      <c r="N293" s="242">
        <f>3467.38/1000</f>
        <v>3.4673799999999999</v>
      </c>
      <c r="O293" s="242">
        <f>545.22/1000</f>
        <v>0.54522000000000004</v>
      </c>
      <c r="P293" s="258"/>
      <c r="Q293" s="241" t="s">
        <v>90</v>
      </c>
      <c r="R293" s="365">
        <v>0.15989999999999999</v>
      </c>
      <c r="S293" s="361">
        <f t="shared" si="13"/>
        <v>245.90487999999999</v>
      </c>
      <c r="V293"/>
      <c r="W293"/>
    </row>
    <row r="294" spans="1:23" ht="15.75">
      <c r="A294" s="253">
        <f t="shared" si="14"/>
        <v>292</v>
      </c>
      <c r="B294" s="193" t="s">
        <v>787</v>
      </c>
      <c r="C294" s="298"/>
      <c r="D294" s="274" t="s">
        <v>2</v>
      </c>
      <c r="E294" s="279" t="s">
        <v>294</v>
      </c>
      <c r="F294" s="297">
        <v>2006</v>
      </c>
      <c r="G294" s="249" t="s">
        <v>283</v>
      </c>
      <c r="H294" s="185" t="s">
        <v>284</v>
      </c>
      <c r="I294" s="296">
        <v>104</v>
      </c>
      <c r="J294" s="295"/>
      <c r="K294" s="184">
        <v>0</v>
      </c>
      <c r="L294" s="184">
        <v>0</v>
      </c>
      <c r="M294" s="67">
        <f t="shared" si="12"/>
        <v>5.3643000000000001</v>
      </c>
      <c r="N294" s="242">
        <f>5364.3/1000</f>
        <v>5.3643000000000001</v>
      </c>
      <c r="O294" s="242"/>
      <c r="P294" s="258"/>
      <c r="Q294" s="241" t="s">
        <v>90</v>
      </c>
      <c r="R294" s="365">
        <v>0.2429</v>
      </c>
      <c r="S294" s="361">
        <f t="shared" si="13"/>
        <v>373.54781333333335</v>
      </c>
      <c r="V294"/>
      <c r="W294"/>
    </row>
    <row r="295" spans="1:23" ht="15.75">
      <c r="A295" s="253">
        <f t="shared" si="14"/>
        <v>293</v>
      </c>
      <c r="B295" s="193" t="s">
        <v>786</v>
      </c>
      <c r="C295" s="298"/>
      <c r="D295" s="274" t="s">
        <v>2</v>
      </c>
      <c r="E295" s="279" t="s">
        <v>294</v>
      </c>
      <c r="F295" s="297">
        <v>1993</v>
      </c>
      <c r="G295" s="249" t="s">
        <v>283</v>
      </c>
      <c r="H295" s="185" t="s">
        <v>284</v>
      </c>
      <c r="I295" s="296">
        <v>29</v>
      </c>
      <c r="J295" s="295"/>
      <c r="K295" s="184">
        <v>0</v>
      </c>
      <c r="L295" s="184">
        <v>0</v>
      </c>
      <c r="M295" s="67">
        <f t="shared" si="12"/>
        <v>1.4918</v>
      </c>
      <c r="N295" s="242">
        <f>1456.1/1000</f>
        <v>1.4560999999999999</v>
      </c>
      <c r="O295" s="242">
        <f>35.7/1000</f>
        <v>3.5700000000000003E-2</v>
      </c>
      <c r="P295" s="258"/>
      <c r="Q295" s="241" t="s">
        <v>90</v>
      </c>
      <c r="R295" s="365">
        <v>6.9400000000000003E-2</v>
      </c>
      <c r="S295" s="361">
        <f t="shared" si="13"/>
        <v>106.72794666666667</v>
      </c>
      <c r="V295"/>
      <c r="W295"/>
    </row>
    <row r="296" spans="1:23" ht="15.75">
      <c r="A296" s="253">
        <f t="shared" si="14"/>
        <v>294</v>
      </c>
      <c r="B296" s="193" t="s">
        <v>785</v>
      </c>
      <c r="C296" s="298"/>
      <c r="D296" s="274" t="s">
        <v>2</v>
      </c>
      <c r="E296" s="279" t="s">
        <v>294</v>
      </c>
      <c r="F296" s="286">
        <v>1994</v>
      </c>
      <c r="G296" s="249" t="s">
        <v>283</v>
      </c>
      <c r="H296" s="185" t="s">
        <v>284</v>
      </c>
      <c r="I296" s="296">
        <v>63</v>
      </c>
      <c r="J296" s="295"/>
      <c r="K296" s="184">
        <v>0</v>
      </c>
      <c r="L296" s="184">
        <v>0</v>
      </c>
      <c r="M296" s="67">
        <f t="shared" si="12"/>
        <v>4.0538499999999997</v>
      </c>
      <c r="N296" s="242">
        <f>3510.42/1000</f>
        <v>3.5104199999999999</v>
      </c>
      <c r="O296" s="242">
        <f>543.43/1000</f>
        <v>0.54342999999999997</v>
      </c>
      <c r="P296" s="258"/>
      <c r="Q296" s="241" t="s">
        <v>90</v>
      </c>
      <c r="R296" s="365">
        <v>0.26090000000000002</v>
      </c>
      <c r="S296" s="361">
        <f t="shared" si="13"/>
        <v>401.22941333333341</v>
      </c>
      <c r="V296"/>
      <c r="W296"/>
    </row>
    <row r="297" spans="1:23" ht="15.75">
      <c r="A297" s="253">
        <f t="shared" si="14"/>
        <v>295</v>
      </c>
      <c r="B297" s="193" t="s">
        <v>784</v>
      </c>
      <c r="C297" s="298"/>
      <c r="D297" s="274" t="s">
        <v>2</v>
      </c>
      <c r="E297" s="279" t="s">
        <v>294</v>
      </c>
      <c r="F297" s="286">
        <v>1994</v>
      </c>
      <c r="G297" s="249" t="s">
        <v>283</v>
      </c>
      <c r="H297" s="185" t="s">
        <v>284</v>
      </c>
      <c r="I297" s="296">
        <v>79</v>
      </c>
      <c r="J297" s="295"/>
      <c r="K297" s="184">
        <v>0</v>
      </c>
      <c r="L297" s="184">
        <v>0</v>
      </c>
      <c r="M297" s="67">
        <f t="shared" si="12"/>
        <v>4.5591499999999998</v>
      </c>
      <c r="N297" s="242">
        <f>3967.48/1000</f>
        <v>3.9674800000000001</v>
      </c>
      <c r="O297" s="242">
        <f>591.67/1000</f>
        <v>0.59166999999999992</v>
      </c>
      <c r="P297" s="258"/>
      <c r="Q297" s="241" t="s">
        <v>90</v>
      </c>
      <c r="R297" s="365">
        <v>0.42430000000000001</v>
      </c>
      <c r="S297" s="361">
        <f t="shared" si="13"/>
        <v>652.5168266666667</v>
      </c>
      <c r="V297"/>
      <c r="W297"/>
    </row>
    <row r="298" spans="1:23" ht="15.75">
      <c r="A298" s="253">
        <f t="shared" si="14"/>
        <v>296</v>
      </c>
      <c r="B298" s="193" t="s">
        <v>783</v>
      </c>
      <c r="C298" s="298"/>
      <c r="D298" s="274" t="s">
        <v>2</v>
      </c>
      <c r="E298" s="279" t="s">
        <v>294</v>
      </c>
      <c r="F298" s="286">
        <v>1998</v>
      </c>
      <c r="G298" s="249" t="s">
        <v>283</v>
      </c>
      <c r="H298" s="185" t="s">
        <v>284</v>
      </c>
      <c r="I298" s="296">
        <v>32</v>
      </c>
      <c r="J298" s="295"/>
      <c r="K298" s="184">
        <v>0</v>
      </c>
      <c r="L298" s="184">
        <v>0</v>
      </c>
      <c r="M298" s="67">
        <f t="shared" si="12"/>
        <v>1.9089</v>
      </c>
      <c r="N298" s="242">
        <f>1562.12/1000</f>
        <v>1.56212</v>
      </c>
      <c r="O298" s="242">
        <f>346.78/1000</f>
        <v>0.34677999999999998</v>
      </c>
      <c r="P298" s="258"/>
      <c r="Q298" s="241" t="s">
        <v>90</v>
      </c>
      <c r="R298" s="365">
        <v>6.6799999999999998E-2</v>
      </c>
      <c r="S298" s="361">
        <f t="shared" si="13"/>
        <v>102.72949333333334</v>
      </c>
      <c r="V298"/>
      <c r="W298"/>
    </row>
    <row r="299" spans="1:23" ht="15.75">
      <c r="A299" s="253">
        <f t="shared" si="14"/>
        <v>297</v>
      </c>
      <c r="B299" s="193" t="s">
        <v>782</v>
      </c>
      <c r="C299" s="298"/>
      <c r="D299" s="274" t="s">
        <v>2</v>
      </c>
      <c r="E299" s="279" t="s">
        <v>294</v>
      </c>
      <c r="F299" s="297">
        <v>2002</v>
      </c>
      <c r="G299" s="249" t="s">
        <v>283</v>
      </c>
      <c r="H299" s="185" t="s">
        <v>284</v>
      </c>
      <c r="I299" s="296">
        <v>34</v>
      </c>
      <c r="J299" s="295"/>
      <c r="K299" s="184">
        <v>0</v>
      </c>
      <c r="L299" s="184">
        <v>0</v>
      </c>
      <c r="M299" s="67">
        <f t="shared" si="12"/>
        <v>1.7591000000000001</v>
      </c>
      <c r="N299" s="242">
        <f>1693.2/1000</f>
        <v>1.6932</v>
      </c>
      <c r="O299" s="242">
        <f>65.9/1000</f>
        <v>6.59E-2</v>
      </c>
      <c r="P299" s="258"/>
      <c r="Q299" s="241" t="s">
        <v>90</v>
      </c>
      <c r="R299" s="365">
        <v>6.3700000000000007E-2</v>
      </c>
      <c r="S299" s="361">
        <f t="shared" si="13"/>
        <v>97.962106666666671</v>
      </c>
      <c r="V299"/>
      <c r="W299"/>
    </row>
    <row r="300" spans="1:23" ht="15.75">
      <c r="A300" s="253">
        <f t="shared" si="14"/>
        <v>298</v>
      </c>
      <c r="B300" s="193" t="s">
        <v>781</v>
      </c>
      <c r="C300" s="298"/>
      <c r="D300" s="274" t="s">
        <v>2</v>
      </c>
      <c r="E300" s="279" t="s">
        <v>294</v>
      </c>
      <c r="F300" s="286">
        <v>1993</v>
      </c>
      <c r="G300" s="249" t="s">
        <v>283</v>
      </c>
      <c r="H300" s="185" t="s">
        <v>284</v>
      </c>
      <c r="I300" s="296">
        <v>125</v>
      </c>
      <c r="J300" s="295"/>
      <c r="K300" s="184">
        <v>0</v>
      </c>
      <c r="L300" s="184">
        <v>0</v>
      </c>
      <c r="M300" s="67">
        <f t="shared" si="12"/>
        <v>7.6655199999999999</v>
      </c>
      <c r="N300" s="242">
        <f>6506.31/1000</f>
        <v>6.50631</v>
      </c>
      <c r="O300" s="242">
        <f>1159.21/1000</f>
        <v>1.1592100000000001</v>
      </c>
      <c r="P300" s="258"/>
      <c r="Q300" s="241" t="s">
        <v>90</v>
      </c>
      <c r="R300" s="365">
        <v>0.31209999999999999</v>
      </c>
      <c r="S300" s="361">
        <f t="shared" si="13"/>
        <v>479.96818666666661</v>
      </c>
      <c r="V300"/>
      <c r="W300"/>
    </row>
    <row r="301" spans="1:23" ht="15.75">
      <c r="A301" s="253">
        <f t="shared" si="14"/>
        <v>299</v>
      </c>
      <c r="B301" s="193" t="s">
        <v>780</v>
      </c>
      <c r="C301" s="298"/>
      <c r="D301" s="274" t="s">
        <v>2</v>
      </c>
      <c r="E301" s="279" t="s">
        <v>294</v>
      </c>
      <c r="F301" s="286">
        <v>1996</v>
      </c>
      <c r="G301" s="249" t="s">
        <v>283</v>
      </c>
      <c r="H301" s="185" t="s">
        <v>284</v>
      </c>
      <c r="I301" s="296">
        <v>30</v>
      </c>
      <c r="J301" s="295"/>
      <c r="K301" s="184">
        <v>0</v>
      </c>
      <c r="L301" s="184">
        <v>0</v>
      </c>
      <c r="M301" s="67">
        <f t="shared" si="12"/>
        <v>2.3232999999999997</v>
      </c>
      <c r="N301" s="242">
        <f>1916/1000</f>
        <v>1.9159999999999999</v>
      </c>
      <c r="O301" s="242">
        <f>407.3/1000</f>
        <v>0.4073</v>
      </c>
      <c r="P301" s="258"/>
      <c r="Q301" s="241" t="s">
        <v>90</v>
      </c>
      <c r="R301" s="365">
        <v>0.11169999999999999</v>
      </c>
      <c r="S301" s="361">
        <f t="shared" si="13"/>
        <v>171.77970666666664</v>
      </c>
      <c r="V301"/>
      <c r="W301"/>
    </row>
    <row r="302" spans="1:23" ht="15.75">
      <c r="A302" s="253">
        <f t="shared" si="14"/>
        <v>300</v>
      </c>
      <c r="B302" s="193" t="s">
        <v>779</v>
      </c>
      <c r="C302" s="298"/>
      <c r="D302" s="274" t="s">
        <v>2</v>
      </c>
      <c r="E302" s="279" t="s">
        <v>294</v>
      </c>
      <c r="F302" s="286">
        <v>1997</v>
      </c>
      <c r="G302" s="249" t="s">
        <v>283</v>
      </c>
      <c r="H302" s="185" t="s">
        <v>284</v>
      </c>
      <c r="I302" s="296">
        <v>29</v>
      </c>
      <c r="J302" s="295"/>
      <c r="K302" s="184">
        <v>0</v>
      </c>
      <c r="L302" s="184">
        <v>0</v>
      </c>
      <c r="M302" s="67">
        <f t="shared" si="12"/>
        <v>2.3555999999999999</v>
      </c>
      <c r="N302" s="242">
        <f>1676.5/1000</f>
        <v>1.6765000000000001</v>
      </c>
      <c r="O302" s="242">
        <f>679.1/1000</f>
        <v>0.67910000000000004</v>
      </c>
      <c r="P302" s="258"/>
      <c r="Q302" s="241" t="s">
        <v>90</v>
      </c>
      <c r="R302" s="365">
        <v>9.8699999999999996E-2</v>
      </c>
      <c r="S302" s="361">
        <f t="shared" si="13"/>
        <v>151.78744</v>
      </c>
      <c r="V302"/>
      <c r="W302"/>
    </row>
    <row r="303" spans="1:23" ht="15.75">
      <c r="A303" s="253">
        <f t="shared" si="14"/>
        <v>301</v>
      </c>
      <c r="B303" s="193" t="s">
        <v>778</v>
      </c>
      <c r="C303" s="298"/>
      <c r="D303" s="274" t="s">
        <v>2</v>
      </c>
      <c r="E303" s="279" t="s">
        <v>294</v>
      </c>
      <c r="F303" s="286">
        <v>1990</v>
      </c>
      <c r="G303" s="249" t="s">
        <v>283</v>
      </c>
      <c r="H303" s="185" t="s">
        <v>284</v>
      </c>
      <c r="I303" s="296">
        <v>31</v>
      </c>
      <c r="J303" s="295"/>
      <c r="K303" s="184">
        <v>0</v>
      </c>
      <c r="L303" s="184">
        <v>0</v>
      </c>
      <c r="M303" s="67">
        <f t="shared" si="12"/>
        <v>1.8374999999999999</v>
      </c>
      <c r="N303" s="242">
        <f>1101.23/1000</f>
        <v>1.1012299999999999</v>
      </c>
      <c r="O303" s="242">
        <f>736.27/1000</f>
        <v>0.73626999999999998</v>
      </c>
      <c r="P303" s="266"/>
      <c r="Q303" s="241" t="s">
        <v>90</v>
      </c>
      <c r="R303" s="365">
        <v>5.1200000000000002E-2</v>
      </c>
      <c r="S303" s="361">
        <f t="shared" si="13"/>
        <v>78.738773333333341</v>
      </c>
      <c r="V303"/>
      <c r="W303"/>
    </row>
    <row r="304" spans="1:23" ht="15.75">
      <c r="A304" s="253">
        <f t="shared" si="14"/>
        <v>302</v>
      </c>
      <c r="B304" s="193" t="s">
        <v>777</v>
      </c>
      <c r="C304" s="298"/>
      <c r="D304" s="274" t="s">
        <v>2</v>
      </c>
      <c r="E304" s="279" t="s">
        <v>294</v>
      </c>
      <c r="F304" s="286">
        <v>1990</v>
      </c>
      <c r="G304" s="249" t="s">
        <v>283</v>
      </c>
      <c r="H304" s="185" t="s">
        <v>284</v>
      </c>
      <c r="I304" s="296">
        <v>53</v>
      </c>
      <c r="J304" s="295"/>
      <c r="K304" s="184">
        <v>0</v>
      </c>
      <c r="L304" s="184">
        <v>0</v>
      </c>
      <c r="M304" s="67">
        <f t="shared" si="12"/>
        <v>1.8011999999999999</v>
      </c>
      <c r="N304" s="242">
        <f>1604.1/1000</f>
        <v>1.6040999999999999</v>
      </c>
      <c r="O304" s="242">
        <f>197.1/1000</f>
        <v>0.1971</v>
      </c>
      <c r="P304" s="258"/>
      <c r="Q304" s="241" t="s">
        <v>90</v>
      </c>
      <c r="R304" s="365">
        <v>7.3400000000000007E-2</v>
      </c>
      <c r="S304" s="361">
        <f t="shared" si="13"/>
        <v>112.87941333333335</v>
      </c>
      <c r="V304"/>
      <c r="W304"/>
    </row>
    <row r="305" spans="1:23" ht="15.75">
      <c r="A305" s="253">
        <f t="shared" si="14"/>
        <v>303</v>
      </c>
      <c r="B305" s="193" t="s">
        <v>776</v>
      </c>
      <c r="C305" s="298"/>
      <c r="D305" s="274" t="s">
        <v>2</v>
      </c>
      <c r="E305" s="279" t="s">
        <v>294</v>
      </c>
      <c r="F305" s="286">
        <v>1990</v>
      </c>
      <c r="G305" s="249" t="s">
        <v>283</v>
      </c>
      <c r="H305" s="185" t="s">
        <v>284</v>
      </c>
      <c r="I305" s="296">
        <v>45</v>
      </c>
      <c r="J305" s="295"/>
      <c r="K305" s="184">
        <v>0</v>
      </c>
      <c r="L305" s="184">
        <v>0</v>
      </c>
      <c r="M305" s="67">
        <f t="shared" si="12"/>
        <v>1.8342000000000001</v>
      </c>
      <c r="N305" s="242">
        <f>1492.5/1000</f>
        <v>1.4924999999999999</v>
      </c>
      <c r="O305" s="242">
        <f>341.7/1000</f>
        <v>0.3417</v>
      </c>
      <c r="P305" s="258"/>
      <c r="Q305" s="241" t="s">
        <v>90</v>
      </c>
      <c r="R305" s="365">
        <v>6.9699999999999998E-2</v>
      </c>
      <c r="S305" s="361">
        <f t="shared" si="13"/>
        <v>107.18930666666668</v>
      </c>
      <c r="V305"/>
      <c r="W305"/>
    </row>
    <row r="306" spans="1:23" ht="15.75">
      <c r="A306" s="253">
        <f t="shared" si="14"/>
        <v>304</v>
      </c>
      <c r="B306" s="193" t="s">
        <v>775</v>
      </c>
      <c r="C306" s="298"/>
      <c r="D306" s="274" t="s">
        <v>2</v>
      </c>
      <c r="E306" s="279" t="s">
        <v>294</v>
      </c>
      <c r="F306" s="286">
        <v>1994</v>
      </c>
      <c r="G306" s="249" t="s">
        <v>283</v>
      </c>
      <c r="H306" s="185" t="s">
        <v>284</v>
      </c>
      <c r="I306" s="296">
        <v>57</v>
      </c>
      <c r="J306" s="295"/>
      <c r="K306" s="184">
        <v>0</v>
      </c>
      <c r="L306" s="184">
        <v>0</v>
      </c>
      <c r="M306" s="67">
        <f t="shared" si="12"/>
        <v>3.2662999999999998</v>
      </c>
      <c r="N306" s="242">
        <f>3091.5/1000</f>
        <v>3.0914999999999999</v>
      </c>
      <c r="O306" s="242">
        <f>174.8/1000</f>
        <v>0.17480000000000001</v>
      </c>
      <c r="P306" s="258"/>
      <c r="Q306" s="241" t="s">
        <v>90</v>
      </c>
      <c r="R306" s="365">
        <v>0.1096</v>
      </c>
      <c r="S306" s="361">
        <f t="shared" si="13"/>
        <v>168.55018666666666</v>
      </c>
      <c r="V306"/>
      <c r="W306"/>
    </row>
    <row r="307" spans="1:23" ht="15.75">
      <c r="A307" s="253">
        <f t="shared" si="14"/>
        <v>305</v>
      </c>
      <c r="B307" s="193" t="s">
        <v>774</v>
      </c>
      <c r="C307" s="298"/>
      <c r="D307" s="274" t="s">
        <v>2</v>
      </c>
      <c r="E307" s="279" t="s">
        <v>294</v>
      </c>
      <c r="F307" s="297">
        <v>1968</v>
      </c>
      <c r="G307" s="249" t="s">
        <v>283</v>
      </c>
      <c r="H307" s="185" t="s">
        <v>284</v>
      </c>
      <c r="I307" s="296">
        <v>55</v>
      </c>
      <c r="J307" s="295"/>
      <c r="K307" s="184">
        <v>0</v>
      </c>
      <c r="L307" s="184">
        <v>0</v>
      </c>
      <c r="M307" s="67">
        <f t="shared" si="12"/>
        <v>2.4748000000000001</v>
      </c>
      <c r="N307" s="242">
        <f>1932.15/1000</f>
        <v>1.93215</v>
      </c>
      <c r="O307" s="242">
        <f>542.65/1000</f>
        <v>0.54264999999999997</v>
      </c>
      <c r="P307" s="258"/>
      <c r="Q307" s="241" t="s">
        <v>90</v>
      </c>
      <c r="R307" s="365">
        <v>0.10929999999999999</v>
      </c>
      <c r="S307" s="361">
        <f t="shared" si="13"/>
        <v>168.08882666666665</v>
      </c>
      <c r="V307"/>
      <c r="W307"/>
    </row>
    <row r="308" spans="1:23" ht="15.75">
      <c r="A308" s="253">
        <f t="shared" si="14"/>
        <v>306</v>
      </c>
      <c r="B308" s="193" t="s">
        <v>773</v>
      </c>
      <c r="C308" s="298"/>
      <c r="D308" s="274" t="s">
        <v>2</v>
      </c>
      <c r="E308" s="279" t="s">
        <v>294</v>
      </c>
      <c r="F308" s="297">
        <v>1969</v>
      </c>
      <c r="G308" s="249" t="s">
        <v>283</v>
      </c>
      <c r="H308" s="185" t="s">
        <v>284</v>
      </c>
      <c r="I308" s="296">
        <v>49</v>
      </c>
      <c r="J308" s="295"/>
      <c r="K308" s="184">
        <v>0</v>
      </c>
      <c r="L308" s="184">
        <v>0</v>
      </c>
      <c r="M308" s="67">
        <f t="shared" si="12"/>
        <v>2.4443900000000003</v>
      </c>
      <c r="N308" s="242">
        <f>1915.39/1000</f>
        <v>1.9153900000000001</v>
      </c>
      <c r="O308" s="242">
        <f>529/1000</f>
        <v>0.52900000000000003</v>
      </c>
      <c r="P308" s="258"/>
      <c r="Q308" s="241" t="s">
        <v>90</v>
      </c>
      <c r="R308" s="365">
        <v>0.1016</v>
      </c>
      <c r="S308" s="361">
        <f t="shared" si="13"/>
        <v>156.2472533333333</v>
      </c>
      <c r="V308"/>
      <c r="W308"/>
    </row>
    <row r="309" spans="1:23" ht="15.75">
      <c r="A309" s="253">
        <f t="shared" si="14"/>
        <v>307</v>
      </c>
      <c r="B309" s="193" t="s">
        <v>772</v>
      </c>
      <c r="C309" s="298"/>
      <c r="D309" s="274" t="s">
        <v>2</v>
      </c>
      <c r="E309" s="279" t="s">
        <v>294</v>
      </c>
      <c r="F309" s="286">
        <v>1969</v>
      </c>
      <c r="G309" s="249" t="s">
        <v>283</v>
      </c>
      <c r="H309" s="185" t="s">
        <v>284</v>
      </c>
      <c r="I309" s="296">
        <v>51</v>
      </c>
      <c r="J309" s="295"/>
      <c r="K309" s="184">
        <v>0</v>
      </c>
      <c r="L309" s="184">
        <v>0</v>
      </c>
      <c r="M309" s="67">
        <f t="shared" si="12"/>
        <v>2.45777</v>
      </c>
      <c r="N309" s="242">
        <f>2011.42/1000</f>
        <v>2.0114200000000002</v>
      </c>
      <c r="O309" s="242">
        <f>446.35/1000</f>
        <v>0.44635000000000002</v>
      </c>
      <c r="P309" s="258"/>
      <c r="Q309" s="241" t="s">
        <v>90</v>
      </c>
      <c r="R309" s="365">
        <v>0.1103</v>
      </c>
      <c r="S309" s="361">
        <f t="shared" si="13"/>
        <v>169.62669333333332</v>
      </c>
      <c r="V309"/>
      <c r="W309"/>
    </row>
    <row r="310" spans="1:23" ht="15.75">
      <c r="A310" s="253">
        <f t="shared" si="14"/>
        <v>308</v>
      </c>
      <c r="B310" s="193" t="s">
        <v>771</v>
      </c>
      <c r="C310" s="298"/>
      <c r="D310" s="274" t="s">
        <v>2</v>
      </c>
      <c r="E310" s="279" t="s">
        <v>294</v>
      </c>
      <c r="F310" s="297">
        <v>1967</v>
      </c>
      <c r="G310" s="249" t="s">
        <v>283</v>
      </c>
      <c r="H310" s="185" t="s">
        <v>284</v>
      </c>
      <c r="I310" s="296">
        <v>50</v>
      </c>
      <c r="J310" s="295"/>
      <c r="K310" s="184">
        <v>0</v>
      </c>
      <c r="L310" s="184">
        <v>0</v>
      </c>
      <c r="M310" s="67">
        <f t="shared" si="12"/>
        <v>2.5179900000000002</v>
      </c>
      <c r="N310" s="242">
        <f>1988.03/1000</f>
        <v>1.98803</v>
      </c>
      <c r="O310" s="242">
        <f>529.96/1000</f>
        <v>0.52995999999999999</v>
      </c>
      <c r="P310" s="258"/>
      <c r="Q310" s="241" t="s">
        <v>90</v>
      </c>
      <c r="R310" s="365">
        <v>0.1109</v>
      </c>
      <c r="S310" s="361">
        <f t="shared" si="13"/>
        <v>170.54941333333335</v>
      </c>
      <c r="V310"/>
      <c r="W310"/>
    </row>
    <row r="311" spans="1:23" ht="15.75">
      <c r="A311" s="253">
        <f t="shared" si="14"/>
        <v>309</v>
      </c>
      <c r="B311" s="193" t="s">
        <v>770</v>
      </c>
      <c r="C311" s="298"/>
      <c r="D311" s="274" t="s">
        <v>2</v>
      </c>
      <c r="E311" s="279" t="s">
        <v>294</v>
      </c>
      <c r="F311" s="297">
        <v>1972</v>
      </c>
      <c r="G311" s="249" t="s">
        <v>283</v>
      </c>
      <c r="H311" s="185" t="s">
        <v>284</v>
      </c>
      <c r="I311" s="296">
        <v>43</v>
      </c>
      <c r="J311" s="295"/>
      <c r="K311" s="184">
        <v>0</v>
      </c>
      <c r="L311" s="184">
        <v>0</v>
      </c>
      <c r="M311" s="67">
        <f t="shared" si="12"/>
        <v>2.7597999999999998</v>
      </c>
      <c r="N311" s="242">
        <f>2272/1000</f>
        <v>2.2719999999999998</v>
      </c>
      <c r="O311" s="242">
        <f>487.8/1000</f>
        <v>0.48780000000000001</v>
      </c>
      <c r="P311" s="258"/>
      <c r="Q311" s="241" t="s">
        <v>90</v>
      </c>
      <c r="R311" s="365">
        <v>0.1381</v>
      </c>
      <c r="S311" s="361">
        <f t="shared" si="13"/>
        <v>212.37938666666668</v>
      </c>
      <c r="V311"/>
      <c r="W311"/>
    </row>
    <row r="312" spans="1:23" ht="15.75">
      <c r="A312" s="253">
        <f t="shared" si="14"/>
        <v>310</v>
      </c>
      <c r="B312" s="193" t="s">
        <v>769</v>
      </c>
      <c r="C312" s="298"/>
      <c r="D312" s="274" t="s">
        <v>2</v>
      </c>
      <c r="E312" s="279" t="s">
        <v>294</v>
      </c>
      <c r="F312" s="297">
        <v>1967</v>
      </c>
      <c r="G312" s="249" t="s">
        <v>283</v>
      </c>
      <c r="H312" s="185" t="s">
        <v>284</v>
      </c>
      <c r="I312" s="296">
        <v>54</v>
      </c>
      <c r="J312" s="295"/>
      <c r="K312" s="184">
        <v>0</v>
      </c>
      <c r="L312" s="184">
        <v>0</v>
      </c>
      <c r="M312" s="67">
        <f t="shared" si="12"/>
        <v>2.7410700000000001</v>
      </c>
      <c r="N312" s="242">
        <f>1997.19/1000</f>
        <v>1.99719</v>
      </c>
      <c r="O312" s="242">
        <f>743.88/1000</f>
        <v>0.74387999999999999</v>
      </c>
      <c r="P312" s="258"/>
      <c r="Q312" s="241" t="s">
        <v>90</v>
      </c>
      <c r="R312" s="365">
        <v>0.13189999999999999</v>
      </c>
      <c r="S312" s="361">
        <f t="shared" si="13"/>
        <v>202.84461333333329</v>
      </c>
      <c r="V312"/>
      <c r="W312"/>
    </row>
    <row r="313" spans="1:23" ht="15.75">
      <c r="A313" s="253">
        <f t="shared" si="14"/>
        <v>311</v>
      </c>
      <c r="B313" s="193" t="s">
        <v>768</v>
      </c>
      <c r="C313" s="298"/>
      <c r="D313" s="274" t="s">
        <v>2</v>
      </c>
      <c r="E313" s="279" t="s">
        <v>294</v>
      </c>
      <c r="F313" s="297">
        <v>1967</v>
      </c>
      <c r="G313" s="249" t="s">
        <v>283</v>
      </c>
      <c r="H313" s="185" t="s">
        <v>284</v>
      </c>
      <c r="I313" s="296">
        <v>67</v>
      </c>
      <c r="J313" s="295"/>
      <c r="K313" s="184">
        <v>0</v>
      </c>
      <c r="L313" s="184">
        <v>0</v>
      </c>
      <c r="M313" s="67">
        <f t="shared" si="12"/>
        <v>3.0516899999999998</v>
      </c>
      <c r="N313" s="242">
        <f>2931.47/1000</f>
        <v>2.93147</v>
      </c>
      <c r="O313" s="242">
        <f>120.22/1000</f>
        <v>0.12021999999999999</v>
      </c>
      <c r="P313" s="258"/>
      <c r="Q313" s="241" t="s">
        <v>90</v>
      </c>
      <c r="R313" s="365">
        <v>0.13669999999999999</v>
      </c>
      <c r="S313" s="361">
        <f t="shared" si="13"/>
        <v>210.22637333333333</v>
      </c>
      <c r="V313"/>
      <c r="W313"/>
    </row>
    <row r="314" spans="1:23" ht="15.75">
      <c r="A314" s="253">
        <f t="shared" si="14"/>
        <v>312</v>
      </c>
      <c r="B314" s="252" t="s">
        <v>545</v>
      </c>
      <c r="C314" s="298"/>
      <c r="D314" s="274" t="s">
        <v>2</v>
      </c>
      <c r="E314" s="299" t="s">
        <v>294</v>
      </c>
      <c r="F314" s="270">
        <v>1980</v>
      </c>
      <c r="G314" s="259" t="s">
        <v>283</v>
      </c>
      <c r="H314" s="185" t="s">
        <v>284</v>
      </c>
      <c r="I314" s="296">
        <v>115</v>
      </c>
      <c r="J314" s="295"/>
      <c r="K314" s="184">
        <v>0</v>
      </c>
      <c r="L314" s="184">
        <v>0</v>
      </c>
      <c r="M314" s="67">
        <f t="shared" si="12"/>
        <v>4.67943</v>
      </c>
      <c r="N314" s="242">
        <f>4470.99/1000</f>
        <v>4.4709899999999996</v>
      </c>
      <c r="O314" s="242">
        <f>208.44/1000</f>
        <v>0.20843999999999999</v>
      </c>
      <c r="P314" s="242"/>
      <c r="Q314" s="241" t="s">
        <v>90</v>
      </c>
      <c r="R314" s="365">
        <v>0.2261</v>
      </c>
      <c r="S314" s="361">
        <f t="shared" si="13"/>
        <v>347.71165333333335</v>
      </c>
      <c r="V314"/>
      <c r="W314"/>
    </row>
    <row r="315" spans="1:23" ht="15.75">
      <c r="A315" s="253">
        <f t="shared" si="14"/>
        <v>313</v>
      </c>
      <c r="B315" s="252" t="s">
        <v>494</v>
      </c>
      <c r="C315" s="298"/>
      <c r="D315" s="274" t="s">
        <v>2</v>
      </c>
      <c r="E315" s="299" t="s">
        <v>294</v>
      </c>
      <c r="F315" s="270">
        <v>1977</v>
      </c>
      <c r="G315" s="259" t="s">
        <v>283</v>
      </c>
      <c r="H315" s="185" t="s">
        <v>284</v>
      </c>
      <c r="I315" s="296">
        <v>36</v>
      </c>
      <c r="J315" s="295"/>
      <c r="K315" s="184">
        <v>0</v>
      </c>
      <c r="L315" s="184">
        <v>0</v>
      </c>
      <c r="M315" s="67">
        <f t="shared" si="12"/>
        <v>1.8325200000000001</v>
      </c>
      <c r="N315" s="242">
        <f>1745.14/1000</f>
        <v>1.7451400000000001</v>
      </c>
      <c r="O315" s="242">
        <f>87.38/1000</f>
        <v>8.7379999999999999E-2</v>
      </c>
      <c r="P315" s="242"/>
      <c r="Q315" s="241" t="s">
        <v>90</v>
      </c>
      <c r="R315" s="365">
        <v>8.2100000000000006E-2</v>
      </c>
      <c r="S315" s="361">
        <f t="shared" si="13"/>
        <v>126.25885333333335</v>
      </c>
      <c r="V315"/>
      <c r="W315"/>
    </row>
    <row r="316" spans="1:23" ht="15.75">
      <c r="A316" s="253">
        <f t="shared" si="14"/>
        <v>314</v>
      </c>
      <c r="B316" s="193" t="s">
        <v>767</v>
      </c>
      <c r="C316" s="298"/>
      <c r="D316" s="274" t="s">
        <v>2</v>
      </c>
      <c r="E316" s="279" t="s">
        <v>294</v>
      </c>
      <c r="F316" s="297">
        <v>1981</v>
      </c>
      <c r="G316" s="249" t="s">
        <v>283</v>
      </c>
      <c r="H316" s="185" t="s">
        <v>284</v>
      </c>
      <c r="I316" s="296">
        <v>20</v>
      </c>
      <c r="J316" s="295"/>
      <c r="K316" s="184">
        <v>0</v>
      </c>
      <c r="L316" s="184">
        <v>0</v>
      </c>
      <c r="M316" s="67">
        <f t="shared" si="12"/>
        <v>1.18553</v>
      </c>
      <c r="N316" s="242">
        <f>1109.89/1000</f>
        <v>1.10989</v>
      </c>
      <c r="O316" s="242">
        <f>75.64/1000</f>
        <v>7.5639999999999999E-2</v>
      </c>
      <c r="P316" s="258"/>
      <c r="Q316" s="241" t="s">
        <v>90</v>
      </c>
      <c r="R316" s="365">
        <v>6.2899999999999998E-2</v>
      </c>
      <c r="S316" s="361">
        <f t="shared" si="13"/>
        <v>96.731813333333321</v>
      </c>
      <c r="V316"/>
      <c r="W316"/>
    </row>
    <row r="317" spans="1:23" ht="15.75">
      <c r="A317" s="253">
        <f t="shared" si="14"/>
        <v>315</v>
      </c>
      <c r="B317" s="193" t="s">
        <v>766</v>
      </c>
      <c r="C317" s="298"/>
      <c r="D317" s="274" t="s">
        <v>2</v>
      </c>
      <c r="E317" s="279" t="s">
        <v>294</v>
      </c>
      <c r="F317" s="286">
        <v>1978</v>
      </c>
      <c r="G317" s="249" t="s">
        <v>283</v>
      </c>
      <c r="H317" s="185" t="s">
        <v>284</v>
      </c>
      <c r="I317" s="296">
        <v>63</v>
      </c>
      <c r="J317" s="295"/>
      <c r="K317" s="184">
        <v>0</v>
      </c>
      <c r="L317" s="184">
        <v>0</v>
      </c>
      <c r="M317" s="67">
        <f t="shared" si="12"/>
        <v>3.42041</v>
      </c>
      <c r="N317" s="242">
        <f>3323.27/1000</f>
        <v>3.3232699999999999</v>
      </c>
      <c r="O317" s="242">
        <f>97.14/1000</f>
        <v>9.7140000000000004E-2</v>
      </c>
      <c r="P317" s="258"/>
      <c r="Q317" s="241" t="s">
        <v>90</v>
      </c>
      <c r="R317" s="365">
        <v>0.218</v>
      </c>
      <c r="S317" s="361">
        <f t="shared" si="13"/>
        <v>335.25493333333338</v>
      </c>
      <c r="V317"/>
      <c r="W317"/>
    </row>
    <row r="318" spans="1:23" ht="15.75">
      <c r="A318" s="253">
        <f t="shared" si="14"/>
        <v>316</v>
      </c>
      <c r="B318" s="193" t="s">
        <v>765</v>
      </c>
      <c r="C318" s="298"/>
      <c r="D318" s="274" t="s">
        <v>2</v>
      </c>
      <c r="E318" s="279" t="s">
        <v>294</v>
      </c>
      <c r="F318" s="286">
        <v>1978</v>
      </c>
      <c r="G318" s="249" t="s">
        <v>283</v>
      </c>
      <c r="H318" s="185" t="s">
        <v>284</v>
      </c>
      <c r="I318" s="296">
        <v>65</v>
      </c>
      <c r="J318" s="295"/>
      <c r="K318" s="184">
        <v>0</v>
      </c>
      <c r="L318" s="184">
        <v>0</v>
      </c>
      <c r="M318" s="67">
        <f t="shared" si="12"/>
        <v>3.4438299999999997</v>
      </c>
      <c r="N318" s="242">
        <f>3428.45/1000</f>
        <v>3.4284499999999998</v>
      </c>
      <c r="O318" s="242">
        <f>15.38/1000</f>
        <v>1.5380000000000001E-2</v>
      </c>
      <c r="P318" s="258"/>
      <c r="Q318" s="241" t="s">
        <v>90</v>
      </c>
      <c r="R318" s="365">
        <v>0.18820000000000001</v>
      </c>
      <c r="S318" s="361">
        <f t="shared" si="13"/>
        <v>289.42650666666668</v>
      </c>
      <c r="V318"/>
      <c r="W318"/>
    </row>
    <row r="319" spans="1:23" ht="15.75">
      <c r="A319" s="253">
        <f t="shared" si="14"/>
        <v>317</v>
      </c>
      <c r="B319" s="193" t="s">
        <v>764</v>
      </c>
      <c r="C319" s="298"/>
      <c r="D319" s="274" t="s">
        <v>2</v>
      </c>
      <c r="E319" s="279" t="s">
        <v>294</v>
      </c>
      <c r="F319" s="286">
        <v>1983</v>
      </c>
      <c r="G319" s="249" t="s">
        <v>283</v>
      </c>
      <c r="H319" s="185" t="s">
        <v>284</v>
      </c>
      <c r="I319" s="296">
        <v>100</v>
      </c>
      <c r="J319" s="295"/>
      <c r="K319" s="184">
        <v>0</v>
      </c>
      <c r="L319" s="184">
        <v>0</v>
      </c>
      <c r="M319" s="67">
        <f t="shared" si="12"/>
        <v>6.1546999999999992</v>
      </c>
      <c r="N319" s="242">
        <f>5996.66/1000</f>
        <v>5.9966599999999994</v>
      </c>
      <c r="O319" s="242">
        <f>158.04/1000</f>
        <v>0.15803999999999999</v>
      </c>
      <c r="P319" s="258"/>
      <c r="Q319" s="241" t="s">
        <v>90</v>
      </c>
      <c r="R319" s="365">
        <v>0.30309999999999998</v>
      </c>
      <c r="S319" s="361">
        <f t="shared" si="13"/>
        <v>466.12738666666667</v>
      </c>
      <c r="V319"/>
      <c r="W319"/>
    </row>
    <row r="320" spans="1:23" ht="15.75">
      <c r="A320" s="253">
        <f t="shared" si="14"/>
        <v>318</v>
      </c>
      <c r="B320" s="193" t="s">
        <v>763</v>
      </c>
      <c r="C320" s="298"/>
      <c r="D320" s="274" t="s">
        <v>2</v>
      </c>
      <c r="E320" s="279" t="s">
        <v>294</v>
      </c>
      <c r="F320" s="297">
        <v>1984</v>
      </c>
      <c r="G320" s="249" t="s">
        <v>283</v>
      </c>
      <c r="H320" s="185" t="s">
        <v>284</v>
      </c>
      <c r="I320" s="296">
        <v>60</v>
      </c>
      <c r="J320" s="295"/>
      <c r="K320" s="184">
        <v>0</v>
      </c>
      <c r="L320" s="184">
        <v>0</v>
      </c>
      <c r="M320" s="67">
        <f t="shared" si="12"/>
        <v>3.51</v>
      </c>
      <c r="N320" s="242">
        <f>3454.85/1000</f>
        <v>3.45485</v>
      </c>
      <c r="O320" s="242">
        <f>55.15/1000</f>
        <v>5.5149999999999998E-2</v>
      </c>
      <c r="P320" s="266"/>
      <c r="Q320" s="241" t="s">
        <v>90</v>
      </c>
      <c r="R320" s="365">
        <v>0.20169999999999999</v>
      </c>
      <c r="S320" s="361">
        <f t="shared" si="13"/>
        <v>310.18770666666666</v>
      </c>
      <c r="V320"/>
      <c r="W320"/>
    </row>
    <row r="321" spans="1:23">
      <c r="A321" s="253">
        <f t="shared" si="14"/>
        <v>319</v>
      </c>
      <c r="B321" s="300" t="s">
        <v>762</v>
      </c>
      <c r="C321" s="298"/>
      <c r="D321" s="274" t="s">
        <v>2</v>
      </c>
      <c r="E321" s="279" t="s">
        <v>294</v>
      </c>
      <c r="F321" s="286">
        <v>1991</v>
      </c>
      <c r="G321" s="249" t="s">
        <v>283</v>
      </c>
      <c r="H321" s="185" t="s">
        <v>284</v>
      </c>
      <c r="I321" s="296">
        <v>38</v>
      </c>
      <c r="J321" s="295"/>
      <c r="K321" s="184">
        <v>0</v>
      </c>
      <c r="L321" s="184">
        <v>0</v>
      </c>
      <c r="M321" s="67">
        <f t="shared" si="12"/>
        <v>2.1238000000000001</v>
      </c>
      <c r="N321" s="242">
        <f>2012.6/1000</f>
        <v>2.0125999999999999</v>
      </c>
      <c r="O321" s="242">
        <f>111.2/1000</f>
        <v>0.11120000000000001</v>
      </c>
      <c r="P321" s="258"/>
      <c r="Q321" s="241" t="s">
        <v>90</v>
      </c>
      <c r="R321" s="365">
        <v>0.10150000000000001</v>
      </c>
      <c r="S321" s="361">
        <f t="shared" si="13"/>
        <v>156.09346666666667</v>
      </c>
      <c r="V321"/>
      <c r="W321"/>
    </row>
    <row r="322" spans="1:23" ht="15.75">
      <c r="A322" s="253">
        <f t="shared" si="14"/>
        <v>320</v>
      </c>
      <c r="B322" s="193" t="s">
        <v>761</v>
      </c>
      <c r="C322" s="298"/>
      <c r="D322" s="274" t="s">
        <v>2</v>
      </c>
      <c r="E322" s="279" t="s">
        <v>294</v>
      </c>
      <c r="F322" s="297">
        <v>2006</v>
      </c>
      <c r="G322" s="249" t="s">
        <v>283</v>
      </c>
      <c r="H322" s="185" t="s">
        <v>284</v>
      </c>
      <c r="I322" s="296">
        <v>44</v>
      </c>
      <c r="J322" s="295"/>
      <c r="K322" s="184">
        <v>0</v>
      </c>
      <c r="L322" s="184">
        <v>0</v>
      </c>
      <c r="M322" s="67">
        <f t="shared" si="12"/>
        <v>3.6682999999999999</v>
      </c>
      <c r="N322" s="242">
        <f>3578.47/1000</f>
        <v>3.5784699999999998</v>
      </c>
      <c r="O322" s="242">
        <f>89.83/1000</f>
        <v>8.9829999999999993E-2</v>
      </c>
      <c r="P322" s="258"/>
      <c r="Q322" s="241" t="s">
        <v>90</v>
      </c>
      <c r="R322" s="365">
        <v>0.1391</v>
      </c>
      <c r="S322" s="361">
        <f t="shared" si="13"/>
        <v>213.91725333333335</v>
      </c>
      <c r="V322"/>
      <c r="W322"/>
    </row>
    <row r="323" spans="1:23" ht="15.75">
      <c r="A323" s="253">
        <f t="shared" si="14"/>
        <v>321</v>
      </c>
      <c r="B323" s="193" t="s">
        <v>760</v>
      </c>
      <c r="C323" s="298"/>
      <c r="D323" s="274" t="s">
        <v>2</v>
      </c>
      <c r="E323" s="279" t="s">
        <v>294</v>
      </c>
      <c r="F323" s="286">
        <v>1995</v>
      </c>
      <c r="G323" s="249" t="s">
        <v>283</v>
      </c>
      <c r="H323" s="185" t="s">
        <v>284</v>
      </c>
      <c r="I323" s="296">
        <v>51</v>
      </c>
      <c r="J323" s="295"/>
      <c r="K323" s="184">
        <v>0</v>
      </c>
      <c r="L323" s="184">
        <v>0</v>
      </c>
      <c r="M323" s="67">
        <f t="shared" ref="M323:M386" si="15">N323+O323+P323</f>
        <v>3.4676</v>
      </c>
      <c r="N323" s="242">
        <f>2952.6/1000</f>
        <v>2.9525999999999999</v>
      </c>
      <c r="O323" s="242">
        <f>515/1000</f>
        <v>0.51500000000000001</v>
      </c>
      <c r="P323" s="258"/>
      <c r="Q323" s="241" t="s">
        <v>90</v>
      </c>
      <c r="R323" s="365">
        <v>0.12089999999999999</v>
      </c>
      <c r="S323" s="361">
        <f t="shared" ref="S323:S386" si="16">R323*24*158*((18-3.4)/36)</f>
        <v>185.92807999999999</v>
      </c>
      <c r="V323"/>
      <c r="W323"/>
    </row>
    <row r="324" spans="1:23" ht="15.75">
      <c r="A324" s="253">
        <f t="shared" ref="A324:A387" si="17">A323+1</f>
        <v>322</v>
      </c>
      <c r="B324" s="193" t="s">
        <v>759</v>
      </c>
      <c r="C324" s="298"/>
      <c r="D324" s="274" t="s">
        <v>2</v>
      </c>
      <c r="E324" s="279" t="s">
        <v>294</v>
      </c>
      <c r="F324" s="286">
        <v>1985</v>
      </c>
      <c r="G324" s="249" t="s">
        <v>283</v>
      </c>
      <c r="H324" s="185" t="s">
        <v>284</v>
      </c>
      <c r="I324" s="296">
        <v>53</v>
      </c>
      <c r="J324" s="295"/>
      <c r="K324" s="184">
        <v>0</v>
      </c>
      <c r="L324" s="184">
        <v>0</v>
      </c>
      <c r="M324" s="67">
        <f t="shared" si="15"/>
        <v>3.1914000000000002</v>
      </c>
      <c r="N324" s="242">
        <f>2403.84/1000</f>
        <v>2.4038400000000002</v>
      </c>
      <c r="O324" s="242">
        <f>787.56/1000</f>
        <v>0.78755999999999993</v>
      </c>
      <c r="P324" s="258"/>
      <c r="Q324" s="241" t="s">
        <v>90</v>
      </c>
      <c r="R324" s="365">
        <v>0.1363</v>
      </c>
      <c r="S324" s="361">
        <f t="shared" si="16"/>
        <v>209.61122666666668</v>
      </c>
      <c r="V324"/>
      <c r="W324"/>
    </row>
    <row r="325" spans="1:23" ht="15.75">
      <c r="A325" s="253">
        <f t="shared" si="17"/>
        <v>323</v>
      </c>
      <c r="B325" s="193" t="s">
        <v>758</v>
      </c>
      <c r="C325" s="298"/>
      <c r="D325" s="274" t="s">
        <v>2</v>
      </c>
      <c r="E325" s="279" t="s">
        <v>294</v>
      </c>
      <c r="F325" s="286">
        <v>1985</v>
      </c>
      <c r="G325" s="249" t="s">
        <v>283</v>
      </c>
      <c r="H325" s="185" t="s">
        <v>284</v>
      </c>
      <c r="I325" s="296">
        <v>49</v>
      </c>
      <c r="J325" s="295"/>
      <c r="K325" s="184">
        <v>0</v>
      </c>
      <c r="L325" s="184">
        <v>0</v>
      </c>
      <c r="M325" s="67">
        <f t="shared" si="15"/>
        <v>2.9838</v>
      </c>
      <c r="N325" s="242">
        <f>2290.74/1000</f>
        <v>2.29074</v>
      </c>
      <c r="O325" s="242">
        <f>693.06/1000</f>
        <v>0.6930599999999999</v>
      </c>
      <c r="P325" s="258"/>
      <c r="Q325" s="241" t="s">
        <v>90</v>
      </c>
      <c r="R325" s="365">
        <v>0.15210000000000001</v>
      </c>
      <c r="S325" s="361">
        <f t="shared" si="16"/>
        <v>233.90952000000004</v>
      </c>
      <c r="V325"/>
      <c r="W325"/>
    </row>
    <row r="326" spans="1:23" ht="15.75">
      <c r="A326" s="253">
        <f t="shared" si="17"/>
        <v>324</v>
      </c>
      <c r="B326" s="193" t="s">
        <v>757</v>
      </c>
      <c r="C326" s="298"/>
      <c r="D326" s="274" t="s">
        <v>2</v>
      </c>
      <c r="E326" s="279" t="s">
        <v>294</v>
      </c>
      <c r="F326" s="286">
        <v>1982</v>
      </c>
      <c r="G326" s="249" t="s">
        <v>283</v>
      </c>
      <c r="H326" s="185" t="s">
        <v>284</v>
      </c>
      <c r="I326" s="296">
        <v>61</v>
      </c>
      <c r="J326" s="295"/>
      <c r="K326" s="184">
        <v>0</v>
      </c>
      <c r="L326" s="184">
        <v>0</v>
      </c>
      <c r="M326" s="67">
        <f t="shared" si="15"/>
        <v>3.4840499999999999</v>
      </c>
      <c r="N326" s="242">
        <f>2771.2/1000</f>
        <v>2.7711999999999999</v>
      </c>
      <c r="O326" s="242">
        <f>712.85/1000</f>
        <v>0.71284999999999998</v>
      </c>
      <c r="P326" s="258"/>
      <c r="Q326" s="241" t="s">
        <v>90</v>
      </c>
      <c r="R326" s="365">
        <v>0.1603</v>
      </c>
      <c r="S326" s="361">
        <f t="shared" si="16"/>
        <v>246.52002666666669</v>
      </c>
      <c r="V326"/>
      <c r="W326"/>
    </row>
    <row r="327" spans="1:23" ht="15.75">
      <c r="A327" s="253">
        <f t="shared" si="17"/>
        <v>325</v>
      </c>
      <c r="B327" s="193" t="s">
        <v>756</v>
      </c>
      <c r="C327" s="298"/>
      <c r="D327" s="274" t="s">
        <v>2</v>
      </c>
      <c r="E327" s="279" t="s">
        <v>294</v>
      </c>
      <c r="F327" s="286">
        <v>1982</v>
      </c>
      <c r="G327" s="249" t="s">
        <v>283</v>
      </c>
      <c r="H327" s="185" t="s">
        <v>284</v>
      </c>
      <c r="I327" s="296">
        <v>45</v>
      </c>
      <c r="J327" s="295"/>
      <c r="K327" s="184">
        <v>0</v>
      </c>
      <c r="L327" s="184">
        <v>0</v>
      </c>
      <c r="M327" s="67">
        <f t="shared" si="15"/>
        <v>2.9361999999999999</v>
      </c>
      <c r="N327" s="242">
        <f>1944.77/1000</f>
        <v>1.9447699999999999</v>
      </c>
      <c r="O327" s="242">
        <f>991.43/1000</f>
        <v>0.99142999999999992</v>
      </c>
      <c r="P327" s="258"/>
      <c r="Q327" s="241" t="s">
        <v>90</v>
      </c>
      <c r="R327" s="365">
        <v>0.12130000000000001</v>
      </c>
      <c r="S327" s="361">
        <f t="shared" si="16"/>
        <v>186.54322666666667</v>
      </c>
      <c r="V327"/>
      <c r="W327"/>
    </row>
    <row r="328" spans="1:23" ht="15.75">
      <c r="A328" s="253">
        <f t="shared" si="17"/>
        <v>326</v>
      </c>
      <c r="B328" s="193" t="s">
        <v>755</v>
      </c>
      <c r="C328" s="298"/>
      <c r="D328" s="274" t="s">
        <v>2</v>
      </c>
      <c r="E328" s="279" t="s">
        <v>294</v>
      </c>
      <c r="F328" s="286">
        <v>1982</v>
      </c>
      <c r="G328" s="249" t="s">
        <v>283</v>
      </c>
      <c r="H328" s="185" t="s">
        <v>284</v>
      </c>
      <c r="I328" s="296">
        <v>87</v>
      </c>
      <c r="J328" s="295"/>
      <c r="K328" s="184">
        <v>0</v>
      </c>
      <c r="L328" s="184">
        <v>0</v>
      </c>
      <c r="M328" s="67">
        <f t="shared" si="15"/>
        <v>5.8689</v>
      </c>
      <c r="N328" s="242">
        <f>3896.5/1000</f>
        <v>3.8965000000000001</v>
      </c>
      <c r="O328" s="242">
        <f>1972.4/1000</f>
        <v>1.9724000000000002</v>
      </c>
      <c r="P328" s="258"/>
      <c r="Q328" s="241" t="s">
        <v>90</v>
      </c>
      <c r="R328" s="365">
        <v>0.24479999999999999</v>
      </c>
      <c r="S328" s="361">
        <f t="shared" si="16"/>
        <v>376.46975999999995</v>
      </c>
      <c r="V328"/>
      <c r="W328"/>
    </row>
    <row r="329" spans="1:23" ht="15.75">
      <c r="A329" s="253">
        <f t="shared" si="17"/>
        <v>327</v>
      </c>
      <c r="B329" s="193" t="s">
        <v>754</v>
      </c>
      <c r="C329" s="298"/>
      <c r="D329" s="274" t="s">
        <v>2</v>
      </c>
      <c r="E329" s="279" t="s">
        <v>294</v>
      </c>
      <c r="F329" s="297">
        <v>1985</v>
      </c>
      <c r="G329" s="249" t="s">
        <v>283</v>
      </c>
      <c r="H329" s="185" t="s">
        <v>284</v>
      </c>
      <c r="I329" s="296">
        <v>48</v>
      </c>
      <c r="J329" s="295"/>
      <c r="K329" s="184">
        <v>0</v>
      </c>
      <c r="L329" s="184">
        <v>0</v>
      </c>
      <c r="M329" s="67">
        <f t="shared" si="15"/>
        <v>2.6989999999999998</v>
      </c>
      <c r="N329" s="242">
        <f>2496.1/1000</f>
        <v>2.4960999999999998</v>
      </c>
      <c r="O329" s="242">
        <f>202.9/1000</f>
        <v>0.2029</v>
      </c>
      <c r="P329" s="258"/>
      <c r="Q329" s="241" t="s">
        <v>90</v>
      </c>
      <c r="R329" s="365">
        <v>0.12690000000000001</v>
      </c>
      <c r="S329" s="361">
        <f t="shared" si="16"/>
        <v>195.15528</v>
      </c>
      <c r="V329"/>
      <c r="W329"/>
    </row>
    <row r="330" spans="1:23" ht="15.75">
      <c r="A330" s="253">
        <f t="shared" si="17"/>
        <v>328</v>
      </c>
      <c r="B330" s="193" t="s">
        <v>753</v>
      </c>
      <c r="C330" s="298"/>
      <c r="D330" s="274" t="s">
        <v>2</v>
      </c>
      <c r="E330" s="279" t="s">
        <v>294</v>
      </c>
      <c r="F330" s="286">
        <v>1982</v>
      </c>
      <c r="G330" s="249" t="s">
        <v>283</v>
      </c>
      <c r="H330" s="185" t="s">
        <v>284</v>
      </c>
      <c r="I330" s="296">
        <v>42</v>
      </c>
      <c r="J330" s="295"/>
      <c r="K330" s="184">
        <v>0</v>
      </c>
      <c r="L330" s="184">
        <v>0</v>
      </c>
      <c r="M330" s="67">
        <f t="shared" si="15"/>
        <v>2.7252400000000003</v>
      </c>
      <c r="N330" s="242">
        <f>2182.15/1000</f>
        <v>2.18215</v>
      </c>
      <c r="O330" s="242">
        <f>543.09/1000</f>
        <v>0.54309000000000007</v>
      </c>
      <c r="P330" s="266"/>
      <c r="Q330" s="241" t="s">
        <v>90</v>
      </c>
      <c r="R330" s="365">
        <v>0.106</v>
      </c>
      <c r="S330" s="361">
        <f t="shared" si="16"/>
        <v>163.01386666666667</v>
      </c>
      <c r="V330"/>
      <c r="W330"/>
    </row>
    <row r="331" spans="1:23" ht="15.75">
      <c r="A331" s="253">
        <f t="shared" si="17"/>
        <v>329</v>
      </c>
      <c r="B331" s="193" t="s">
        <v>752</v>
      </c>
      <c r="C331" s="298"/>
      <c r="D331" s="274" t="s">
        <v>2</v>
      </c>
      <c r="E331" s="279" t="s">
        <v>294</v>
      </c>
      <c r="F331" s="297">
        <v>1989</v>
      </c>
      <c r="G331" s="249" t="s">
        <v>283</v>
      </c>
      <c r="H331" s="185" t="s">
        <v>284</v>
      </c>
      <c r="I331" s="296">
        <v>89</v>
      </c>
      <c r="J331" s="295"/>
      <c r="K331" s="184">
        <v>0</v>
      </c>
      <c r="L331" s="184">
        <v>0</v>
      </c>
      <c r="M331" s="67">
        <f t="shared" si="15"/>
        <v>3.7807499999999998</v>
      </c>
      <c r="N331" s="242">
        <f>3053.91/1000</f>
        <v>3.0539099999999997</v>
      </c>
      <c r="O331" s="242">
        <f>726.84/1000</f>
        <v>0.72684000000000004</v>
      </c>
      <c r="P331" s="258"/>
      <c r="Q331" s="241" t="s">
        <v>90</v>
      </c>
      <c r="R331" s="365">
        <v>0.152</v>
      </c>
      <c r="S331" s="361">
        <f t="shared" si="16"/>
        <v>233.7557333333333</v>
      </c>
      <c r="V331"/>
      <c r="W331"/>
    </row>
    <row r="332" spans="1:23" ht="15.75">
      <c r="A332" s="253">
        <f t="shared" si="17"/>
        <v>330</v>
      </c>
      <c r="B332" s="193" t="s">
        <v>751</v>
      </c>
      <c r="C332" s="298"/>
      <c r="D332" s="274" t="s">
        <v>2</v>
      </c>
      <c r="E332" s="279" t="s">
        <v>294</v>
      </c>
      <c r="F332" s="297">
        <v>1989</v>
      </c>
      <c r="G332" s="249" t="s">
        <v>283</v>
      </c>
      <c r="H332" s="185" t="s">
        <v>284</v>
      </c>
      <c r="I332" s="296">
        <v>115</v>
      </c>
      <c r="J332" s="295"/>
      <c r="K332" s="184">
        <v>0</v>
      </c>
      <c r="L332" s="184">
        <v>0</v>
      </c>
      <c r="M332" s="67">
        <f t="shared" si="15"/>
        <v>5.6898</v>
      </c>
      <c r="N332" s="242">
        <f>4002.76/1000</f>
        <v>4.0027600000000003</v>
      </c>
      <c r="O332" s="242">
        <f>1687.04/1000</f>
        <v>1.6870399999999999</v>
      </c>
      <c r="P332" s="258"/>
      <c r="Q332" s="241" t="s">
        <v>90</v>
      </c>
      <c r="R332" s="365">
        <v>0.20949999999999999</v>
      </c>
      <c r="S332" s="361">
        <f t="shared" si="16"/>
        <v>322.18306666666666</v>
      </c>
      <c r="V332"/>
      <c r="W332"/>
    </row>
    <row r="333" spans="1:23" ht="15.75">
      <c r="A333" s="253">
        <f t="shared" si="17"/>
        <v>331</v>
      </c>
      <c r="B333" s="193" t="s">
        <v>750</v>
      </c>
      <c r="C333" s="298"/>
      <c r="D333" s="274" t="s">
        <v>2</v>
      </c>
      <c r="E333" s="279" t="s">
        <v>294</v>
      </c>
      <c r="F333" s="286">
        <v>1992</v>
      </c>
      <c r="G333" s="249" t="s">
        <v>283</v>
      </c>
      <c r="H333" s="185" t="s">
        <v>284</v>
      </c>
      <c r="I333" s="296">
        <v>128</v>
      </c>
      <c r="J333" s="295"/>
      <c r="K333" s="184">
        <v>0</v>
      </c>
      <c r="L333" s="184">
        <v>0</v>
      </c>
      <c r="M333" s="67">
        <f t="shared" si="15"/>
        <v>8.299199999999999</v>
      </c>
      <c r="N333" s="242">
        <f>7077.14/1000</f>
        <v>7.07714</v>
      </c>
      <c r="O333" s="242">
        <f>1222.06/1000</f>
        <v>1.2220599999999999</v>
      </c>
      <c r="P333" s="258"/>
      <c r="Q333" s="241" t="s">
        <v>90</v>
      </c>
      <c r="R333" s="365">
        <v>0.33189999999999997</v>
      </c>
      <c r="S333" s="361">
        <f t="shared" si="16"/>
        <v>510.41794666666664</v>
      </c>
      <c r="V333"/>
      <c r="W333"/>
    </row>
    <row r="334" spans="1:23" ht="15.75">
      <c r="A334" s="253">
        <f t="shared" si="17"/>
        <v>332</v>
      </c>
      <c r="B334" s="193" t="s">
        <v>749</v>
      </c>
      <c r="C334" s="298"/>
      <c r="D334" s="274" t="s">
        <v>2</v>
      </c>
      <c r="E334" s="279" t="s">
        <v>294</v>
      </c>
      <c r="F334" s="286">
        <v>1991</v>
      </c>
      <c r="G334" s="249" t="s">
        <v>283</v>
      </c>
      <c r="H334" s="185" t="s">
        <v>284</v>
      </c>
      <c r="I334" s="296">
        <v>34</v>
      </c>
      <c r="J334" s="295"/>
      <c r="K334" s="184">
        <v>0</v>
      </c>
      <c r="L334" s="184">
        <v>0</v>
      </c>
      <c r="M334" s="67">
        <f t="shared" si="15"/>
        <v>2.3147000000000002</v>
      </c>
      <c r="N334" s="242">
        <f>2189/1000</f>
        <v>2.1890000000000001</v>
      </c>
      <c r="O334" s="242">
        <f>125.7/1000</f>
        <v>0.12570000000000001</v>
      </c>
      <c r="P334" s="258"/>
      <c r="Q334" s="241" t="s">
        <v>90</v>
      </c>
      <c r="R334" s="365">
        <v>0.1154</v>
      </c>
      <c r="S334" s="361">
        <f t="shared" si="16"/>
        <v>177.46981333333335</v>
      </c>
      <c r="V334"/>
      <c r="W334"/>
    </row>
    <row r="335" spans="1:23" ht="15.75">
      <c r="A335" s="253">
        <f t="shared" si="17"/>
        <v>333</v>
      </c>
      <c r="B335" s="193" t="s">
        <v>748</v>
      </c>
      <c r="C335" s="298"/>
      <c r="D335" s="274" t="s">
        <v>2</v>
      </c>
      <c r="E335" s="279" t="s">
        <v>294</v>
      </c>
      <c r="F335" s="286">
        <v>1988</v>
      </c>
      <c r="G335" s="249" t="s">
        <v>283</v>
      </c>
      <c r="H335" s="185" t="s">
        <v>284</v>
      </c>
      <c r="I335" s="296">
        <v>116</v>
      </c>
      <c r="J335" s="295"/>
      <c r="K335" s="184">
        <v>0</v>
      </c>
      <c r="L335" s="184">
        <v>0</v>
      </c>
      <c r="M335" s="67">
        <f t="shared" si="15"/>
        <v>6.6782499999999994</v>
      </c>
      <c r="N335" s="242">
        <f>6199.95/1000</f>
        <v>6.1999499999999994</v>
      </c>
      <c r="O335" s="242">
        <f>478.3/1000</f>
        <v>0.4783</v>
      </c>
      <c r="P335" s="258"/>
      <c r="Q335" s="241" t="s">
        <v>90</v>
      </c>
      <c r="R335" s="365">
        <v>0.25130000000000002</v>
      </c>
      <c r="S335" s="361">
        <f t="shared" si="16"/>
        <v>386.46589333333338</v>
      </c>
      <c r="V335"/>
      <c r="W335"/>
    </row>
    <row r="336" spans="1:23" ht="15.75">
      <c r="A336" s="253">
        <f t="shared" si="17"/>
        <v>334</v>
      </c>
      <c r="B336" s="193" t="s">
        <v>747</v>
      </c>
      <c r="C336" s="298"/>
      <c r="D336" s="274" t="s">
        <v>2</v>
      </c>
      <c r="E336" s="279" t="s">
        <v>294</v>
      </c>
      <c r="F336" s="286">
        <v>1990</v>
      </c>
      <c r="G336" s="249" t="s">
        <v>283</v>
      </c>
      <c r="H336" s="185" t="s">
        <v>284</v>
      </c>
      <c r="I336" s="296">
        <v>138</v>
      </c>
      <c r="J336" s="295"/>
      <c r="K336" s="184">
        <v>0</v>
      </c>
      <c r="L336" s="184">
        <v>0</v>
      </c>
      <c r="M336" s="67">
        <f t="shared" si="15"/>
        <v>8.1330000000000009</v>
      </c>
      <c r="N336" s="242">
        <f>7757.1/1000</f>
        <v>7.7571000000000003</v>
      </c>
      <c r="O336" s="242">
        <f>375.9/1000</f>
        <v>0.37589999999999996</v>
      </c>
      <c r="P336" s="258"/>
      <c r="Q336" s="241" t="s">
        <v>90</v>
      </c>
      <c r="R336" s="365">
        <v>0.33689999999999998</v>
      </c>
      <c r="S336" s="361">
        <f t="shared" si="16"/>
        <v>518.10727999999995</v>
      </c>
      <c r="V336"/>
      <c r="W336"/>
    </row>
    <row r="337" spans="1:23" ht="15.75">
      <c r="A337" s="253">
        <f t="shared" si="17"/>
        <v>335</v>
      </c>
      <c r="B337" s="193" t="s">
        <v>746</v>
      </c>
      <c r="C337" s="298"/>
      <c r="D337" s="274" t="s">
        <v>2</v>
      </c>
      <c r="E337" s="279" t="s">
        <v>294</v>
      </c>
      <c r="F337" s="297">
        <v>2003</v>
      </c>
      <c r="G337" s="249" t="s">
        <v>283</v>
      </c>
      <c r="H337" s="185" t="s">
        <v>284</v>
      </c>
      <c r="I337" s="296">
        <v>36</v>
      </c>
      <c r="J337" s="295"/>
      <c r="K337" s="184">
        <v>0</v>
      </c>
      <c r="L337" s="184">
        <v>0</v>
      </c>
      <c r="M337" s="67">
        <f t="shared" si="15"/>
        <v>2.0485899999999999</v>
      </c>
      <c r="N337" s="242">
        <f>2039.28/1000</f>
        <v>2.0392799999999998</v>
      </c>
      <c r="O337" s="242">
        <f>9.31/1000</f>
        <v>9.3100000000000006E-3</v>
      </c>
      <c r="P337" s="242"/>
      <c r="Q337" s="241" t="s">
        <v>90</v>
      </c>
      <c r="R337" s="365">
        <v>0.10009999999999999</v>
      </c>
      <c r="S337" s="361">
        <f t="shared" si="16"/>
        <v>153.94045333333335</v>
      </c>
      <c r="V337"/>
      <c r="W337"/>
    </row>
    <row r="338" spans="1:23" ht="15.75">
      <c r="A338" s="253">
        <f t="shared" si="17"/>
        <v>336</v>
      </c>
      <c r="B338" s="193" t="s">
        <v>493</v>
      </c>
      <c r="C338" s="298"/>
      <c r="D338" s="274" t="s">
        <v>2</v>
      </c>
      <c r="E338" s="279" t="s">
        <v>294</v>
      </c>
      <c r="F338" s="297">
        <v>2003</v>
      </c>
      <c r="G338" s="249" t="s">
        <v>283</v>
      </c>
      <c r="H338" s="185" t="s">
        <v>284</v>
      </c>
      <c r="I338" s="296">
        <v>33</v>
      </c>
      <c r="J338" s="295"/>
      <c r="K338" s="184">
        <v>0</v>
      </c>
      <c r="L338" s="184">
        <v>0</v>
      </c>
      <c r="M338" s="67">
        <f t="shared" si="15"/>
        <v>2.0609999999999999</v>
      </c>
      <c r="N338" s="242">
        <f>1816.55/1000</f>
        <v>1.8165499999999999</v>
      </c>
      <c r="O338" s="242">
        <f>244.45/1000</f>
        <v>0.24445</v>
      </c>
      <c r="P338" s="242"/>
      <c r="Q338" s="241" t="s">
        <v>90</v>
      </c>
      <c r="R338" s="365">
        <v>9.9500000000000005E-2</v>
      </c>
      <c r="S338" s="361">
        <f t="shared" si="16"/>
        <v>153.01773333333333</v>
      </c>
      <c r="V338"/>
      <c r="W338"/>
    </row>
    <row r="339" spans="1:23" ht="15.75">
      <c r="A339" s="253">
        <f t="shared" si="17"/>
        <v>337</v>
      </c>
      <c r="B339" s="252" t="s">
        <v>745</v>
      </c>
      <c r="C339" s="298"/>
      <c r="D339" s="274" t="s">
        <v>2</v>
      </c>
      <c r="E339" s="299" t="s">
        <v>294</v>
      </c>
      <c r="F339" s="267">
        <v>1990</v>
      </c>
      <c r="G339" s="259" t="s">
        <v>283</v>
      </c>
      <c r="H339" s="185" t="s">
        <v>284</v>
      </c>
      <c r="I339" s="296">
        <v>78</v>
      </c>
      <c r="J339" s="295"/>
      <c r="K339" s="184">
        <v>0</v>
      </c>
      <c r="L339" s="184">
        <v>0</v>
      </c>
      <c r="M339" s="67">
        <f t="shared" si="15"/>
        <v>6.5419</v>
      </c>
      <c r="N339" s="242">
        <f>(3800.64+1044.28)/1000</f>
        <v>4.8449200000000001</v>
      </c>
      <c r="O339" s="242">
        <f>(1220.36+476.62)/1000</f>
        <v>1.6969799999999999</v>
      </c>
      <c r="P339" s="258"/>
      <c r="Q339" s="241" t="s">
        <v>90</v>
      </c>
      <c r="R339" s="366">
        <f>0.175+0.052</f>
        <v>0.22699999999999998</v>
      </c>
      <c r="S339" s="361">
        <f t="shared" si="16"/>
        <v>349.09573333333327</v>
      </c>
      <c r="T339"/>
      <c r="U339"/>
      <c r="V339"/>
      <c r="W339"/>
    </row>
    <row r="340" spans="1:23" ht="15.75">
      <c r="A340" s="253">
        <f t="shared" si="17"/>
        <v>338</v>
      </c>
      <c r="B340" s="193" t="s">
        <v>744</v>
      </c>
      <c r="C340" s="298"/>
      <c r="D340" s="274" t="s">
        <v>2</v>
      </c>
      <c r="E340" s="279" t="s">
        <v>294</v>
      </c>
      <c r="F340" s="297">
        <v>1995</v>
      </c>
      <c r="G340" s="249" t="s">
        <v>283</v>
      </c>
      <c r="H340" s="185" t="s">
        <v>284</v>
      </c>
      <c r="I340" s="296">
        <v>72</v>
      </c>
      <c r="J340" s="295"/>
      <c r="K340" s="184">
        <v>0</v>
      </c>
      <c r="L340" s="184">
        <v>0</v>
      </c>
      <c r="M340" s="67">
        <f t="shared" si="15"/>
        <v>7.0013199999999998</v>
      </c>
      <c r="N340" s="242">
        <f>4082.42/1000</f>
        <v>4.0824199999999999</v>
      </c>
      <c r="O340" s="242">
        <f>2918.9/1000</f>
        <v>2.9189000000000003</v>
      </c>
      <c r="P340" s="266"/>
      <c r="Q340" s="241" t="s">
        <v>90</v>
      </c>
      <c r="R340" s="365">
        <v>0.22720000000000001</v>
      </c>
      <c r="S340" s="361">
        <f t="shared" si="16"/>
        <v>349.40330666666665</v>
      </c>
      <c r="T340"/>
      <c r="U340"/>
      <c r="V340"/>
      <c r="W340"/>
    </row>
    <row r="341" spans="1:23" ht="15.75">
      <c r="A341" s="253">
        <f t="shared" si="17"/>
        <v>339</v>
      </c>
      <c r="B341" s="193" t="s">
        <v>743</v>
      </c>
      <c r="C341" s="298"/>
      <c r="D341" s="274" t="s">
        <v>2</v>
      </c>
      <c r="E341" s="279" t="s">
        <v>294</v>
      </c>
      <c r="F341" s="297">
        <v>1995</v>
      </c>
      <c r="G341" s="249" t="s">
        <v>283</v>
      </c>
      <c r="H341" s="185" t="s">
        <v>284</v>
      </c>
      <c r="I341" s="296">
        <v>30</v>
      </c>
      <c r="J341" s="295"/>
      <c r="K341" s="184">
        <v>0</v>
      </c>
      <c r="L341" s="184">
        <v>0</v>
      </c>
      <c r="M341" s="67">
        <f t="shared" si="15"/>
        <v>2.7256999999999998</v>
      </c>
      <c r="N341" s="242">
        <f>1709.33/1000</f>
        <v>1.70933</v>
      </c>
      <c r="O341" s="242">
        <f>1016.37/1000</f>
        <v>1.01637</v>
      </c>
      <c r="P341" s="266"/>
      <c r="Q341" s="241" t="s">
        <v>90</v>
      </c>
      <c r="R341" s="366">
        <v>0.10199999999999999</v>
      </c>
      <c r="S341" s="361">
        <f t="shared" si="16"/>
        <v>156.86240000000001</v>
      </c>
      <c r="T341"/>
      <c r="U341"/>
      <c r="V341"/>
      <c r="W341"/>
    </row>
    <row r="342" spans="1:23" ht="15.75">
      <c r="A342" s="253">
        <f t="shared" si="17"/>
        <v>340</v>
      </c>
      <c r="B342" s="193" t="s">
        <v>742</v>
      </c>
      <c r="C342" s="298"/>
      <c r="D342" s="274" t="s">
        <v>2</v>
      </c>
      <c r="E342" s="279" t="s">
        <v>294</v>
      </c>
      <c r="F342" s="286">
        <v>1989</v>
      </c>
      <c r="G342" s="249" t="s">
        <v>283</v>
      </c>
      <c r="H342" s="185" t="s">
        <v>284</v>
      </c>
      <c r="I342" s="296">
        <v>29</v>
      </c>
      <c r="J342" s="295"/>
      <c r="K342" s="184">
        <v>0</v>
      </c>
      <c r="L342" s="184">
        <v>0</v>
      </c>
      <c r="M342" s="67">
        <f t="shared" si="15"/>
        <v>1.6950000000000001</v>
      </c>
      <c r="N342" s="242">
        <f>1695/1000</f>
        <v>1.6950000000000001</v>
      </c>
      <c r="O342" s="242"/>
      <c r="P342" s="266"/>
      <c r="Q342" s="241" t="s">
        <v>90</v>
      </c>
      <c r="R342" s="365">
        <v>9.2299999999999993E-2</v>
      </c>
      <c r="S342" s="361">
        <f t="shared" si="16"/>
        <v>141.94509333333335</v>
      </c>
      <c r="T342"/>
      <c r="U342"/>
      <c r="V342"/>
      <c r="W342"/>
    </row>
    <row r="343" spans="1:23" ht="15.75">
      <c r="A343" s="253">
        <f t="shared" si="17"/>
        <v>341</v>
      </c>
      <c r="B343" s="193" t="s">
        <v>741</v>
      </c>
      <c r="C343" s="298"/>
      <c r="D343" s="274" t="s">
        <v>2</v>
      </c>
      <c r="E343" s="279" t="s">
        <v>294</v>
      </c>
      <c r="F343" s="286">
        <v>1998</v>
      </c>
      <c r="G343" s="249" t="s">
        <v>283</v>
      </c>
      <c r="H343" s="185" t="s">
        <v>284</v>
      </c>
      <c r="I343" s="296">
        <v>98</v>
      </c>
      <c r="J343" s="295"/>
      <c r="K343" s="184">
        <v>0</v>
      </c>
      <c r="L343" s="184">
        <v>0</v>
      </c>
      <c r="M343" s="67">
        <f t="shared" si="15"/>
        <v>5.7531099999999995</v>
      </c>
      <c r="N343" s="242">
        <f>4513.98/1000</f>
        <v>4.5139799999999992</v>
      </c>
      <c r="O343" s="242">
        <f>1239.13/1000</f>
        <v>1.2391300000000001</v>
      </c>
      <c r="P343" s="266"/>
      <c r="Q343" s="241" t="s">
        <v>90</v>
      </c>
      <c r="R343" s="365">
        <v>0.28810000000000002</v>
      </c>
      <c r="S343" s="361">
        <f t="shared" si="16"/>
        <v>443.05938666666668</v>
      </c>
      <c r="T343"/>
      <c r="U343"/>
      <c r="V343"/>
      <c r="W343"/>
    </row>
    <row r="344" spans="1:23" ht="15.75">
      <c r="A344" s="253">
        <f t="shared" si="17"/>
        <v>342</v>
      </c>
      <c r="B344" s="193" t="s">
        <v>740</v>
      </c>
      <c r="C344" s="298"/>
      <c r="D344" s="274" t="s">
        <v>2</v>
      </c>
      <c r="E344" s="279" t="s">
        <v>294</v>
      </c>
      <c r="F344" s="286">
        <v>1977</v>
      </c>
      <c r="G344" s="249" t="s">
        <v>283</v>
      </c>
      <c r="H344" s="185" t="s">
        <v>284</v>
      </c>
      <c r="I344" s="296">
        <v>65</v>
      </c>
      <c r="J344" s="295"/>
      <c r="K344" s="184">
        <v>0</v>
      </c>
      <c r="L344" s="184">
        <v>0</v>
      </c>
      <c r="M344" s="67">
        <f t="shared" si="15"/>
        <v>3.3930200000000004</v>
      </c>
      <c r="N344" s="242">
        <f>3356.32/1000</f>
        <v>3.3563200000000002</v>
      </c>
      <c r="O344" s="242">
        <f>36.7/1000</f>
        <v>3.6700000000000003E-2</v>
      </c>
      <c r="P344" s="258"/>
      <c r="Q344" s="241" t="s">
        <v>90</v>
      </c>
      <c r="R344" s="365">
        <v>0.19589999999999999</v>
      </c>
      <c r="S344" s="361">
        <f t="shared" si="16"/>
        <v>301.26808</v>
      </c>
      <c r="T344"/>
      <c r="U344"/>
      <c r="V344"/>
      <c r="W344"/>
    </row>
    <row r="345" spans="1:23" ht="15.75">
      <c r="A345" s="253">
        <f t="shared" si="17"/>
        <v>343</v>
      </c>
      <c r="B345" s="193" t="s">
        <v>739</v>
      </c>
      <c r="C345" s="298"/>
      <c r="D345" s="274" t="s">
        <v>2</v>
      </c>
      <c r="E345" s="279" t="s">
        <v>294</v>
      </c>
      <c r="F345" s="286">
        <v>1972</v>
      </c>
      <c r="G345" s="249" t="s">
        <v>283</v>
      </c>
      <c r="H345" s="185" t="s">
        <v>284</v>
      </c>
      <c r="I345" s="296">
        <v>98</v>
      </c>
      <c r="J345" s="295"/>
      <c r="K345" s="184">
        <v>0</v>
      </c>
      <c r="L345" s="184">
        <v>0</v>
      </c>
      <c r="M345" s="67">
        <f t="shared" si="15"/>
        <v>4.44956</v>
      </c>
      <c r="N345" s="242">
        <f>4449.56/1000</f>
        <v>4.44956</v>
      </c>
      <c r="O345" s="242"/>
      <c r="P345" s="258"/>
      <c r="Q345" s="241" t="s">
        <v>90</v>
      </c>
      <c r="R345" s="365">
        <v>0.21659999999999999</v>
      </c>
      <c r="S345" s="361">
        <f t="shared" si="16"/>
        <v>333.10191999999995</v>
      </c>
      <c r="T345"/>
      <c r="U345"/>
      <c r="V345"/>
      <c r="W345"/>
    </row>
    <row r="346" spans="1:23" ht="15.75">
      <c r="A346" s="253">
        <f t="shared" si="17"/>
        <v>344</v>
      </c>
      <c r="B346" s="193" t="s">
        <v>738</v>
      </c>
      <c r="C346" s="298"/>
      <c r="D346" s="274" t="s">
        <v>2</v>
      </c>
      <c r="E346" s="279" t="s">
        <v>294</v>
      </c>
      <c r="F346" s="297">
        <v>1974</v>
      </c>
      <c r="G346" s="249" t="s">
        <v>283</v>
      </c>
      <c r="H346" s="185" t="s">
        <v>284</v>
      </c>
      <c r="I346" s="296">
        <v>95</v>
      </c>
      <c r="J346" s="295"/>
      <c r="K346" s="184">
        <v>0</v>
      </c>
      <c r="L346" s="184">
        <v>0</v>
      </c>
      <c r="M346" s="67">
        <f t="shared" si="15"/>
        <v>4.3820800000000002</v>
      </c>
      <c r="N346" s="242">
        <f>4201.53/1000</f>
        <v>4.20153</v>
      </c>
      <c r="O346" s="242">
        <f>180.55/1000</f>
        <v>0.18055000000000002</v>
      </c>
      <c r="P346" s="258"/>
      <c r="Q346" s="241" t="s">
        <v>90</v>
      </c>
      <c r="R346" s="365">
        <v>0.21940000000000001</v>
      </c>
      <c r="S346" s="361">
        <f t="shared" si="16"/>
        <v>337.40794666666665</v>
      </c>
      <c r="T346"/>
      <c r="U346"/>
      <c r="V346"/>
      <c r="W346"/>
    </row>
    <row r="347" spans="1:23" ht="15.75">
      <c r="A347" s="253">
        <f t="shared" si="17"/>
        <v>345</v>
      </c>
      <c r="B347" s="193" t="s">
        <v>737</v>
      </c>
      <c r="C347" s="298"/>
      <c r="D347" s="274" t="s">
        <v>2</v>
      </c>
      <c r="E347" s="279" t="s">
        <v>294</v>
      </c>
      <c r="F347" s="286">
        <v>1975</v>
      </c>
      <c r="G347" s="249" t="s">
        <v>283</v>
      </c>
      <c r="H347" s="185" t="s">
        <v>284</v>
      </c>
      <c r="I347" s="296">
        <v>96</v>
      </c>
      <c r="J347" s="295"/>
      <c r="K347" s="184">
        <v>0</v>
      </c>
      <c r="L347" s="184">
        <v>0</v>
      </c>
      <c r="M347" s="67">
        <f t="shared" si="15"/>
        <v>4.4364700000000008</v>
      </c>
      <c r="N347" s="242">
        <f>4274.13/1000</f>
        <v>4.2741300000000004</v>
      </c>
      <c r="O347" s="242">
        <f>162.34/1000</f>
        <v>0.16234000000000001</v>
      </c>
      <c r="P347" s="258"/>
      <c r="Q347" s="241" t="s">
        <v>90</v>
      </c>
      <c r="R347" s="365">
        <v>0.22459999999999999</v>
      </c>
      <c r="S347" s="361">
        <f t="shared" si="16"/>
        <v>345.40485333333334</v>
      </c>
      <c r="T347"/>
      <c r="U347"/>
      <c r="V347"/>
      <c r="W347"/>
    </row>
    <row r="348" spans="1:23" ht="15.75">
      <c r="A348" s="253">
        <f t="shared" si="17"/>
        <v>346</v>
      </c>
      <c r="B348" s="193" t="s">
        <v>736</v>
      </c>
      <c r="C348" s="298"/>
      <c r="D348" s="274" t="s">
        <v>2</v>
      </c>
      <c r="E348" s="279" t="s">
        <v>294</v>
      </c>
      <c r="F348" s="297">
        <v>1962</v>
      </c>
      <c r="G348" s="249" t="s">
        <v>283</v>
      </c>
      <c r="H348" s="185" t="s">
        <v>284</v>
      </c>
      <c r="I348" s="296">
        <v>62</v>
      </c>
      <c r="J348" s="295"/>
      <c r="K348" s="184">
        <v>0</v>
      </c>
      <c r="L348" s="184">
        <v>0</v>
      </c>
      <c r="M348" s="67">
        <f t="shared" si="15"/>
        <v>3.1543200000000002</v>
      </c>
      <c r="N348" s="242">
        <f>2637.01/1000</f>
        <v>2.6370100000000001</v>
      </c>
      <c r="O348" s="242">
        <f>517.31/1000</f>
        <v>0.51730999999999994</v>
      </c>
      <c r="P348" s="266"/>
      <c r="Q348" s="241" t="s">
        <v>90</v>
      </c>
      <c r="R348" s="366">
        <v>0.15720000000000001</v>
      </c>
      <c r="S348" s="361">
        <f t="shared" si="16"/>
        <v>241.75263999999999</v>
      </c>
      <c r="T348"/>
      <c r="U348"/>
      <c r="V348"/>
      <c r="W348"/>
    </row>
    <row r="349" spans="1:23" ht="15.75">
      <c r="A349" s="253">
        <f t="shared" si="17"/>
        <v>347</v>
      </c>
      <c r="B349" s="193" t="s">
        <v>735</v>
      </c>
      <c r="C349" s="298"/>
      <c r="D349" s="274" t="s">
        <v>2</v>
      </c>
      <c r="E349" s="279" t="s">
        <v>294</v>
      </c>
      <c r="F349" s="297">
        <v>1979</v>
      </c>
      <c r="G349" s="249" t="s">
        <v>283</v>
      </c>
      <c r="H349" s="185" t="s">
        <v>284</v>
      </c>
      <c r="I349" s="296">
        <v>55</v>
      </c>
      <c r="J349" s="295"/>
      <c r="K349" s="184">
        <v>0</v>
      </c>
      <c r="L349" s="184">
        <v>0</v>
      </c>
      <c r="M349" s="67">
        <f t="shared" si="15"/>
        <v>3.4414000000000002</v>
      </c>
      <c r="N349" s="242">
        <f>2852.78/1000</f>
        <v>2.8527800000000001</v>
      </c>
      <c r="O349" s="242">
        <f>588.62/1000</f>
        <v>0.58862000000000003</v>
      </c>
      <c r="P349" s="258"/>
      <c r="Q349" s="241" t="s">
        <v>90</v>
      </c>
      <c r="R349" s="365">
        <v>0.14599999999999999</v>
      </c>
      <c r="S349" s="361">
        <f t="shared" si="16"/>
        <v>224.52853333333331</v>
      </c>
      <c r="T349"/>
      <c r="U349"/>
      <c r="V349"/>
      <c r="W349"/>
    </row>
    <row r="350" spans="1:23" ht="15.75">
      <c r="A350" s="253">
        <f t="shared" si="17"/>
        <v>348</v>
      </c>
      <c r="B350" s="193" t="s">
        <v>734</v>
      </c>
      <c r="C350" s="298"/>
      <c r="D350" s="274" t="s">
        <v>2</v>
      </c>
      <c r="E350" s="279" t="s">
        <v>294</v>
      </c>
      <c r="F350" s="297">
        <v>1980</v>
      </c>
      <c r="G350" s="249" t="s">
        <v>283</v>
      </c>
      <c r="H350" s="185" t="s">
        <v>284</v>
      </c>
      <c r="I350" s="296">
        <v>55</v>
      </c>
      <c r="J350" s="295"/>
      <c r="K350" s="184">
        <v>0</v>
      </c>
      <c r="L350" s="184">
        <v>0</v>
      </c>
      <c r="M350" s="67">
        <f t="shared" si="15"/>
        <v>3.4143100000000004</v>
      </c>
      <c r="N350" s="242">
        <f>2787.05/1000</f>
        <v>2.7870500000000002</v>
      </c>
      <c r="O350" s="242">
        <f>627.26/1000</f>
        <v>0.62726000000000004</v>
      </c>
      <c r="P350" s="258"/>
      <c r="Q350" s="241" t="s">
        <v>90</v>
      </c>
      <c r="R350" s="365">
        <v>0.14960000000000001</v>
      </c>
      <c r="S350" s="361">
        <f t="shared" si="16"/>
        <v>230.06485333333336</v>
      </c>
      <c r="T350"/>
      <c r="U350"/>
      <c r="V350"/>
      <c r="W350"/>
    </row>
    <row r="351" spans="1:23" ht="15.75">
      <c r="A351" s="253">
        <f t="shared" si="17"/>
        <v>349</v>
      </c>
      <c r="B351" s="193" t="s">
        <v>733</v>
      </c>
      <c r="C351" s="298"/>
      <c r="D351" s="274" t="s">
        <v>2</v>
      </c>
      <c r="E351" s="279" t="s">
        <v>294</v>
      </c>
      <c r="F351" s="297">
        <v>1982</v>
      </c>
      <c r="G351" s="249" t="s">
        <v>283</v>
      </c>
      <c r="H351" s="185" t="s">
        <v>284</v>
      </c>
      <c r="I351" s="296">
        <v>18</v>
      </c>
      <c r="J351" s="295"/>
      <c r="K351" s="184">
        <v>0</v>
      </c>
      <c r="L351" s="184">
        <v>0</v>
      </c>
      <c r="M351" s="67">
        <f t="shared" si="15"/>
        <v>1.282</v>
      </c>
      <c r="N351" s="242">
        <f>801.01/1000</f>
        <v>0.80101</v>
      </c>
      <c r="O351" s="242">
        <f>480.99/1000</f>
        <v>0.48099000000000003</v>
      </c>
      <c r="P351" s="258"/>
      <c r="Q351" s="241" t="s">
        <v>90</v>
      </c>
      <c r="R351" s="365">
        <v>5.8599999999999999E-2</v>
      </c>
      <c r="S351" s="361">
        <f t="shared" si="16"/>
        <v>90.118986666666672</v>
      </c>
      <c r="T351"/>
      <c r="U351"/>
      <c r="V351"/>
      <c r="W351"/>
    </row>
    <row r="352" spans="1:23" ht="15.75">
      <c r="A352" s="253">
        <f t="shared" si="17"/>
        <v>350</v>
      </c>
      <c r="B352" s="193" t="s">
        <v>732</v>
      </c>
      <c r="C352" s="298"/>
      <c r="D352" s="274" t="s">
        <v>2</v>
      </c>
      <c r="E352" s="279" t="s">
        <v>294</v>
      </c>
      <c r="F352" s="297">
        <v>1973</v>
      </c>
      <c r="G352" s="249" t="s">
        <v>283</v>
      </c>
      <c r="H352" s="185" t="s">
        <v>284</v>
      </c>
      <c r="I352" s="296">
        <v>94</v>
      </c>
      <c r="J352" s="295"/>
      <c r="K352" s="184">
        <v>0</v>
      </c>
      <c r="L352" s="184">
        <v>0</v>
      </c>
      <c r="M352" s="67">
        <f t="shared" si="15"/>
        <v>4.4236500000000003</v>
      </c>
      <c r="N352" s="242">
        <f>3969.67/1000</f>
        <v>3.9696700000000003</v>
      </c>
      <c r="O352" s="242">
        <f>453.98/1000</f>
        <v>0.45397999999999999</v>
      </c>
      <c r="P352" s="258"/>
      <c r="Q352" s="241" t="s">
        <v>90</v>
      </c>
      <c r="R352" s="365">
        <v>0.2056</v>
      </c>
      <c r="S352" s="361">
        <f t="shared" si="16"/>
        <v>316.18538666666672</v>
      </c>
      <c r="T352"/>
      <c r="U352"/>
      <c r="V352"/>
      <c r="W352"/>
    </row>
    <row r="353" spans="1:23" ht="45">
      <c r="A353" s="253">
        <f t="shared" si="17"/>
        <v>351</v>
      </c>
      <c r="B353" s="193" t="s">
        <v>731</v>
      </c>
      <c r="C353" s="196" t="s">
        <v>706</v>
      </c>
      <c r="D353" s="198" t="s">
        <v>500</v>
      </c>
      <c r="E353" s="197">
        <v>2</v>
      </c>
      <c r="F353" s="257">
        <v>1972</v>
      </c>
      <c r="G353" s="249" t="s">
        <v>283</v>
      </c>
      <c r="H353" s="248"/>
      <c r="I353" s="247">
        <v>1</v>
      </c>
      <c r="J353" s="246"/>
      <c r="K353" s="245"/>
      <c r="L353" s="245"/>
      <c r="M353" s="67">
        <f t="shared" si="15"/>
        <v>0</v>
      </c>
      <c r="N353" s="242"/>
      <c r="O353" s="243"/>
      <c r="P353" s="258"/>
      <c r="Q353" s="262">
        <f>1982/1000</f>
        <v>1.982</v>
      </c>
      <c r="R353" s="367">
        <v>6.7599999999999993E-2</v>
      </c>
      <c r="S353" s="361">
        <f t="shared" si="16"/>
        <v>103.95978666666664</v>
      </c>
      <c r="T353"/>
      <c r="U353"/>
      <c r="V353"/>
      <c r="W353"/>
    </row>
    <row r="354" spans="1:23" ht="45">
      <c r="A354" s="253">
        <f t="shared" si="17"/>
        <v>352</v>
      </c>
      <c r="B354" s="193" t="s">
        <v>730</v>
      </c>
      <c r="C354" s="196" t="s">
        <v>729</v>
      </c>
      <c r="D354" s="198" t="s">
        <v>500</v>
      </c>
      <c r="E354" s="197">
        <v>2</v>
      </c>
      <c r="F354" s="257">
        <v>1973</v>
      </c>
      <c r="G354" s="249" t="s">
        <v>283</v>
      </c>
      <c r="H354" s="248"/>
      <c r="I354" s="247"/>
      <c r="J354" s="246"/>
      <c r="K354" s="245"/>
      <c r="L354" s="245"/>
      <c r="M354" s="67">
        <f t="shared" si="15"/>
        <v>0</v>
      </c>
      <c r="N354" s="242"/>
      <c r="O354" s="243"/>
      <c r="P354" s="258"/>
      <c r="Q354" s="264">
        <f>1594.5/1000</f>
        <v>1.5945</v>
      </c>
      <c r="R354" s="367">
        <v>0.11650000000000001</v>
      </c>
      <c r="S354" s="361">
        <f t="shared" si="16"/>
        <v>179.16146666666668</v>
      </c>
      <c r="T354"/>
      <c r="U354"/>
      <c r="V354"/>
      <c r="W354"/>
    </row>
    <row r="355" spans="1:23" ht="45">
      <c r="A355" s="253">
        <f t="shared" si="17"/>
        <v>353</v>
      </c>
      <c r="B355" s="193" t="s">
        <v>728</v>
      </c>
      <c r="C355" s="196" t="s">
        <v>727</v>
      </c>
      <c r="D355" s="198" t="s">
        <v>500</v>
      </c>
      <c r="E355" s="197">
        <v>3</v>
      </c>
      <c r="F355" s="257">
        <v>1968</v>
      </c>
      <c r="G355" s="249" t="s">
        <v>283</v>
      </c>
      <c r="H355" s="248"/>
      <c r="I355" s="247"/>
      <c r="J355" s="246"/>
      <c r="K355" s="245"/>
      <c r="L355" s="245"/>
      <c r="M355" s="67">
        <f t="shared" si="15"/>
        <v>0</v>
      </c>
      <c r="N355" s="242"/>
      <c r="O355" s="243"/>
      <c r="P355" s="258"/>
      <c r="Q355" s="264">
        <f>3823/1000</f>
        <v>3.823</v>
      </c>
      <c r="R355" s="367">
        <v>0.22950000000000001</v>
      </c>
      <c r="S355" s="361">
        <f t="shared" si="16"/>
        <v>352.94040000000001</v>
      </c>
      <c r="T355"/>
      <c r="U355"/>
      <c r="V355"/>
      <c r="W355"/>
    </row>
    <row r="356" spans="1:23" ht="45">
      <c r="A356" s="253">
        <f t="shared" si="17"/>
        <v>354</v>
      </c>
      <c r="B356" s="193" t="s">
        <v>726</v>
      </c>
      <c r="C356" s="196" t="s">
        <v>725</v>
      </c>
      <c r="D356" s="198" t="s">
        <v>500</v>
      </c>
      <c r="E356" s="197">
        <v>4</v>
      </c>
      <c r="F356" s="257">
        <v>1958</v>
      </c>
      <c r="G356" s="249" t="s">
        <v>283</v>
      </c>
      <c r="H356" s="248"/>
      <c r="I356" s="247"/>
      <c r="J356" s="246"/>
      <c r="K356" s="245"/>
      <c r="L356" s="245"/>
      <c r="M356" s="67">
        <f t="shared" si="15"/>
        <v>0</v>
      </c>
      <c r="N356" s="242"/>
      <c r="O356" s="243"/>
      <c r="P356" s="258"/>
      <c r="Q356" s="264">
        <f>3649.5/1000</f>
        <v>3.6495000000000002</v>
      </c>
      <c r="R356" s="367">
        <v>0.22789999999999999</v>
      </c>
      <c r="S356" s="361">
        <f t="shared" si="16"/>
        <v>350.47981333333331</v>
      </c>
      <c r="T356"/>
      <c r="U356"/>
      <c r="V356"/>
      <c r="W356"/>
    </row>
    <row r="357" spans="1:23" ht="45">
      <c r="A357" s="253">
        <f t="shared" si="17"/>
        <v>355</v>
      </c>
      <c r="B357" s="193" t="s">
        <v>724</v>
      </c>
      <c r="C357" s="196" t="s">
        <v>723</v>
      </c>
      <c r="D357" s="198" t="s">
        <v>500</v>
      </c>
      <c r="E357" s="197">
        <v>2</v>
      </c>
      <c r="F357" s="257">
        <v>1957</v>
      </c>
      <c r="G357" s="249" t="s">
        <v>283</v>
      </c>
      <c r="H357" s="248"/>
      <c r="I357" s="247"/>
      <c r="J357" s="246"/>
      <c r="K357" s="245"/>
      <c r="L357" s="245"/>
      <c r="M357" s="67">
        <f t="shared" si="15"/>
        <v>0</v>
      </c>
      <c r="N357" s="242"/>
      <c r="O357" s="243"/>
      <c r="P357" s="258"/>
      <c r="Q357" s="264">
        <f>635.3/1000</f>
        <v>0.63529999999999998</v>
      </c>
      <c r="R357" s="367">
        <v>6.5799999999999997E-2</v>
      </c>
      <c r="S357" s="361">
        <f t="shared" si="16"/>
        <v>101.19162666666666</v>
      </c>
      <c r="T357"/>
      <c r="U357"/>
      <c r="V357"/>
      <c r="W357"/>
    </row>
    <row r="358" spans="1:23" ht="60">
      <c r="A358" s="253">
        <f t="shared" si="17"/>
        <v>356</v>
      </c>
      <c r="B358" s="269" t="s">
        <v>722</v>
      </c>
      <c r="C358" s="294" t="s">
        <v>721</v>
      </c>
      <c r="D358" s="198" t="s">
        <v>500</v>
      </c>
      <c r="E358" s="197">
        <v>1</v>
      </c>
      <c r="F358" s="257">
        <v>1956</v>
      </c>
      <c r="G358" s="249" t="s">
        <v>283</v>
      </c>
      <c r="H358" s="248"/>
      <c r="I358" s="247"/>
      <c r="J358" s="246"/>
      <c r="K358" s="245"/>
      <c r="L358" s="245"/>
      <c r="M358" s="67">
        <f t="shared" si="15"/>
        <v>0</v>
      </c>
      <c r="N358" s="242"/>
      <c r="O358" s="243"/>
      <c r="P358" s="264"/>
      <c r="Q358" s="272">
        <f>132/1000</f>
        <v>0.13200000000000001</v>
      </c>
      <c r="R358" s="367">
        <v>1.9599999999999999E-2</v>
      </c>
      <c r="S358" s="361">
        <f t="shared" si="16"/>
        <v>30.142186666666667</v>
      </c>
      <c r="T358"/>
      <c r="U358"/>
      <c r="V358"/>
      <c r="W358"/>
    </row>
    <row r="359" spans="1:23" ht="45">
      <c r="A359" s="253">
        <f t="shared" si="17"/>
        <v>357</v>
      </c>
      <c r="B359" s="193" t="s">
        <v>720</v>
      </c>
      <c r="C359" s="196" t="s">
        <v>719</v>
      </c>
      <c r="D359" s="198" t="s">
        <v>500</v>
      </c>
      <c r="E359" s="197">
        <v>2</v>
      </c>
      <c r="F359" s="257">
        <v>1969</v>
      </c>
      <c r="G359" s="249" t="s">
        <v>283</v>
      </c>
      <c r="H359" s="248"/>
      <c r="I359" s="247"/>
      <c r="J359" s="246"/>
      <c r="K359" s="245"/>
      <c r="L359" s="245"/>
      <c r="M359" s="67">
        <f t="shared" si="15"/>
        <v>0</v>
      </c>
      <c r="N359" s="242"/>
      <c r="O359" s="243"/>
      <c r="P359" s="258"/>
      <c r="Q359" s="264">
        <f>4661.9/1000</f>
        <v>4.6618999999999993</v>
      </c>
      <c r="R359" s="367">
        <v>0.1095</v>
      </c>
      <c r="S359" s="361">
        <f t="shared" si="16"/>
        <v>168.39640000000003</v>
      </c>
      <c r="T359"/>
      <c r="U359"/>
      <c r="V359"/>
      <c r="W359"/>
    </row>
    <row r="360" spans="1:23" ht="45">
      <c r="A360" s="253">
        <f t="shared" si="17"/>
        <v>358</v>
      </c>
      <c r="B360" s="269" t="s">
        <v>716</v>
      </c>
      <c r="C360" s="199" t="s">
        <v>718</v>
      </c>
      <c r="D360" s="198" t="s">
        <v>500</v>
      </c>
      <c r="E360" s="197">
        <v>2</v>
      </c>
      <c r="F360" s="257">
        <v>1967</v>
      </c>
      <c r="G360" s="259" t="s">
        <v>283</v>
      </c>
      <c r="H360" s="248"/>
      <c r="I360" s="247"/>
      <c r="J360" s="246"/>
      <c r="K360" s="245"/>
      <c r="L360" s="245"/>
      <c r="M360" s="67">
        <f t="shared" si="15"/>
        <v>0</v>
      </c>
      <c r="N360" s="242"/>
      <c r="O360" s="243"/>
      <c r="P360" s="258"/>
      <c r="Q360" s="264">
        <f>1518.17/1000</f>
        <v>1.51817</v>
      </c>
      <c r="R360" s="367">
        <v>6.0600000000000001E-2</v>
      </c>
      <c r="S360" s="361">
        <f t="shared" si="16"/>
        <v>93.194720000000004</v>
      </c>
      <c r="T360"/>
      <c r="U360"/>
      <c r="V360"/>
      <c r="W360"/>
    </row>
    <row r="361" spans="1:23" ht="45">
      <c r="A361" s="253">
        <f t="shared" si="17"/>
        <v>359</v>
      </c>
      <c r="B361" s="269" t="s">
        <v>716</v>
      </c>
      <c r="C361" s="199" t="s">
        <v>717</v>
      </c>
      <c r="D361" s="198" t="s">
        <v>500</v>
      </c>
      <c r="E361" s="197">
        <v>2</v>
      </c>
      <c r="F361" s="257">
        <v>1967</v>
      </c>
      <c r="G361" s="259" t="s">
        <v>283</v>
      </c>
      <c r="H361" s="248"/>
      <c r="I361" s="247"/>
      <c r="J361" s="246"/>
      <c r="K361" s="245"/>
      <c r="L361" s="245"/>
      <c r="M361" s="67">
        <f t="shared" si="15"/>
        <v>0</v>
      </c>
      <c r="N361" s="242"/>
      <c r="O361" s="243"/>
      <c r="P361" s="258"/>
      <c r="Q361" s="264">
        <f>546.14/1000</f>
        <v>0.54613999999999996</v>
      </c>
      <c r="R361" s="367">
        <v>2.18E-2</v>
      </c>
      <c r="S361" s="361">
        <f t="shared" si="16"/>
        <v>33.52549333333333</v>
      </c>
      <c r="T361"/>
      <c r="U361"/>
      <c r="V361"/>
      <c r="W361"/>
    </row>
    <row r="362" spans="1:23" ht="45">
      <c r="A362" s="253">
        <f t="shared" si="17"/>
        <v>360</v>
      </c>
      <c r="B362" s="269" t="s">
        <v>716</v>
      </c>
      <c r="C362" s="199" t="s">
        <v>715</v>
      </c>
      <c r="D362" s="198" t="s">
        <v>500</v>
      </c>
      <c r="E362" s="197">
        <v>2</v>
      </c>
      <c r="F362" s="257">
        <v>1967</v>
      </c>
      <c r="G362" s="259" t="s">
        <v>283</v>
      </c>
      <c r="H362" s="248"/>
      <c r="I362" s="247"/>
      <c r="J362" s="246"/>
      <c r="K362" s="245"/>
      <c r="L362" s="245"/>
      <c r="M362" s="67">
        <f t="shared" si="15"/>
        <v>0</v>
      </c>
      <c r="N362" s="242"/>
      <c r="O362" s="243"/>
      <c r="P362" s="258"/>
      <c r="Q362" s="264">
        <f>380.79/1000</f>
        <v>0.38079000000000002</v>
      </c>
      <c r="R362" s="367">
        <v>1.52E-2</v>
      </c>
      <c r="S362" s="361">
        <f t="shared" si="16"/>
        <v>23.375573333333335</v>
      </c>
      <c r="T362"/>
      <c r="U362"/>
      <c r="V362"/>
      <c r="W362"/>
    </row>
    <row r="363" spans="1:23" ht="45">
      <c r="A363" s="253">
        <f t="shared" si="17"/>
        <v>361</v>
      </c>
      <c r="B363" s="252" t="s">
        <v>714</v>
      </c>
      <c r="C363" s="199" t="s">
        <v>713</v>
      </c>
      <c r="D363" s="198" t="s">
        <v>500</v>
      </c>
      <c r="E363" s="197">
        <v>2</v>
      </c>
      <c r="F363" s="257">
        <v>1956</v>
      </c>
      <c r="G363" s="259" t="s">
        <v>283</v>
      </c>
      <c r="H363" s="248"/>
      <c r="I363" s="247"/>
      <c r="J363" s="246"/>
      <c r="K363" s="245"/>
      <c r="L363" s="245"/>
      <c r="M363" s="67">
        <f t="shared" si="15"/>
        <v>0</v>
      </c>
      <c r="N363" s="242"/>
      <c r="O363" s="243"/>
      <c r="P363" s="258"/>
      <c r="Q363" s="264">
        <f>855.85/1000</f>
        <v>0.85585</v>
      </c>
      <c r="R363" s="367">
        <v>0.12809999999999999</v>
      </c>
      <c r="S363" s="361">
        <f t="shared" si="16"/>
        <v>197.00071999999997</v>
      </c>
      <c r="T363"/>
      <c r="U363"/>
      <c r="V363"/>
      <c r="W363"/>
    </row>
    <row r="364" spans="1:23" ht="45">
      <c r="A364" s="253">
        <f t="shared" si="17"/>
        <v>362</v>
      </c>
      <c r="B364" s="252" t="s">
        <v>712</v>
      </c>
      <c r="C364" s="199" t="s">
        <v>711</v>
      </c>
      <c r="D364" s="198" t="s">
        <v>500</v>
      </c>
      <c r="E364" s="197">
        <v>1</v>
      </c>
      <c r="F364" s="257">
        <v>1986</v>
      </c>
      <c r="G364" s="259" t="s">
        <v>284</v>
      </c>
      <c r="H364" s="248"/>
      <c r="I364" s="247"/>
      <c r="J364" s="246"/>
      <c r="K364" s="245"/>
      <c r="L364" s="245"/>
      <c r="M364" s="67">
        <f t="shared" si="15"/>
        <v>0</v>
      </c>
      <c r="N364" s="242"/>
      <c r="O364" s="243"/>
      <c r="P364" s="258"/>
      <c r="Q364" s="264">
        <f>82.85/1000</f>
        <v>8.2849999999999993E-2</v>
      </c>
      <c r="R364" s="367">
        <v>1.24E-2</v>
      </c>
      <c r="S364" s="361">
        <f t="shared" si="16"/>
        <v>19.069546666666664</v>
      </c>
      <c r="T364"/>
      <c r="U364"/>
      <c r="V364"/>
      <c r="W364"/>
    </row>
    <row r="365" spans="1:23" ht="45">
      <c r="A365" s="253">
        <f t="shared" si="17"/>
        <v>363</v>
      </c>
      <c r="B365" s="193" t="s">
        <v>555</v>
      </c>
      <c r="C365" s="196" t="s">
        <v>710</v>
      </c>
      <c r="D365" s="198" t="s">
        <v>500</v>
      </c>
      <c r="E365" s="197">
        <v>2</v>
      </c>
      <c r="F365" s="257">
        <v>1913</v>
      </c>
      <c r="G365" s="249" t="s">
        <v>283</v>
      </c>
      <c r="H365" s="248"/>
      <c r="I365" s="247"/>
      <c r="J365" s="246"/>
      <c r="K365" s="245"/>
      <c r="L365" s="245"/>
      <c r="M365" s="67">
        <f t="shared" si="15"/>
        <v>0</v>
      </c>
      <c r="N365" s="242"/>
      <c r="O365" s="243"/>
      <c r="P365" s="258"/>
      <c r="Q365" s="264">
        <f>977.5/1000</f>
        <v>0.97750000000000004</v>
      </c>
      <c r="R365" s="367">
        <v>3.7900000000000003E-2</v>
      </c>
      <c r="S365" s="361">
        <f t="shared" si="16"/>
        <v>58.28514666666667</v>
      </c>
      <c r="T365"/>
      <c r="U365"/>
      <c r="V365"/>
      <c r="W365"/>
    </row>
    <row r="366" spans="1:23" ht="45">
      <c r="A366" s="253">
        <f t="shared" si="17"/>
        <v>364</v>
      </c>
      <c r="B366" s="193" t="s">
        <v>709</v>
      </c>
      <c r="C366" s="196" t="s">
        <v>708</v>
      </c>
      <c r="D366" s="198" t="s">
        <v>500</v>
      </c>
      <c r="E366" s="197">
        <v>2</v>
      </c>
      <c r="F366" s="257">
        <v>1946</v>
      </c>
      <c r="G366" s="249" t="s">
        <v>283</v>
      </c>
      <c r="H366" s="248"/>
      <c r="I366" s="247"/>
      <c r="J366" s="246"/>
      <c r="K366" s="245"/>
      <c r="L366" s="245"/>
      <c r="M366" s="67">
        <f t="shared" si="15"/>
        <v>0</v>
      </c>
      <c r="N366" s="242"/>
      <c r="O366" s="243"/>
      <c r="P366" s="258"/>
      <c r="Q366" s="264">
        <f>424.1/1000</f>
        <v>0.42410000000000003</v>
      </c>
      <c r="R366" s="367">
        <v>2.1000000000000001E-2</v>
      </c>
      <c r="S366" s="361">
        <f t="shared" si="16"/>
        <v>32.295200000000001</v>
      </c>
      <c r="T366"/>
      <c r="U366"/>
      <c r="V366"/>
      <c r="W366"/>
    </row>
    <row r="367" spans="1:23" ht="45">
      <c r="A367" s="253">
        <f t="shared" si="17"/>
        <v>365</v>
      </c>
      <c r="B367" s="193" t="s">
        <v>707</v>
      </c>
      <c r="C367" s="196" t="s">
        <v>706</v>
      </c>
      <c r="D367" s="198" t="s">
        <v>500</v>
      </c>
      <c r="E367" s="197">
        <v>2</v>
      </c>
      <c r="F367" s="257">
        <v>1972</v>
      </c>
      <c r="G367" s="249" t="s">
        <v>283</v>
      </c>
      <c r="H367" s="248"/>
      <c r="I367" s="247"/>
      <c r="J367" s="246"/>
      <c r="K367" s="245"/>
      <c r="L367" s="245"/>
      <c r="M367" s="67">
        <f t="shared" si="15"/>
        <v>0</v>
      </c>
      <c r="N367" s="242"/>
      <c r="O367" s="243"/>
      <c r="P367" s="258"/>
      <c r="Q367" s="264">
        <f>373/1000</f>
        <v>0.373</v>
      </c>
      <c r="R367" s="367">
        <v>5.5599999999999997E-2</v>
      </c>
      <c r="S367" s="361">
        <f t="shared" si="16"/>
        <v>85.505386666666666</v>
      </c>
      <c r="T367"/>
      <c r="U367"/>
      <c r="V367"/>
      <c r="W367"/>
    </row>
    <row r="368" spans="1:23" ht="45">
      <c r="A368" s="253">
        <f t="shared" si="17"/>
        <v>366</v>
      </c>
      <c r="B368" s="193" t="s">
        <v>705</v>
      </c>
      <c r="C368" s="196" t="s">
        <v>704</v>
      </c>
      <c r="D368" s="198" t="s">
        <v>500</v>
      </c>
      <c r="E368" s="197">
        <v>2</v>
      </c>
      <c r="F368" s="257">
        <v>1913</v>
      </c>
      <c r="G368" s="249" t="s">
        <v>283</v>
      </c>
      <c r="H368" s="248"/>
      <c r="I368" s="247"/>
      <c r="J368" s="246"/>
      <c r="K368" s="245"/>
      <c r="L368" s="245"/>
      <c r="M368" s="67">
        <f t="shared" si="15"/>
        <v>0</v>
      </c>
      <c r="N368" s="242"/>
      <c r="O368" s="243"/>
      <c r="P368" s="258"/>
      <c r="Q368" s="264">
        <f>3249.2/1000</f>
        <v>3.2491999999999996</v>
      </c>
      <c r="R368" s="367">
        <v>0.1515</v>
      </c>
      <c r="S368" s="361">
        <f t="shared" si="16"/>
        <v>232.98680000000002</v>
      </c>
      <c r="T368"/>
      <c r="U368"/>
      <c r="V368"/>
      <c r="W368"/>
    </row>
    <row r="369" spans="1:23" ht="45">
      <c r="A369" s="253">
        <f t="shared" si="17"/>
        <v>367</v>
      </c>
      <c r="B369" s="193" t="s">
        <v>703</v>
      </c>
      <c r="C369" s="196" t="s">
        <v>702</v>
      </c>
      <c r="D369" s="198" t="s">
        <v>500</v>
      </c>
      <c r="E369" s="197">
        <v>2</v>
      </c>
      <c r="F369" s="257">
        <v>1993</v>
      </c>
      <c r="G369" s="249" t="s">
        <v>283</v>
      </c>
      <c r="H369" s="248"/>
      <c r="I369" s="247"/>
      <c r="J369" s="246"/>
      <c r="K369" s="245"/>
      <c r="L369" s="245"/>
      <c r="M369" s="67">
        <f t="shared" si="15"/>
        <v>0</v>
      </c>
      <c r="N369" s="242"/>
      <c r="O369" s="243"/>
      <c r="P369" s="258"/>
      <c r="Q369" s="264">
        <f>661/1000</f>
        <v>0.66100000000000003</v>
      </c>
      <c r="R369" s="367">
        <v>9.8400000000000001E-2</v>
      </c>
      <c r="S369" s="361">
        <f t="shared" si="16"/>
        <v>151.32608000000002</v>
      </c>
      <c r="T369"/>
      <c r="U369"/>
      <c r="V369"/>
      <c r="W369"/>
    </row>
    <row r="370" spans="1:23" ht="45">
      <c r="A370" s="253">
        <f t="shared" si="17"/>
        <v>368</v>
      </c>
      <c r="B370" s="193" t="s">
        <v>701</v>
      </c>
      <c r="C370" s="196" t="s">
        <v>700</v>
      </c>
      <c r="D370" s="198" t="s">
        <v>500</v>
      </c>
      <c r="E370" s="197">
        <v>2</v>
      </c>
      <c r="F370" s="257">
        <v>1993</v>
      </c>
      <c r="G370" s="249" t="s">
        <v>283</v>
      </c>
      <c r="H370" s="248"/>
      <c r="I370" s="247"/>
      <c r="J370" s="246"/>
      <c r="K370" s="245"/>
      <c r="L370" s="245"/>
      <c r="M370" s="67">
        <f t="shared" si="15"/>
        <v>0</v>
      </c>
      <c r="N370" s="242"/>
      <c r="O370" s="243"/>
      <c r="P370" s="258"/>
      <c r="Q370" s="264">
        <f>2433/1000</f>
        <v>2.4329999999999998</v>
      </c>
      <c r="R370" s="367">
        <v>0.14499999999999999</v>
      </c>
      <c r="S370" s="361">
        <f t="shared" si="16"/>
        <v>222.99066666666664</v>
      </c>
      <c r="T370"/>
      <c r="U370"/>
      <c r="V370"/>
      <c r="W370"/>
    </row>
    <row r="371" spans="1:23" ht="45">
      <c r="A371" s="253">
        <f t="shared" si="17"/>
        <v>369</v>
      </c>
      <c r="B371" s="193" t="s">
        <v>699</v>
      </c>
      <c r="C371" s="196" t="s">
        <v>698</v>
      </c>
      <c r="D371" s="198" t="s">
        <v>500</v>
      </c>
      <c r="E371" s="197">
        <v>2</v>
      </c>
      <c r="F371" s="257">
        <v>1973</v>
      </c>
      <c r="G371" s="249" t="s">
        <v>283</v>
      </c>
      <c r="H371" s="248"/>
      <c r="I371" s="247"/>
      <c r="J371" s="246"/>
      <c r="K371" s="245"/>
      <c r="L371" s="245"/>
      <c r="M371" s="67">
        <f t="shared" si="15"/>
        <v>0</v>
      </c>
      <c r="N371" s="242"/>
      <c r="O371" s="243"/>
      <c r="P371" s="258"/>
      <c r="Q371" s="264">
        <f>2156/1000</f>
        <v>2.1560000000000001</v>
      </c>
      <c r="R371" s="367">
        <v>0.14199999999999999</v>
      </c>
      <c r="S371" s="361">
        <f t="shared" si="16"/>
        <v>218.37706666666665</v>
      </c>
      <c r="T371"/>
      <c r="U371"/>
      <c r="V371"/>
      <c r="W371"/>
    </row>
    <row r="372" spans="1:23" ht="45">
      <c r="A372" s="253">
        <f t="shared" si="17"/>
        <v>370</v>
      </c>
      <c r="B372" s="193" t="s">
        <v>545</v>
      </c>
      <c r="C372" s="196" t="s">
        <v>697</v>
      </c>
      <c r="D372" s="198" t="s">
        <v>500</v>
      </c>
      <c r="E372" s="279" t="s">
        <v>294</v>
      </c>
      <c r="F372" s="293">
        <v>1980</v>
      </c>
      <c r="G372" s="249" t="s">
        <v>283</v>
      </c>
      <c r="H372" s="248"/>
      <c r="I372" s="247"/>
      <c r="J372" s="246"/>
      <c r="K372" s="245"/>
      <c r="L372" s="245"/>
      <c r="M372" s="67">
        <f t="shared" si="15"/>
        <v>0.35</v>
      </c>
      <c r="N372" s="242"/>
      <c r="O372" s="243"/>
      <c r="P372" s="264">
        <f>350/1000</f>
        <v>0.35</v>
      </c>
      <c r="Q372" s="272"/>
      <c r="R372" s="367">
        <v>1.29E-2</v>
      </c>
      <c r="S372" s="361">
        <f t="shared" si="16"/>
        <v>19.838479999999997</v>
      </c>
      <c r="T372"/>
      <c r="U372"/>
      <c r="V372"/>
      <c r="W372"/>
    </row>
    <row r="373" spans="1:23" ht="45">
      <c r="A373" s="253">
        <f t="shared" si="17"/>
        <v>371</v>
      </c>
      <c r="B373" s="193" t="s">
        <v>696</v>
      </c>
      <c r="C373" s="196" t="s">
        <v>695</v>
      </c>
      <c r="D373" s="198" t="s">
        <v>500</v>
      </c>
      <c r="E373" s="197">
        <v>2</v>
      </c>
      <c r="F373" s="257">
        <v>1987</v>
      </c>
      <c r="G373" s="249" t="s">
        <v>283</v>
      </c>
      <c r="H373" s="248"/>
      <c r="I373" s="247"/>
      <c r="J373" s="246"/>
      <c r="K373" s="245"/>
      <c r="L373" s="245"/>
      <c r="M373" s="67">
        <f t="shared" si="15"/>
        <v>0</v>
      </c>
      <c r="N373" s="242"/>
      <c r="O373" s="243"/>
      <c r="P373" s="258"/>
      <c r="Q373" s="264">
        <f>2394/1000</f>
        <v>2.3940000000000001</v>
      </c>
      <c r="R373" s="367">
        <v>0.16919999999999999</v>
      </c>
      <c r="S373" s="361">
        <f t="shared" si="16"/>
        <v>260.20703999999995</v>
      </c>
      <c r="T373"/>
      <c r="U373"/>
      <c r="V373"/>
      <c r="W373"/>
    </row>
    <row r="374" spans="1:23" ht="45">
      <c r="A374" s="253">
        <f t="shared" si="17"/>
        <v>372</v>
      </c>
      <c r="B374" s="69" t="s">
        <v>497</v>
      </c>
      <c r="C374" s="199" t="s">
        <v>694</v>
      </c>
      <c r="D374" s="198" t="s">
        <v>500</v>
      </c>
      <c r="E374" s="197">
        <v>2</v>
      </c>
      <c r="F374" s="257">
        <v>1977</v>
      </c>
      <c r="G374" s="259" t="s">
        <v>283</v>
      </c>
      <c r="H374" s="248"/>
      <c r="I374" s="247"/>
      <c r="J374" s="246"/>
      <c r="K374" s="245"/>
      <c r="L374" s="245"/>
      <c r="M374" s="67">
        <f t="shared" si="15"/>
        <v>0</v>
      </c>
      <c r="N374" s="242"/>
      <c r="O374" s="243"/>
      <c r="P374" s="258"/>
      <c r="Q374" s="264">
        <f>3611.69/1000</f>
        <v>3.6116899999999998</v>
      </c>
      <c r="R374" s="367">
        <v>0.15540000000000001</v>
      </c>
      <c r="S374" s="361">
        <f t="shared" si="16"/>
        <v>238.98448000000005</v>
      </c>
      <c r="T374"/>
      <c r="U374"/>
      <c r="V374"/>
      <c r="W374"/>
    </row>
    <row r="375" spans="1:23" ht="45">
      <c r="A375" s="253">
        <f t="shared" si="17"/>
        <v>373</v>
      </c>
      <c r="B375" s="69" t="s">
        <v>497</v>
      </c>
      <c r="C375" s="199" t="s">
        <v>693</v>
      </c>
      <c r="D375" s="198" t="s">
        <v>500</v>
      </c>
      <c r="E375" s="197">
        <v>2</v>
      </c>
      <c r="F375" s="257">
        <v>1977</v>
      </c>
      <c r="G375" s="259" t="s">
        <v>283</v>
      </c>
      <c r="H375" s="248"/>
      <c r="I375" s="247"/>
      <c r="J375" s="246"/>
      <c r="K375" s="245"/>
      <c r="L375" s="245"/>
      <c r="M375" s="67">
        <f t="shared" si="15"/>
        <v>0</v>
      </c>
      <c r="N375" s="242"/>
      <c r="O375" s="243"/>
      <c r="P375" s="258"/>
      <c r="Q375" s="264">
        <f>1984.81/1000</f>
        <v>1.98481</v>
      </c>
      <c r="R375" s="367">
        <v>8.5400000000000004E-2</v>
      </c>
      <c r="S375" s="361">
        <f t="shared" si="16"/>
        <v>131.33381333333332</v>
      </c>
      <c r="T375"/>
      <c r="U375"/>
      <c r="V375"/>
      <c r="W375"/>
    </row>
    <row r="376" spans="1:23" ht="45">
      <c r="A376" s="253">
        <f t="shared" si="17"/>
        <v>374</v>
      </c>
      <c r="B376" s="193" t="s">
        <v>692</v>
      </c>
      <c r="C376" s="196" t="s">
        <v>691</v>
      </c>
      <c r="D376" s="198" t="s">
        <v>500</v>
      </c>
      <c r="E376" s="197">
        <v>2</v>
      </c>
      <c r="F376" s="257">
        <v>1982</v>
      </c>
      <c r="G376" s="249" t="s">
        <v>283</v>
      </c>
      <c r="H376" s="248"/>
      <c r="I376" s="247"/>
      <c r="J376" s="246"/>
      <c r="K376" s="245"/>
      <c r="L376" s="245"/>
      <c r="M376" s="67">
        <f t="shared" si="15"/>
        <v>0</v>
      </c>
      <c r="N376" s="242"/>
      <c r="O376" s="243"/>
      <c r="P376" s="258"/>
      <c r="Q376" s="264">
        <f>2446.9/1000</f>
        <v>2.4469000000000003</v>
      </c>
      <c r="R376" s="367">
        <v>0.14249999999999999</v>
      </c>
      <c r="S376" s="361">
        <f t="shared" si="16"/>
        <v>219.14600000000002</v>
      </c>
      <c r="T376"/>
      <c r="U376"/>
      <c r="V376"/>
      <c r="W376"/>
    </row>
    <row r="377" spans="1:23" ht="45">
      <c r="A377" s="253">
        <f t="shared" si="17"/>
        <v>375</v>
      </c>
      <c r="B377" s="193" t="s">
        <v>690</v>
      </c>
      <c r="C377" s="196" t="s">
        <v>689</v>
      </c>
      <c r="D377" s="198" t="s">
        <v>500</v>
      </c>
      <c r="E377" s="197">
        <v>2</v>
      </c>
      <c r="F377" s="257">
        <v>1972</v>
      </c>
      <c r="G377" s="249" t="s">
        <v>283</v>
      </c>
      <c r="H377" s="248"/>
      <c r="I377" s="247"/>
      <c r="J377" s="246"/>
      <c r="K377" s="245"/>
      <c r="L377" s="245"/>
      <c r="M377" s="67">
        <f t="shared" si="15"/>
        <v>0</v>
      </c>
      <c r="N377" s="242"/>
      <c r="O377" s="243"/>
      <c r="P377" s="258"/>
      <c r="Q377" s="264">
        <f>1010/1000</f>
        <v>1.01</v>
      </c>
      <c r="R377" s="367">
        <v>6.8000000000000005E-2</v>
      </c>
      <c r="S377" s="361">
        <f t="shared" si="16"/>
        <v>104.57493333333333</v>
      </c>
      <c r="T377"/>
      <c r="U377"/>
      <c r="V377"/>
      <c r="W377"/>
    </row>
    <row r="378" spans="1:23" ht="45">
      <c r="A378" s="253">
        <f t="shared" si="17"/>
        <v>376</v>
      </c>
      <c r="B378" s="252" t="s">
        <v>506</v>
      </c>
      <c r="C378" s="196" t="s">
        <v>505</v>
      </c>
      <c r="D378" s="198" t="s">
        <v>500</v>
      </c>
      <c r="E378" s="197">
        <v>2</v>
      </c>
      <c r="F378" s="257">
        <v>1989</v>
      </c>
      <c r="G378" s="249" t="s">
        <v>283</v>
      </c>
      <c r="H378" s="248"/>
      <c r="I378" s="247"/>
      <c r="J378" s="246"/>
      <c r="K378" s="245"/>
      <c r="L378" s="245"/>
      <c r="M378" s="67">
        <f t="shared" si="15"/>
        <v>0</v>
      </c>
      <c r="N378" s="242"/>
      <c r="O378" s="243"/>
      <c r="P378" s="258"/>
      <c r="Q378" s="264">
        <f>13932.15/1000</f>
        <v>13.93215</v>
      </c>
      <c r="R378" s="367">
        <v>0.4879</v>
      </c>
      <c r="S378" s="361">
        <f t="shared" si="16"/>
        <v>750.32514666666668</v>
      </c>
      <c r="T378"/>
      <c r="U378"/>
      <c r="V378"/>
      <c r="W378"/>
    </row>
    <row r="379" spans="1:23" ht="45">
      <c r="A379" s="253">
        <f t="shared" si="17"/>
        <v>377</v>
      </c>
      <c r="B379" s="252" t="s">
        <v>506</v>
      </c>
      <c r="C379" s="199" t="s">
        <v>504</v>
      </c>
      <c r="D379" s="198" t="s">
        <v>500</v>
      </c>
      <c r="E379" s="197">
        <v>2</v>
      </c>
      <c r="F379" s="257">
        <v>1989</v>
      </c>
      <c r="G379" s="249" t="s">
        <v>283</v>
      </c>
      <c r="H379" s="248"/>
      <c r="I379" s="247"/>
      <c r="J379" s="246"/>
      <c r="K379" s="245"/>
      <c r="L379" s="245"/>
      <c r="M379" s="67">
        <f t="shared" si="15"/>
        <v>0</v>
      </c>
      <c r="N379" s="242"/>
      <c r="O379" s="243"/>
      <c r="P379" s="258"/>
      <c r="Q379" s="264">
        <f>825.25/1000</f>
        <v>0.82525000000000004</v>
      </c>
      <c r="R379" s="367">
        <v>2.8899999999999999E-2</v>
      </c>
      <c r="S379" s="361">
        <f t="shared" si="16"/>
        <v>44.444346666666661</v>
      </c>
      <c r="T379"/>
      <c r="U379"/>
      <c r="V379"/>
      <c r="W379"/>
    </row>
    <row r="380" spans="1:23" ht="60">
      <c r="A380" s="253">
        <f t="shared" si="17"/>
        <v>378</v>
      </c>
      <c r="B380" s="277" t="s">
        <v>688</v>
      </c>
      <c r="C380" s="196" t="s">
        <v>687</v>
      </c>
      <c r="D380" s="198" t="s">
        <v>500</v>
      </c>
      <c r="E380" s="197">
        <v>1</v>
      </c>
      <c r="F380" s="257">
        <v>1970</v>
      </c>
      <c r="G380" s="249" t="s">
        <v>284</v>
      </c>
      <c r="H380" s="248"/>
      <c r="I380" s="247"/>
      <c r="J380" s="246"/>
      <c r="K380" s="245"/>
      <c r="L380" s="245"/>
      <c r="M380" s="67">
        <f t="shared" si="15"/>
        <v>0</v>
      </c>
      <c r="N380" s="242"/>
      <c r="O380" s="243"/>
      <c r="P380" s="258"/>
      <c r="Q380" s="262">
        <f>88.86/1000</f>
        <v>8.8859999999999995E-2</v>
      </c>
      <c r="R380" s="367">
        <v>1.3299999999999999E-2</v>
      </c>
      <c r="S380" s="361">
        <f t="shared" si="16"/>
        <v>20.453626666666665</v>
      </c>
      <c r="T380"/>
      <c r="U380"/>
      <c r="V380"/>
      <c r="W380"/>
    </row>
    <row r="381" spans="1:23" ht="60">
      <c r="A381" s="253">
        <f t="shared" si="17"/>
        <v>379</v>
      </c>
      <c r="B381" s="252" t="s">
        <v>510</v>
      </c>
      <c r="C381" s="196" t="s">
        <v>509</v>
      </c>
      <c r="D381" s="198" t="s">
        <v>500</v>
      </c>
      <c r="E381" s="197">
        <v>1</v>
      </c>
      <c r="F381" s="257">
        <v>1947</v>
      </c>
      <c r="G381" s="249" t="s">
        <v>283</v>
      </c>
      <c r="H381" s="248"/>
      <c r="I381" s="282">
        <v>1</v>
      </c>
      <c r="J381" s="246"/>
      <c r="K381" s="245"/>
      <c r="L381" s="245"/>
      <c r="M381" s="67">
        <f t="shared" si="15"/>
        <v>0</v>
      </c>
      <c r="N381" s="242"/>
      <c r="O381" s="243"/>
      <c r="P381" s="258"/>
      <c r="Q381" s="262">
        <v>0.77600000000000002</v>
      </c>
      <c r="R381" s="367">
        <v>0.11559999999999999</v>
      </c>
      <c r="S381" s="361">
        <f t="shared" si="16"/>
        <v>177.77738666666664</v>
      </c>
      <c r="T381"/>
      <c r="U381"/>
      <c r="V381"/>
      <c r="W381"/>
    </row>
    <row r="382" spans="1:23" ht="75">
      <c r="A382" s="253">
        <f t="shared" si="17"/>
        <v>380</v>
      </c>
      <c r="B382" s="252" t="s">
        <v>508</v>
      </c>
      <c r="C382" s="196" t="s">
        <v>507</v>
      </c>
      <c r="D382" s="198" t="s">
        <v>500</v>
      </c>
      <c r="E382" s="197">
        <v>3</v>
      </c>
      <c r="F382" s="257">
        <v>1994</v>
      </c>
      <c r="G382" s="249" t="s">
        <v>283</v>
      </c>
      <c r="H382" s="248"/>
      <c r="I382" s="292"/>
      <c r="J382" s="246"/>
      <c r="K382" s="245"/>
      <c r="L382" s="245"/>
      <c r="M382" s="67">
        <f t="shared" si="15"/>
        <v>0</v>
      </c>
      <c r="N382" s="242"/>
      <c r="O382" s="243"/>
      <c r="P382" s="258"/>
      <c r="Q382" s="262">
        <v>0.61499999999999999</v>
      </c>
      <c r="R382" s="367">
        <v>6.2399999999999997E-2</v>
      </c>
      <c r="S382" s="361">
        <f t="shared" si="16"/>
        <v>95.962879999999984</v>
      </c>
      <c r="T382"/>
      <c r="U382"/>
      <c r="V382"/>
      <c r="W382"/>
    </row>
    <row r="383" spans="1:23" ht="60">
      <c r="A383" s="253">
        <f t="shared" si="17"/>
        <v>381</v>
      </c>
      <c r="B383" s="269" t="s">
        <v>678</v>
      </c>
      <c r="C383" s="199" t="s">
        <v>686</v>
      </c>
      <c r="D383" s="198" t="s">
        <v>500</v>
      </c>
      <c r="E383" s="197">
        <v>1</v>
      </c>
      <c r="F383" s="257">
        <v>1954</v>
      </c>
      <c r="G383" s="259" t="s">
        <v>284</v>
      </c>
      <c r="H383" s="248"/>
      <c r="I383" s="247"/>
      <c r="J383" s="246"/>
      <c r="K383" s="245"/>
      <c r="L383" s="245"/>
      <c r="M383" s="67">
        <f t="shared" si="15"/>
        <v>0</v>
      </c>
      <c r="N383" s="242"/>
      <c r="O383" s="243"/>
      <c r="P383" s="258"/>
      <c r="Q383" s="264">
        <v>0.10100000000000001</v>
      </c>
      <c r="R383" s="367">
        <v>1.4999999999999999E-2</v>
      </c>
      <c r="S383" s="361">
        <f t="shared" si="16"/>
        <v>23.067999999999998</v>
      </c>
      <c r="T383"/>
      <c r="U383"/>
      <c r="V383"/>
      <c r="W383"/>
    </row>
    <row r="384" spans="1:23" ht="45">
      <c r="A384" s="253">
        <f t="shared" si="17"/>
        <v>382</v>
      </c>
      <c r="B384" s="193" t="s">
        <v>521</v>
      </c>
      <c r="C384" s="196" t="s">
        <v>520</v>
      </c>
      <c r="D384" s="198" t="s">
        <v>500</v>
      </c>
      <c r="E384" s="197">
        <v>3</v>
      </c>
      <c r="F384" s="257">
        <v>1987</v>
      </c>
      <c r="G384" s="249" t="s">
        <v>283</v>
      </c>
      <c r="H384" s="248"/>
      <c r="I384" s="247"/>
      <c r="J384" s="246"/>
      <c r="K384" s="245"/>
      <c r="L384" s="245"/>
      <c r="M384" s="67">
        <f t="shared" si="15"/>
        <v>0</v>
      </c>
      <c r="N384" s="242"/>
      <c r="O384" s="243"/>
      <c r="P384" s="258"/>
      <c r="Q384" s="264">
        <v>0.81499999999999995</v>
      </c>
      <c r="R384" s="367">
        <v>8.0699999999999994E-2</v>
      </c>
      <c r="S384" s="361">
        <f t="shared" si="16"/>
        <v>124.10583999999999</v>
      </c>
      <c r="T384"/>
      <c r="U384"/>
      <c r="V384"/>
      <c r="W384"/>
    </row>
    <row r="385" spans="1:23" ht="45">
      <c r="A385" s="253">
        <f t="shared" si="17"/>
        <v>383</v>
      </c>
      <c r="B385" s="193" t="s">
        <v>519</v>
      </c>
      <c r="C385" s="196" t="s">
        <v>518</v>
      </c>
      <c r="D385" s="198" t="s">
        <v>500</v>
      </c>
      <c r="E385" s="197">
        <v>3</v>
      </c>
      <c r="F385" s="257">
        <v>1948</v>
      </c>
      <c r="G385" s="249" t="s">
        <v>283</v>
      </c>
      <c r="H385" s="248"/>
      <c r="I385" s="247"/>
      <c r="J385" s="246"/>
      <c r="K385" s="245"/>
      <c r="L385" s="245"/>
      <c r="M385" s="67">
        <f t="shared" si="15"/>
        <v>0</v>
      </c>
      <c r="N385" s="242"/>
      <c r="O385" s="243"/>
      <c r="P385" s="258"/>
      <c r="Q385" s="264">
        <v>4.8559999999999999</v>
      </c>
      <c r="R385" s="367">
        <v>0.49259999999999998</v>
      </c>
      <c r="S385" s="361">
        <f t="shared" si="16"/>
        <v>757.55312000000004</v>
      </c>
      <c r="T385"/>
      <c r="U385"/>
      <c r="V385"/>
      <c r="W385"/>
    </row>
    <row r="386" spans="1:23" ht="45">
      <c r="A386" s="253">
        <f t="shared" si="17"/>
        <v>384</v>
      </c>
      <c r="B386" s="193" t="s">
        <v>685</v>
      </c>
      <c r="C386" s="196" t="s">
        <v>684</v>
      </c>
      <c r="D386" s="198" t="s">
        <v>500</v>
      </c>
      <c r="E386" s="197">
        <v>3</v>
      </c>
      <c r="F386" s="257">
        <v>1988</v>
      </c>
      <c r="G386" s="249" t="s">
        <v>283</v>
      </c>
      <c r="H386" s="248"/>
      <c r="I386" s="247"/>
      <c r="J386" s="246"/>
      <c r="K386" s="245"/>
      <c r="L386" s="245"/>
      <c r="M386" s="67">
        <f t="shared" si="15"/>
        <v>0</v>
      </c>
      <c r="N386" s="242"/>
      <c r="O386" s="243"/>
      <c r="P386" s="258"/>
      <c r="Q386" s="264">
        <v>0.76800000000000002</v>
      </c>
      <c r="R386" s="367">
        <v>7.7899999999999997E-2</v>
      </c>
      <c r="S386" s="361">
        <f t="shared" si="16"/>
        <v>119.79981333333333</v>
      </c>
      <c r="T386"/>
      <c r="U386"/>
      <c r="V386"/>
      <c r="W386"/>
    </row>
    <row r="387" spans="1:23" ht="45">
      <c r="A387" s="253">
        <f t="shared" si="17"/>
        <v>385</v>
      </c>
      <c r="B387" s="193" t="s">
        <v>683</v>
      </c>
      <c r="C387" s="196" t="s">
        <v>682</v>
      </c>
      <c r="D387" s="198" t="s">
        <v>500</v>
      </c>
      <c r="E387" s="197">
        <v>1</v>
      </c>
      <c r="F387" s="257">
        <v>1978</v>
      </c>
      <c r="G387" s="249" t="s">
        <v>283</v>
      </c>
      <c r="H387" s="248"/>
      <c r="I387" s="247">
        <v>1</v>
      </c>
      <c r="J387" s="246"/>
      <c r="K387" s="245"/>
      <c r="L387" s="245"/>
      <c r="M387" s="67">
        <f t="shared" ref="M387:M450" si="18">N387+O387+P387</f>
        <v>0</v>
      </c>
      <c r="N387" s="242"/>
      <c r="O387" s="243"/>
      <c r="P387" s="258"/>
      <c r="Q387" s="264">
        <f>226.7/1000</f>
        <v>0.22669999999999998</v>
      </c>
      <c r="R387" s="367">
        <v>1.18E-2</v>
      </c>
      <c r="S387" s="361">
        <f t="shared" ref="S387:S450" si="19">R387*24*158*((18-3.4)/36)</f>
        <v>18.146826666666669</v>
      </c>
      <c r="T387"/>
      <c r="U387"/>
      <c r="V387"/>
      <c r="W387"/>
    </row>
    <row r="388" spans="1:23" ht="30">
      <c r="A388" s="253">
        <f t="shared" ref="A388:A451" si="20">A387+1</f>
        <v>386</v>
      </c>
      <c r="B388" s="193" t="s">
        <v>681</v>
      </c>
      <c r="C388" s="196" t="s">
        <v>680</v>
      </c>
      <c r="D388" s="198" t="s">
        <v>500</v>
      </c>
      <c r="E388" s="197">
        <v>1</v>
      </c>
      <c r="F388" s="257">
        <v>1923</v>
      </c>
      <c r="G388" s="249" t="s">
        <v>284</v>
      </c>
      <c r="H388" s="248"/>
      <c r="I388" s="247"/>
      <c r="J388" s="246"/>
      <c r="K388" s="245"/>
      <c r="L388" s="245"/>
      <c r="M388" s="67">
        <f t="shared" si="18"/>
        <v>0</v>
      </c>
      <c r="N388" s="242"/>
      <c r="O388" s="243"/>
      <c r="P388" s="258"/>
      <c r="Q388" s="264">
        <f>108/1000</f>
        <v>0.108</v>
      </c>
      <c r="R388" s="367">
        <v>2.4400000000000002E-2</v>
      </c>
      <c r="S388" s="361">
        <f t="shared" si="19"/>
        <v>37.523946666666667</v>
      </c>
      <c r="T388"/>
      <c r="U388"/>
      <c r="V388"/>
      <c r="W388"/>
    </row>
    <row r="389" spans="1:23" ht="30">
      <c r="A389" s="253">
        <f t="shared" si="20"/>
        <v>387</v>
      </c>
      <c r="B389" s="252" t="s">
        <v>555</v>
      </c>
      <c r="C389" s="199" t="s">
        <v>679</v>
      </c>
      <c r="D389" s="198" t="s">
        <v>500</v>
      </c>
      <c r="E389" s="289">
        <v>2</v>
      </c>
      <c r="F389" s="260">
        <v>1913</v>
      </c>
      <c r="G389" s="249" t="s">
        <v>283</v>
      </c>
      <c r="H389" s="248"/>
      <c r="I389" s="247"/>
      <c r="J389" s="246"/>
      <c r="K389" s="245"/>
      <c r="L389" s="245"/>
      <c r="M389" s="67">
        <f t="shared" si="18"/>
        <v>0</v>
      </c>
      <c r="N389" s="242"/>
      <c r="O389" s="243"/>
      <c r="P389" s="258"/>
      <c r="Q389" s="264">
        <f>83.4/1000</f>
        <v>8.3400000000000002E-2</v>
      </c>
      <c r="R389" s="367">
        <v>7.6E-3</v>
      </c>
      <c r="S389" s="361">
        <f t="shared" si="19"/>
        <v>11.687786666666668</v>
      </c>
      <c r="T389"/>
      <c r="U389"/>
      <c r="V389"/>
      <c r="W389"/>
    </row>
    <row r="390" spans="1:23" ht="30">
      <c r="A390" s="253">
        <f t="shared" si="20"/>
        <v>388</v>
      </c>
      <c r="B390" s="269" t="s">
        <v>678</v>
      </c>
      <c r="C390" s="199" t="s">
        <v>677</v>
      </c>
      <c r="D390" s="198" t="s">
        <v>500</v>
      </c>
      <c r="E390" s="197">
        <v>1</v>
      </c>
      <c r="F390" s="257">
        <v>1954</v>
      </c>
      <c r="G390" s="259" t="s">
        <v>284</v>
      </c>
      <c r="H390" s="248"/>
      <c r="I390" s="247"/>
      <c r="J390" s="246"/>
      <c r="K390" s="245"/>
      <c r="L390" s="245"/>
      <c r="M390" s="67">
        <f t="shared" si="18"/>
        <v>0</v>
      </c>
      <c r="N390" s="242"/>
      <c r="O390" s="243"/>
      <c r="P390" s="258"/>
      <c r="Q390" s="264">
        <f>409.1/1000</f>
        <v>0.40910000000000002</v>
      </c>
      <c r="R390" s="367">
        <v>2.4799999999999999E-2</v>
      </c>
      <c r="S390" s="361">
        <f t="shared" si="19"/>
        <v>38.139093333333328</v>
      </c>
      <c r="T390"/>
      <c r="U390"/>
      <c r="V390"/>
      <c r="W390"/>
    </row>
    <row r="391" spans="1:23" ht="30">
      <c r="A391" s="253">
        <f t="shared" si="20"/>
        <v>389</v>
      </c>
      <c r="B391" s="193" t="s">
        <v>676</v>
      </c>
      <c r="C391" s="196" t="s">
        <v>675</v>
      </c>
      <c r="D391" s="198" t="s">
        <v>500</v>
      </c>
      <c r="E391" s="197">
        <v>1</v>
      </c>
      <c r="F391" s="257">
        <v>1912</v>
      </c>
      <c r="G391" s="249" t="s">
        <v>284</v>
      </c>
      <c r="H391" s="248"/>
      <c r="I391" s="247"/>
      <c r="J391" s="246"/>
      <c r="K391" s="245"/>
      <c r="L391" s="245"/>
      <c r="M391" s="67">
        <f t="shared" si="18"/>
        <v>0</v>
      </c>
      <c r="N391" s="242"/>
      <c r="O391" s="243"/>
      <c r="P391" s="258"/>
      <c r="Q391" s="264">
        <f>291/1000</f>
        <v>0.29099999999999998</v>
      </c>
      <c r="R391" s="367">
        <v>3.6799999999999999E-2</v>
      </c>
      <c r="S391" s="361">
        <f t="shared" si="19"/>
        <v>56.593493333333335</v>
      </c>
      <c r="T391"/>
      <c r="U391"/>
      <c r="V391"/>
      <c r="W391"/>
    </row>
    <row r="392" spans="1:23" ht="30">
      <c r="A392" s="253">
        <f t="shared" si="20"/>
        <v>390</v>
      </c>
      <c r="B392" s="193" t="s">
        <v>674</v>
      </c>
      <c r="C392" s="196" t="s">
        <v>673</v>
      </c>
      <c r="D392" s="198" t="s">
        <v>500</v>
      </c>
      <c r="E392" s="197">
        <v>3</v>
      </c>
      <c r="F392" s="257">
        <v>1947</v>
      </c>
      <c r="G392" s="249" t="s">
        <v>283</v>
      </c>
      <c r="H392" s="248"/>
      <c r="I392" s="247"/>
      <c r="J392" s="246"/>
      <c r="K392" s="245"/>
      <c r="L392" s="245"/>
      <c r="M392" s="67">
        <f t="shared" si="18"/>
        <v>0</v>
      </c>
      <c r="N392" s="242"/>
      <c r="O392" s="243"/>
      <c r="P392" s="258"/>
      <c r="Q392" s="262">
        <f>711.1/1000</f>
        <v>0.71110000000000007</v>
      </c>
      <c r="R392" s="367">
        <v>0.11119999999999999</v>
      </c>
      <c r="S392" s="361">
        <f t="shared" si="19"/>
        <v>171.01077333333333</v>
      </c>
      <c r="T392"/>
      <c r="U392"/>
      <c r="V392"/>
      <c r="W392"/>
    </row>
    <row r="393" spans="1:23" ht="30">
      <c r="A393" s="253">
        <f t="shared" si="20"/>
        <v>391</v>
      </c>
      <c r="B393" s="252" t="s">
        <v>672</v>
      </c>
      <c r="C393" s="199" t="s">
        <v>671</v>
      </c>
      <c r="D393" s="198" t="s">
        <v>500</v>
      </c>
      <c r="E393" s="271">
        <v>1</v>
      </c>
      <c r="F393" s="265">
        <v>1983</v>
      </c>
      <c r="G393" s="249" t="s">
        <v>283</v>
      </c>
      <c r="H393" s="248"/>
      <c r="I393" s="247"/>
      <c r="J393" s="246"/>
      <c r="K393" s="245"/>
      <c r="L393" s="245"/>
      <c r="M393" s="67">
        <f t="shared" si="18"/>
        <v>0</v>
      </c>
      <c r="N393" s="242"/>
      <c r="O393" s="243"/>
      <c r="P393" s="258"/>
      <c r="Q393" s="242">
        <f>821.1/1000</f>
        <v>0.82110000000000005</v>
      </c>
      <c r="R393" s="367">
        <v>4.48E-2</v>
      </c>
      <c r="S393" s="361">
        <f t="shared" si="19"/>
        <v>68.89642666666667</v>
      </c>
      <c r="T393"/>
      <c r="U393"/>
      <c r="V393"/>
      <c r="W393"/>
    </row>
    <row r="394" spans="1:23" ht="30">
      <c r="A394" s="253">
        <f t="shared" si="20"/>
        <v>392</v>
      </c>
      <c r="B394" s="252" t="s">
        <v>495</v>
      </c>
      <c r="C394" s="196" t="s">
        <v>670</v>
      </c>
      <c r="D394" s="198" t="s">
        <v>500</v>
      </c>
      <c r="E394" s="279" t="s">
        <v>294</v>
      </c>
      <c r="F394" s="260">
        <v>1987</v>
      </c>
      <c r="G394" s="249" t="s">
        <v>283</v>
      </c>
      <c r="H394" s="248"/>
      <c r="I394" s="247"/>
      <c r="J394" s="246"/>
      <c r="K394" s="245"/>
      <c r="L394" s="245"/>
      <c r="M394" s="67">
        <f t="shared" si="18"/>
        <v>0.24459999999999998</v>
      </c>
      <c r="N394" s="242"/>
      <c r="O394" s="243"/>
      <c r="P394" s="242">
        <f>244.6/1000</f>
        <v>0.24459999999999998</v>
      </c>
      <c r="Q394" s="242"/>
      <c r="R394" s="367">
        <v>1.4E-2</v>
      </c>
      <c r="S394" s="361">
        <f t="shared" si="19"/>
        <v>21.530133333333335</v>
      </c>
      <c r="T394"/>
      <c r="U394"/>
      <c r="V394"/>
      <c r="W394"/>
    </row>
    <row r="395" spans="1:23" ht="30">
      <c r="A395" s="253">
        <f t="shared" si="20"/>
        <v>393</v>
      </c>
      <c r="B395" s="291" t="s">
        <v>669</v>
      </c>
      <c r="C395" s="199" t="s">
        <v>668</v>
      </c>
      <c r="D395" s="198" t="s">
        <v>500</v>
      </c>
      <c r="E395" s="197">
        <v>1</v>
      </c>
      <c r="F395" s="263">
        <v>1903</v>
      </c>
      <c r="G395" s="259" t="s">
        <v>284</v>
      </c>
      <c r="H395" s="248"/>
      <c r="I395" s="247"/>
      <c r="J395" s="246"/>
      <c r="K395" s="245"/>
      <c r="L395" s="245"/>
      <c r="M395" s="67">
        <f t="shared" si="18"/>
        <v>0.12</v>
      </c>
      <c r="N395" s="242"/>
      <c r="O395" s="243"/>
      <c r="P395" s="254">
        <f>120/1000</f>
        <v>0.12</v>
      </c>
      <c r="Q395" s="241" t="s">
        <v>90</v>
      </c>
      <c r="R395" s="367">
        <v>1.7600000000000001E-2</v>
      </c>
      <c r="S395" s="361">
        <f t="shared" si="19"/>
        <v>27.066453333333332</v>
      </c>
      <c r="T395"/>
      <c r="U395"/>
      <c r="V395"/>
      <c r="W395"/>
    </row>
    <row r="396" spans="1:23" ht="30">
      <c r="A396" s="253">
        <f t="shared" si="20"/>
        <v>394</v>
      </c>
      <c r="B396" s="193" t="s">
        <v>667</v>
      </c>
      <c r="C396" s="196" t="s">
        <v>666</v>
      </c>
      <c r="D396" s="198" t="s">
        <v>500</v>
      </c>
      <c r="E396" s="197">
        <v>1</v>
      </c>
      <c r="F396" s="257">
        <v>1904</v>
      </c>
      <c r="G396" s="249" t="s">
        <v>283</v>
      </c>
      <c r="H396" s="248"/>
      <c r="I396" s="247"/>
      <c r="J396" s="246"/>
      <c r="K396" s="245"/>
      <c r="L396" s="245"/>
      <c r="M396" s="67">
        <f t="shared" si="18"/>
        <v>0</v>
      </c>
      <c r="N396" s="242"/>
      <c r="O396" s="243"/>
      <c r="P396" s="258"/>
      <c r="Q396" s="262">
        <f>355/1000</f>
        <v>0.35499999999999998</v>
      </c>
      <c r="R396" s="367">
        <v>2.8000000000000001E-2</v>
      </c>
      <c r="S396" s="361">
        <f t="shared" si="19"/>
        <v>43.060266666666671</v>
      </c>
      <c r="T396"/>
      <c r="U396"/>
      <c r="V396"/>
      <c r="W396"/>
    </row>
    <row r="397" spans="1:23" ht="30">
      <c r="A397" s="253">
        <f t="shared" si="20"/>
        <v>395</v>
      </c>
      <c r="B397" s="290" t="s">
        <v>664</v>
      </c>
      <c r="C397" s="199" t="s">
        <v>665</v>
      </c>
      <c r="D397" s="198" t="s">
        <v>500</v>
      </c>
      <c r="E397" s="197">
        <v>1</v>
      </c>
      <c r="F397" s="257">
        <v>1903</v>
      </c>
      <c r="G397" s="259" t="s">
        <v>283</v>
      </c>
      <c r="H397" s="248"/>
      <c r="I397" s="247"/>
      <c r="J397" s="246"/>
      <c r="K397" s="245"/>
      <c r="L397" s="245"/>
      <c r="M397" s="67">
        <f t="shared" si="18"/>
        <v>0</v>
      </c>
      <c r="N397" s="242"/>
      <c r="O397" s="243"/>
      <c r="P397" s="258"/>
      <c r="Q397" s="264">
        <f>501.5/1000</f>
        <v>0.50149999999999995</v>
      </c>
      <c r="R397" s="367">
        <v>3.49E-2</v>
      </c>
      <c r="S397" s="361">
        <f t="shared" si="19"/>
        <v>53.671546666666664</v>
      </c>
      <c r="T397"/>
      <c r="U397"/>
      <c r="V397"/>
      <c r="W397"/>
    </row>
    <row r="398" spans="1:23" ht="30">
      <c r="A398" s="253">
        <f t="shared" si="20"/>
        <v>396</v>
      </c>
      <c r="B398" s="290" t="s">
        <v>664</v>
      </c>
      <c r="C398" s="199" t="s">
        <v>663</v>
      </c>
      <c r="D398" s="198" t="s">
        <v>500</v>
      </c>
      <c r="E398" s="197">
        <v>1</v>
      </c>
      <c r="F398" s="257">
        <v>1903</v>
      </c>
      <c r="G398" s="259" t="s">
        <v>283</v>
      </c>
      <c r="H398" s="248"/>
      <c r="I398" s="247"/>
      <c r="J398" s="246"/>
      <c r="K398" s="245"/>
      <c r="L398" s="245"/>
      <c r="M398" s="67">
        <f t="shared" si="18"/>
        <v>0</v>
      </c>
      <c r="N398" s="242"/>
      <c r="O398" s="243"/>
      <c r="P398" s="258"/>
      <c r="Q398" s="264">
        <f>76.2/1000</f>
        <v>7.6200000000000004E-2</v>
      </c>
      <c r="R398" s="367">
        <v>5.3E-3</v>
      </c>
      <c r="S398" s="361">
        <f t="shared" si="19"/>
        <v>8.1506933333333329</v>
      </c>
      <c r="T398"/>
      <c r="U398"/>
      <c r="V398"/>
      <c r="W398"/>
    </row>
    <row r="399" spans="1:23" ht="45">
      <c r="A399" s="253">
        <f t="shared" si="20"/>
        <v>397</v>
      </c>
      <c r="B399" s="256" t="s">
        <v>662</v>
      </c>
      <c r="C399" s="196" t="s">
        <v>661</v>
      </c>
      <c r="D399" s="198" t="s">
        <v>500</v>
      </c>
      <c r="E399" s="197">
        <v>2</v>
      </c>
      <c r="F399" s="257">
        <v>1970</v>
      </c>
      <c r="G399" s="249" t="s">
        <v>284</v>
      </c>
      <c r="H399" s="248"/>
      <c r="I399" s="247">
        <v>1</v>
      </c>
      <c r="J399" s="246"/>
      <c r="K399" s="245"/>
      <c r="L399" s="245"/>
      <c r="M399" s="67">
        <f t="shared" si="18"/>
        <v>0</v>
      </c>
      <c r="N399" s="242"/>
      <c r="O399" s="243"/>
      <c r="P399" s="258"/>
      <c r="Q399" s="264">
        <v>0.155</v>
      </c>
      <c r="R399" s="367">
        <v>2.3099999999999999E-2</v>
      </c>
      <c r="S399" s="361">
        <f t="shared" si="19"/>
        <v>35.524720000000002</v>
      </c>
      <c r="T399"/>
      <c r="U399"/>
      <c r="V399"/>
      <c r="W399"/>
    </row>
    <row r="400" spans="1:23" ht="30">
      <c r="A400" s="253">
        <f t="shared" si="20"/>
        <v>398</v>
      </c>
      <c r="B400" s="277" t="s">
        <v>660</v>
      </c>
      <c r="C400" s="196" t="s">
        <v>659</v>
      </c>
      <c r="D400" s="198" t="s">
        <v>500</v>
      </c>
      <c r="E400" s="197">
        <v>1</v>
      </c>
      <c r="F400" s="257">
        <v>1901</v>
      </c>
      <c r="G400" s="249" t="s">
        <v>284</v>
      </c>
      <c r="H400" s="248"/>
      <c r="I400" s="247">
        <v>1</v>
      </c>
      <c r="J400" s="246"/>
      <c r="K400" s="245"/>
      <c r="L400" s="245"/>
      <c r="M400" s="67">
        <f t="shared" si="18"/>
        <v>0</v>
      </c>
      <c r="N400" s="242"/>
      <c r="O400" s="243"/>
      <c r="P400" s="258"/>
      <c r="Q400" s="264">
        <v>0.11700000000000001</v>
      </c>
      <c r="R400" s="367">
        <v>1.7399999999999999E-2</v>
      </c>
      <c r="S400" s="361">
        <f t="shared" si="19"/>
        <v>26.758880000000001</v>
      </c>
      <c r="T400"/>
      <c r="U400"/>
      <c r="V400"/>
      <c r="W400"/>
    </row>
    <row r="401" spans="1:23" ht="45">
      <c r="A401" s="253">
        <f t="shared" si="20"/>
        <v>399</v>
      </c>
      <c r="B401" s="277" t="s">
        <v>658</v>
      </c>
      <c r="C401" s="196" t="s">
        <v>657</v>
      </c>
      <c r="D401" s="198" t="s">
        <v>500</v>
      </c>
      <c r="E401" s="197">
        <v>2</v>
      </c>
      <c r="F401" s="257">
        <v>1938</v>
      </c>
      <c r="G401" s="249" t="s">
        <v>283</v>
      </c>
      <c r="H401" s="248"/>
      <c r="I401" s="247">
        <v>1</v>
      </c>
      <c r="J401" s="246"/>
      <c r="K401" s="245"/>
      <c r="L401" s="245"/>
      <c r="M401" s="67">
        <f t="shared" si="18"/>
        <v>0</v>
      </c>
      <c r="N401" s="242"/>
      <c r="O401" s="243"/>
      <c r="P401" s="258"/>
      <c r="Q401" s="264">
        <f>1580/1000</f>
        <v>1.58</v>
      </c>
      <c r="R401" s="367">
        <v>3.5000000000000003E-2</v>
      </c>
      <c r="S401" s="361">
        <f t="shared" si="19"/>
        <v>53.825333333333333</v>
      </c>
      <c r="T401"/>
      <c r="U401"/>
      <c r="V401"/>
      <c r="W401"/>
    </row>
    <row r="402" spans="1:23" ht="60">
      <c r="A402" s="253">
        <f t="shared" si="20"/>
        <v>400</v>
      </c>
      <c r="B402" s="277" t="s">
        <v>656</v>
      </c>
      <c r="C402" s="196" t="s">
        <v>655</v>
      </c>
      <c r="D402" s="198" t="s">
        <v>500</v>
      </c>
      <c r="E402" s="197">
        <v>1</v>
      </c>
      <c r="F402" s="257">
        <v>1890</v>
      </c>
      <c r="G402" s="249" t="s">
        <v>284</v>
      </c>
      <c r="H402" s="248"/>
      <c r="I402" s="247"/>
      <c r="J402" s="246"/>
      <c r="K402" s="245"/>
      <c r="L402" s="245"/>
      <c r="M402" s="67">
        <f t="shared" si="18"/>
        <v>0</v>
      </c>
      <c r="N402" s="242"/>
      <c r="O402" s="243"/>
      <c r="P402" s="258"/>
      <c r="Q402" s="264">
        <f>102.2/1000</f>
        <v>0.1022</v>
      </c>
      <c r="R402" s="367">
        <v>9.9000000000000008E-3</v>
      </c>
      <c r="S402" s="361">
        <f t="shared" si="19"/>
        <v>15.224880000000002</v>
      </c>
      <c r="T402"/>
      <c r="U402"/>
      <c r="V402"/>
      <c r="W402"/>
    </row>
    <row r="403" spans="1:23" ht="15.75">
      <c r="A403" s="253">
        <f t="shared" si="20"/>
        <v>401</v>
      </c>
      <c r="B403" s="268" t="s">
        <v>654</v>
      </c>
      <c r="C403" s="196" t="s">
        <v>653</v>
      </c>
      <c r="D403" s="198" t="s">
        <v>500</v>
      </c>
      <c r="E403" s="197">
        <v>1</v>
      </c>
      <c r="F403" s="257">
        <v>1903</v>
      </c>
      <c r="G403" s="249" t="s">
        <v>284</v>
      </c>
      <c r="H403" s="248"/>
      <c r="I403" s="247">
        <v>1</v>
      </c>
      <c r="J403" s="246"/>
      <c r="K403" s="245"/>
      <c r="L403" s="245"/>
      <c r="M403" s="67">
        <f t="shared" si="18"/>
        <v>0</v>
      </c>
      <c r="N403" s="242"/>
      <c r="O403" s="243"/>
      <c r="P403" s="258"/>
      <c r="Q403" s="262">
        <v>8.5999999999999993E-2</v>
      </c>
      <c r="R403" s="367">
        <v>1.2800000000000001E-2</v>
      </c>
      <c r="S403" s="361">
        <f t="shared" si="19"/>
        <v>19.684693333333335</v>
      </c>
      <c r="T403"/>
      <c r="U403"/>
      <c r="V403"/>
      <c r="W403"/>
    </row>
    <row r="404" spans="1:23" ht="45">
      <c r="A404" s="253">
        <f t="shared" si="20"/>
        <v>402</v>
      </c>
      <c r="B404" s="256" t="s">
        <v>530</v>
      </c>
      <c r="C404" s="196" t="s">
        <v>652</v>
      </c>
      <c r="D404" s="198" t="s">
        <v>500</v>
      </c>
      <c r="E404" s="279" t="s">
        <v>294</v>
      </c>
      <c r="F404" s="286">
        <v>1990</v>
      </c>
      <c r="G404" s="249" t="s">
        <v>283</v>
      </c>
      <c r="H404" s="248"/>
      <c r="I404" s="247">
        <v>1</v>
      </c>
      <c r="J404" s="246"/>
      <c r="K404" s="245"/>
      <c r="L404" s="245"/>
      <c r="M404" s="67">
        <f t="shared" si="18"/>
        <v>6.6400000000000001E-2</v>
      </c>
      <c r="N404" s="242"/>
      <c r="O404" s="243"/>
      <c r="P404" s="264">
        <f>66.4/1000</f>
        <v>6.6400000000000001E-2</v>
      </c>
      <c r="Q404" s="241" t="s">
        <v>90</v>
      </c>
      <c r="R404" s="367">
        <v>3.2000000000000002E-3</v>
      </c>
      <c r="S404" s="361">
        <f t="shared" si="19"/>
        <v>4.9211733333333338</v>
      </c>
      <c r="T404"/>
      <c r="U404"/>
      <c r="V404"/>
      <c r="W404"/>
    </row>
    <row r="405" spans="1:23" ht="30">
      <c r="A405" s="253">
        <f t="shared" si="20"/>
        <v>403</v>
      </c>
      <c r="B405" s="256" t="s">
        <v>530</v>
      </c>
      <c r="C405" s="196" t="s">
        <v>651</v>
      </c>
      <c r="D405" s="198" t="s">
        <v>500</v>
      </c>
      <c r="E405" s="279" t="s">
        <v>294</v>
      </c>
      <c r="F405" s="286">
        <v>1990</v>
      </c>
      <c r="G405" s="249" t="s">
        <v>283</v>
      </c>
      <c r="H405" s="248"/>
      <c r="I405" s="247">
        <v>1</v>
      </c>
      <c r="J405" s="246"/>
      <c r="K405" s="245"/>
      <c r="L405" s="245"/>
      <c r="M405" s="67">
        <f t="shared" si="18"/>
        <v>0.10990000000000001</v>
      </c>
      <c r="N405" s="242"/>
      <c r="O405" s="243"/>
      <c r="P405" s="264">
        <f>109.9/1000</f>
        <v>0.10990000000000001</v>
      </c>
      <c r="Q405" s="241" t="s">
        <v>90</v>
      </c>
      <c r="R405" s="367">
        <v>5.4999999999999997E-3</v>
      </c>
      <c r="S405" s="361">
        <f t="shared" si="19"/>
        <v>8.4582666666666668</v>
      </c>
      <c r="T405"/>
      <c r="U405"/>
      <c r="V405"/>
      <c r="W405"/>
    </row>
    <row r="406" spans="1:23" ht="45">
      <c r="A406" s="253">
        <f t="shared" si="20"/>
        <v>404</v>
      </c>
      <c r="B406" s="268" t="s">
        <v>650</v>
      </c>
      <c r="C406" s="199" t="s">
        <v>649</v>
      </c>
      <c r="D406" s="198" t="s">
        <v>500</v>
      </c>
      <c r="E406" s="197">
        <v>1</v>
      </c>
      <c r="F406" s="257">
        <v>1940</v>
      </c>
      <c r="G406" s="259" t="s">
        <v>284</v>
      </c>
      <c r="H406" s="248"/>
      <c r="I406" s="247">
        <v>1</v>
      </c>
      <c r="J406" s="246"/>
      <c r="K406" s="245"/>
      <c r="L406" s="245"/>
      <c r="M406" s="67">
        <f t="shared" si="18"/>
        <v>0</v>
      </c>
      <c r="N406" s="242"/>
      <c r="O406" s="243"/>
      <c r="P406" s="242"/>
      <c r="Q406" s="266">
        <f>255.8/1000</f>
        <v>0.25580000000000003</v>
      </c>
      <c r="R406" s="367">
        <v>2.4899999999999999E-2</v>
      </c>
      <c r="S406" s="361">
        <f t="shared" si="19"/>
        <v>38.292879999999997</v>
      </c>
      <c r="T406"/>
      <c r="U406"/>
      <c r="V406"/>
      <c r="W406"/>
    </row>
    <row r="407" spans="1:23" ht="60">
      <c r="A407" s="253">
        <f t="shared" si="20"/>
        <v>405</v>
      </c>
      <c r="B407" s="268" t="s">
        <v>646</v>
      </c>
      <c r="C407" s="196" t="s">
        <v>648</v>
      </c>
      <c r="D407" s="198" t="s">
        <v>500</v>
      </c>
      <c r="E407" s="197">
        <v>1</v>
      </c>
      <c r="F407" s="257">
        <v>1958</v>
      </c>
      <c r="G407" s="259" t="s">
        <v>284</v>
      </c>
      <c r="H407" s="248"/>
      <c r="I407" s="247">
        <v>1</v>
      </c>
      <c r="J407" s="246"/>
      <c r="K407" s="245"/>
      <c r="L407" s="245"/>
      <c r="M407" s="67">
        <f t="shared" si="18"/>
        <v>0</v>
      </c>
      <c r="N407" s="242"/>
      <c r="O407" s="243"/>
      <c r="P407" s="242"/>
      <c r="Q407" s="262">
        <f>183.5/1000</f>
        <v>0.1835</v>
      </c>
      <c r="R407" s="367">
        <v>1.9099999999999999E-2</v>
      </c>
      <c r="S407" s="361">
        <f t="shared" si="19"/>
        <v>29.373253333333334</v>
      </c>
      <c r="T407"/>
      <c r="U407"/>
      <c r="V407"/>
      <c r="W407"/>
    </row>
    <row r="408" spans="1:23" ht="60">
      <c r="A408" s="253">
        <f t="shared" si="20"/>
        <v>406</v>
      </c>
      <c r="B408" s="268" t="s">
        <v>646</v>
      </c>
      <c r="C408" s="196" t="s">
        <v>647</v>
      </c>
      <c r="D408" s="198" t="s">
        <v>500</v>
      </c>
      <c r="E408" s="197">
        <v>1</v>
      </c>
      <c r="F408" s="257">
        <v>1938</v>
      </c>
      <c r="G408" s="259" t="s">
        <v>284</v>
      </c>
      <c r="H408" s="248"/>
      <c r="I408" s="247"/>
      <c r="J408" s="246"/>
      <c r="K408" s="245"/>
      <c r="L408" s="245"/>
      <c r="M408" s="67">
        <f t="shared" si="18"/>
        <v>0</v>
      </c>
      <c r="N408" s="242"/>
      <c r="O408" s="243"/>
      <c r="P408" s="242"/>
      <c r="Q408" s="262">
        <f>226/1000</f>
        <v>0.22600000000000001</v>
      </c>
      <c r="R408" s="367">
        <v>1.6899999999999998E-2</v>
      </c>
      <c r="S408" s="361">
        <f t="shared" si="19"/>
        <v>25.989946666666661</v>
      </c>
      <c r="T408"/>
      <c r="U408"/>
      <c r="V408"/>
      <c r="W408"/>
    </row>
    <row r="409" spans="1:23" ht="60">
      <c r="A409" s="253">
        <f t="shared" si="20"/>
        <v>407</v>
      </c>
      <c r="B409" s="268" t="s">
        <v>646</v>
      </c>
      <c r="C409" s="196" t="s">
        <v>645</v>
      </c>
      <c r="D409" s="198" t="s">
        <v>500</v>
      </c>
      <c r="E409" s="197">
        <v>2</v>
      </c>
      <c r="F409" s="257">
        <v>1956</v>
      </c>
      <c r="G409" s="259" t="s">
        <v>284</v>
      </c>
      <c r="H409" s="248"/>
      <c r="I409" s="247"/>
      <c r="J409" s="246"/>
      <c r="K409" s="245"/>
      <c r="L409" s="245"/>
      <c r="M409" s="67">
        <f t="shared" si="18"/>
        <v>0</v>
      </c>
      <c r="N409" s="242"/>
      <c r="O409" s="243"/>
      <c r="P409" s="242"/>
      <c r="Q409" s="262">
        <v>0.51</v>
      </c>
      <c r="R409" s="367">
        <v>7.5999999999999998E-2</v>
      </c>
      <c r="S409" s="361">
        <f t="shared" si="19"/>
        <v>116.87786666666665</v>
      </c>
      <c r="T409"/>
      <c r="U409"/>
      <c r="V409"/>
      <c r="W409"/>
    </row>
    <row r="410" spans="1:23" ht="60">
      <c r="A410" s="253">
        <f t="shared" si="20"/>
        <v>408</v>
      </c>
      <c r="B410" s="277" t="s">
        <v>644</v>
      </c>
      <c r="C410" s="196" t="s">
        <v>642</v>
      </c>
      <c r="D410" s="198" t="s">
        <v>500</v>
      </c>
      <c r="E410" s="197">
        <v>1</v>
      </c>
      <c r="F410" s="257">
        <v>1963</v>
      </c>
      <c r="G410" s="259" t="s">
        <v>284</v>
      </c>
      <c r="H410" s="248"/>
      <c r="I410" s="247">
        <v>1</v>
      </c>
      <c r="J410" s="246"/>
      <c r="K410" s="245"/>
      <c r="L410" s="245"/>
      <c r="M410" s="67">
        <f t="shared" si="18"/>
        <v>0</v>
      </c>
      <c r="N410" s="242"/>
      <c r="O410" s="243"/>
      <c r="P410" s="242"/>
      <c r="Q410" s="266">
        <v>0.59989999999999999</v>
      </c>
      <c r="R410" s="367">
        <v>0.13750000000000001</v>
      </c>
      <c r="S410" s="361">
        <f t="shared" si="19"/>
        <v>211.45666666666671</v>
      </c>
      <c r="T410"/>
      <c r="U410"/>
      <c r="V410"/>
      <c r="W410"/>
    </row>
    <row r="411" spans="1:23" ht="60">
      <c r="A411" s="253">
        <f t="shared" si="20"/>
        <v>409</v>
      </c>
      <c r="B411" s="277" t="s">
        <v>643</v>
      </c>
      <c r="C411" s="196" t="s">
        <v>642</v>
      </c>
      <c r="D411" s="198" t="s">
        <v>500</v>
      </c>
      <c r="E411" s="197">
        <v>2</v>
      </c>
      <c r="F411" s="257">
        <v>1890</v>
      </c>
      <c r="G411" s="259" t="s">
        <v>284</v>
      </c>
      <c r="H411" s="248"/>
      <c r="I411" s="247"/>
      <c r="J411" s="246"/>
      <c r="K411" s="245"/>
      <c r="L411" s="245"/>
      <c r="M411" s="67">
        <f t="shared" si="18"/>
        <v>0</v>
      </c>
      <c r="N411" s="242"/>
      <c r="O411" s="243"/>
      <c r="P411" s="242"/>
      <c r="Q411" s="266">
        <v>0.41410000000000002</v>
      </c>
      <c r="R411" s="367">
        <v>5.8299999999999998E-2</v>
      </c>
      <c r="S411" s="361">
        <f t="shared" si="19"/>
        <v>89.657626666666673</v>
      </c>
      <c r="T411"/>
      <c r="U411"/>
      <c r="V411"/>
      <c r="W411"/>
    </row>
    <row r="412" spans="1:23" ht="45">
      <c r="A412" s="253">
        <f t="shared" si="20"/>
        <v>410</v>
      </c>
      <c r="B412" s="277" t="s">
        <v>641</v>
      </c>
      <c r="C412" s="196" t="s">
        <v>640</v>
      </c>
      <c r="D412" s="198" t="s">
        <v>500</v>
      </c>
      <c r="E412" s="197">
        <v>2</v>
      </c>
      <c r="F412" s="257">
        <v>1903</v>
      </c>
      <c r="G412" s="259" t="s">
        <v>283</v>
      </c>
      <c r="H412" s="248"/>
      <c r="I412" s="247">
        <v>1</v>
      </c>
      <c r="J412" s="246"/>
      <c r="K412" s="245"/>
      <c r="L412" s="245"/>
      <c r="M412" s="67">
        <f t="shared" si="18"/>
        <v>0</v>
      </c>
      <c r="N412" s="242"/>
      <c r="O412" s="243"/>
      <c r="P412" s="262"/>
      <c r="Q412" s="266">
        <f>1170/1000</f>
        <v>1.17</v>
      </c>
      <c r="R412" s="367">
        <v>0.10580000000000001</v>
      </c>
      <c r="S412" s="361">
        <f t="shared" si="19"/>
        <v>162.70629333333335</v>
      </c>
      <c r="T412"/>
      <c r="U412"/>
      <c r="V412"/>
      <c r="W412"/>
    </row>
    <row r="413" spans="1:23" ht="60">
      <c r="A413" s="253">
        <f t="shared" si="20"/>
        <v>411</v>
      </c>
      <c r="B413" s="277" t="s">
        <v>514</v>
      </c>
      <c r="C413" s="196" t="s">
        <v>513</v>
      </c>
      <c r="D413" s="198" t="s">
        <v>500</v>
      </c>
      <c r="E413" s="197">
        <v>1</v>
      </c>
      <c r="F413" s="257">
        <v>1938</v>
      </c>
      <c r="G413" s="259" t="s">
        <v>283</v>
      </c>
      <c r="H413" s="248"/>
      <c r="I413" s="282"/>
      <c r="J413" s="246"/>
      <c r="K413" s="245"/>
      <c r="L413" s="245"/>
      <c r="M413" s="67">
        <f t="shared" si="18"/>
        <v>0</v>
      </c>
      <c r="N413" s="242"/>
      <c r="O413" s="243"/>
      <c r="P413" s="258"/>
      <c r="Q413" s="264">
        <f>1527.7/1000</f>
        <v>1.5277000000000001</v>
      </c>
      <c r="R413" s="367">
        <v>7.5800000000000006E-2</v>
      </c>
      <c r="S413" s="361">
        <f t="shared" si="19"/>
        <v>116.57029333333334</v>
      </c>
      <c r="T413"/>
      <c r="U413"/>
      <c r="V413"/>
      <c r="W413"/>
    </row>
    <row r="414" spans="1:23" ht="45">
      <c r="A414" s="253">
        <f t="shared" si="20"/>
        <v>412</v>
      </c>
      <c r="B414" s="277" t="s">
        <v>512</v>
      </c>
      <c r="C414" s="196" t="s">
        <v>511</v>
      </c>
      <c r="D414" s="198" t="s">
        <v>500</v>
      </c>
      <c r="E414" s="197" t="s">
        <v>294</v>
      </c>
      <c r="F414" s="257">
        <v>1978</v>
      </c>
      <c r="G414" s="259" t="s">
        <v>283</v>
      </c>
      <c r="H414" s="248"/>
      <c r="I414" s="282"/>
      <c r="J414" s="246"/>
      <c r="K414" s="245"/>
      <c r="L414" s="245"/>
      <c r="M414" s="67">
        <f t="shared" si="18"/>
        <v>0</v>
      </c>
      <c r="N414" s="242"/>
      <c r="O414" s="243"/>
      <c r="P414" s="258"/>
      <c r="Q414" s="264">
        <f>1981.3/1000</f>
        <v>1.9813000000000001</v>
      </c>
      <c r="R414" s="367">
        <v>9.7199999999999995E-2</v>
      </c>
      <c r="S414" s="361">
        <f t="shared" si="19"/>
        <v>149.48063999999999</v>
      </c>
      <c r="T414"/>
      <c r="U414"/>
      <c r="V414"/>
      <c r="W414"/>
    </row>
    <row r="415" spans="1:23" ht="60">
      <c r="A415" s="253">
        <f t="shared" si="20"/>
        <v>413</v>
      </c>
      <c r="B415" s="252" t="s">
        <v>639</v>
      </c>
      <c r="C415" s="196" t="s">
        <v>517</v>
      </c>
      <c r="D415" s="198" t="s">
        <v>500</v>
      </c>
      <c r="E415" s="197">
        <v>2</v>
      </c>
      <c r="F415" s="257">
        <v>1972</v>
      </c>
      <c r="G415" s="249" t="s">
        <v>283</v>
      </c>
      <c r="H415" s="248"/>
      <c r="I415" s="247">
        <v>1</v>
      </c>
      <c r="J415" s="246"/>
      <c r="K415" s="245"/>
      <c r="L415" s="245"/>
      <c r="M415" s="67">
        <f t="shared" si="18"/>
        <v>0</v>
      </c>
      <c r="N415" s="242"/>
      <c r="O415" s="243"/>
      <c r="P415" s="258"/>
      <c r="Q415" s="262">
        <v>0.97299999999999998</v>
      </c>
      <c r="R415" s="367">
        <v>0.1449</v>
      </c>
      <c r="S415" s="361">
        <f t="shared" si="19"/>
        <v>222.83687999999998</v>
      </c>
      <c r="T415"/>
      <c r="U415"/>
      <c r="V415"/>
      <c r="W415"/>
    </row>
    <row r="416" spans="1:23" ht="60">
      <c r="A416" s="253">
        <f t="shared" si="20"/>
        <v>414</v>
      </c>
      <c r="B416" s="252" t="s">
        <v>639</v>
      </c>
      <c r="C416" s="196" t="s">
        <v>516</v>
      </c>
      <c r="D416" s="198" t="s">
        <v>500</v>
      </c>
      <c r="E416" s="197">
        <v>2</v>
      </c>
      <c r="F416" s="257">
        <v>1973</v>
      </c>
      <c r="G416" s="249" t="s">
        <v>283</v>
      </c>
      <c r="H416" s="248"/>
      <c r="I416" s="247"/>
      <c r="J416" s="246"/>
      <c r="K416" s="245"/>
      <c r="L416" s="245"/>
      <c r="M416" s="67">
        <f t="shared" si="18"/>
        <v>0</v>
      </c>
      <c r="N416" s="242"/>
      <c r="O416" s="243"/>
      <c r="P416" s="258"/>
      <c r="Q416" s="262">
        <v>0.58499999999999996</v>
      </c>
      <c r="R416" s="367">
        <v>8.7099999999999997E-2</v>
      </c>
      <c r="S416" s="361">
        <f t="shared" si="19"/>
        <v>133.94818666666666</v>
      </c>
      <c r="T416"/>
      <c r="U416"/>
      <c r="V416"/>
      <c r="W416"/>
    </row>
    <row r="417" spans="1:23" ht="45">
      <c r="A417" s="253">
        <f t="shared" si="20"/>
        <v>415</v>
      </c>
      <c r="B417" s="252" t="s">
        <v>638</v>
      </c>
      <c r="C417" s="199" t="s">
        <v>636</v>
      </c>
      <c r="D417" s="198" t="s">
        <v>500</v>
      </c>
      <c r="E417" s="197">
        <v>2</v>
      </c>
      <c r="F417" s="257">
        <v>1982</v>
      </c>
      <c r="G417" s="259" t="s">
        <v>284</v>
      </c>
      <c r="H417" s="248"/>
      <c r="I417" s="247">
        <v>1</v>
      </c>
      <c r="J417" s="246"/>
      <c r="K417" s="245"/>
      <c r="L417" s="245"/>
      <c r="M417" s="67">
        <f t="shared" si="18"/>
        <v>0</v>
      </c>
      <c r="N417" s="242"/>
      <c r="O417" s="243"/>
      <c r="P417" s="242"/>
      <c r="Q417" s="266">
        <v>1.5489999999999999</v>
      </c>
      <c r="R417" s="367">
        <v>0.2306</v>
      </c>
      <c r="S417" s="361">
        <f t="shared" si="19"/>
        <v>354.63205333333332</v>
      </c>
      <c r="T417"/>
      <c r="U417"/>
      <c r="V417"/>
      <c r="W417"/>
    </row>
    <row r="418" spans="1:23" ht="45">
      <c r="A418" s="253">
        <f t="shared" si="20"/>
        <v>416</v>
      </c>
      <c r="B418" s="252" t="s">
        <v>637</v>
      </c>
      <c r="C418" s="199" t="s">
        <v>636</v>
      </c>
      <c r="D418" s="198" t="s">
        <v>500</v>
      </c>
      <c r="E418" s="289">
        <v>2</v>
      </c>
      <c r="F418" s="257">
        <v>1982</v>
      </c>
      <c r="G418" s="259" t="s">
        <v>283</v>
      </c>
      <c r="H418" s="248"/>
      <c r="I418" s="247"/>
      <c r="J418" s="246"/>
      <c r="K418" s="245"/>
      <c r="L418" s="245"/>
      <c r="M418" s="67">
        <f t="shared" si="18"/>
        <v>0</v>
      </c>
      <c r="N418" s="242"/>
      <c r="O418" s="243"/>
      <c r="P418" s="258"/>
      <c r="Q418" s="242">
        <v>0.84</v>
      </c>
      <c r="R418" s="367">
        <v>0.12509999999999999</v>
      </c>
      <c r="S418" s="361">
        <f t="shared" si="19"/>
        <v>192.38711999999998</v>
      </c>
      <c r="T418"/>
      <c r="U418"/>
      <c r="V418"/>
      <c r="W418"/>
    </row>
    <row r="419" spans="1:23" ht="60">
      <c r="A419" s="253">
        <f t="shared" si="20"/>
        <v>417</v>
      </c>
      <c r="B419" s="288" t="s">
        <v>628</v>
      </c>
      <c r="C419" s="196" t="s">
        <v>635</v>
      </c>
      <c r="D419" s="198" t="s">
        <v>500</v>
      </c>
      <c r="E419" s="197">
        <v>3</v>
      </c>
      <c r="F419" s="257">
        <v>1971</v>
      </c>
      <c r="G419" s="249" t="s">
        <v>283</v>
      </c>
      <c r="H419" s="248"/>
      <c r="I419" s="247">
        <v>1</v>
      </c>
      <c r="J419" s="246"/>
      <c r="K419" s="245"/>
      <c r="L419" s="245"/>
      <c r="M419" s="67">
        <f t="shared" si="18"/>
        <v>0</v>
      </c>
      <c r="N419" s="242"/>
      <c r="O419" s="243"/>
      <c r="P419" s="242"/>
      <c r="Q419" s="262">
        <f>1226.5/1000</f>
        <v>1.2264999999999999</v>
      </c>
      <c r="R419" s="367">
        <v>7.2999999999999995E-2</v>
      </c>
      <c r="S419" s="361">
        <f t="shared" si="19"/>
        <v>112.26426666666666</v>
      </c>
      <c r="T419"/>
      <c r="U419"/>
      <c r="V419"/>
      <c r="W419"/>
    </row>
    <row r="420" spans="1:23" ht="60">
      <c r="A420" s="253">
        <f t="shared" si="20"/>
        <v>418</v>
      </c>
      <c r="B420" s="287" t="s">
        <v>628</v>
      </c>
      <c r="C420" s="196" t="s">
        <v>634</v>
      </c>
      <c r="D420" s="198" t="s">
        <v>500</v>
      </c>
      <c r="E420" s="197">
        <v>1</v>
      </c>
      <c r="F420" s="257">
        <v>1958</v>
      </c>
      <c r="G420" s="249" t="s">
        <v>283</v>
      </c>
      <c r="H420" s="248"/>
      <c r="I420" s="247"/>
      <c r="J420" s="246"/>
      <c r="K420" s="245"/>
      <c r="L420" s="245"/>
      <c r="M420" s="67">
        <f t="shared" si="18"/>
        <v>0</v>
      </c>
      <c r="N420" s="242"/>
      <c r="O420" s="243"/>
      <c r="P420" s="242"/>
      <c r="Q420" s="262">
        <f>668.4/1000</f>
        <v>0.66839999999999999</v>
      </c>
      <c r="R420" s="367">
        <v>6.1400000000000003E-2</v>
      </c>
      <c r="S420" s="361">
        <f t="shared" si="19"/>
        <v>94.425013333333339</v>
      </c>
      <c r="T420"/>
      <c r="U420"/>
      <c r="V420"/>
      <c r="W420"/>
    </row>
    <row r="421" spans="1:23" ht="45">
      <c r="A421" s="253">
        <f t="shared" si="20"/>
        <v>419</v>
      </c>
      <c r="B421" s="288" t="s">
        <v>628</v>
      </c>
      <c r="C421" s="196" t="s">
        <v>633</v>
      </c>
      <c r="D421" s="198" t="s">
        <v>500</v>
      </c>
      <c r="E421" s="197">
        <v>1</v>
      </c>
      <c r="F421" s="257">
        <v>1940</v>
      </c>
      <c r="G421" s="249" t="s">
        <v>283</v>
      </c>
      <c r="H421" s="248"/>
      <c r="I421" s="247"/>
      <c r="J421" s="246"/>
      <c r="K421" s="245"/>
      <c r="L421" s="245"/>
      <c r="M421" s="67">
        <f t="shared" si="18"/>
        <v>0</v>
      </c>
      <c r="N421" s="242"/>
      <c r="O421" s="243"/>
      <c r="P421" s="242"/>
      <c r="Q421" s="262">
        <f>74.64/1000</f>
        <v>7.4639999999999998E-2</v>
      </c>
      <c r="R421" s="367">
        <v>5.8999999999999999E-3</v>
      </c>
      <c r="S421" s="361">
        <f t="shared" si="19"/>
        <v>9.0734133333333347</v>
      </c>
      <c r="T421"/>
      <c r="U421"/>
      <c r="V421"/>
      <c r="W421"/>
    </row>
    <row r="422" spans="1:23" ht="45">
      <c r="A422" s="253">
        <f t="shared" si="20"/>
        <v>420</v>
      </c>
      <c r="B422" s="287" t="s">
        <v>628</v>
      </c>
      <c r="C422" s="196" t="s">
        <v>632</v>
      </c>
      <c r="D422" s="198" t="s">
        <v>500</v>
      </c>
      <c r="E422" s="197">
        <v>1</v>
      </c>
      <c r="F422" s="257">
        <v>1967</v>
      </c>
      <c r="G422" s="249" t="s">
        <v>283</v>
      </c>
      <c r="H422" s="248"/>
      <c r="I422" s="247"/>
      <c r="J422" s="246"/>
      <c r="K422" s="245"/>
      <c r="L422" s="245"/>
      <c r="M422" s="67">
        <f t="shared" si="18"/>
        <v>0</v>
      </c>
      <c r="N422" s="242"/>
      <c r="O422" s="243"/>
      <c r="P422" s="242"/>
      <c r="Q422" s="262">
        <f>126.5/1000</f>
        <v>0.1265</v>
      </c>
      <c r="R422" s="367">
        <v>1.3299999999999999E-2</v>
      </c>
      <c r="S422" s="361">
        <f t="shared" si="19"/>
        <v>20.453626666666665</v>
      </c>
      <c r="T422"/>
      <c r="U422"/>
      <c r="V422"/>
      <c r="W422"/>
    </row>
    <row r="423" spans="1:23" ht="45">
      <c r="A423" s="253">
        <f t="shared" si="20"/>
        <v>421</v>
      </c>
      <c r="B423" s="288" t="s">
        <v>628</v>
      </c>
      <c r="C423" s="196" t="s">
        <v>631</v>
      </c>
      <c r="D423" s="198" t="s">
        <v>500</v>
      </c>
      <c r="E423" s="197">
        <v>1</v>
      </c>
      <c r="F423" s="257">
        <v>1948</v>
      </c>
      <c r="G423" s="249" t="s">
        <v>283</v>
      </c>
      <c r="H423" s="248"/>
      <c r="I423" s="247"/>
      <c r="J423" s="246"/>
      <c r="K423" s="245"/>
      <c r="L423" s="245"/>
      <c r="M423" s="67">
        <f t="shared" si="18"/>
        <v>0</v>
      </c>
      <c r="N423" s="242"/>
      <c r="O423" s="243"/>
      <c r="P423" s="242"/>
      <c r="Q423" s="262">
        <f>349.7/1000</f>
        <v>0.34970000000000001</v>
      </c>
      <c r="R423" s="367">
        <v>1.37E-2</v>
      </c>
      <c r="S423" s="361">
        <f t="shared" si="19"/>
        <v>21.068773333333333</v>
      </c>
      <c r="T423"/>
      <c r="U423"/>
      <c r="V423"/>
      <c r="W423"/>
    </row>
    <row r="424" spans="1:23" ht="45">
      <c r="A424" s="253">
        <f t="shared" si="20"/>
        <v>422</v>
      </c>
      <c r="B424" s="287" t="s">
        <v>628</v>
      </c>
      <c r="C424" s="196" t="s">
        <v>630</v>
      </c>
      <c r="D424" s="198" t="s">
        <v>500</v>
      </c>
      <c r="E424" s="197">
        <v>1</v>
      </c>
      <c r="F424" s="257">
        <v>1948</v>
      </c>
      <c r="G424" s="249" t="s">
        <v>283</v>
      </c>
      <c r="H424" s="248"/>
      <c r="I424" s="247"/>
      <c r="J424" s="246"/>
      <c r="K424" s="245"/>
      <c r="L424" s="245"/>
      <c r="M424" s="67">
        <f t="shared" si="18"/>
        <v>0</v>
      </c>
      <c r="N424" s="242"/>
      <c r="O424" s="243"/>
      <c r="P424" s="242"/>
      <c r="Q424" s="262">
        <f>200.6/1000</f>
        <v>0.2006</v>
      </c>
      <c r="R424" s="367">
        <v>1.0800000000000001E-2</v>
      </c>
      <c r="S424" s="361">
        <f t="shared" si="19"/>
        <v>16.608959999999996</v>
      </c>
      <c r="T424"/>
      <c r="U424"/>
      <c r="V424"/>
      <c r="W424"/>
    </row>
    <row r="425" spans="1:23" ht="45">
      <c r="A425" s="253">
        <f t="shared" si="20"/>
        <v>423</v>
      </c>
      <c r="B425" s="288" t="s">
        <v>628</v>
      </c>
      <c r="C425" s="196" t="s">
        <v>629</v>
      </c>
      <c r="D425" s="198" t="s">
        <v>500</v>
      </c>
      <c r="E425" s="197">
        <v>1</v>
      </c>
      <c r="F425" s="257">
        <v>1960</v>
      </c>
      <c r="G425" s="249" t="s">
        <v>283</v>
      </c>
      <c r="H425" s="248"/>
      <c r="I425" s="247"/>
      <c r="J425" s="246"/>
      <c r="K425" s="245"/>
      <c r="L425" s="245"/>
      <c r="M425" s="67">
        <f t="shared" si="18"/>
        <v>0</v>
      </c>
      <c r="N425" s="242"/>
      <c r="O425" s="243"/>
      <c r="P425" s="242"/>
      <c r="Q425" s="262">
        <f>90.4/1000</f>
        <v>9.0400000000000008E-2</v>
      </c>
      <c r="R425" s="367">
        <v>6.7999999999999996E-3</v>
      </c>
      <c r="S425" s="361">
        <f t="shared" si="19"/>
        <v>10.457493333333334</v>
      </c>
      <c r="T425"/>
      <c r="U425"/>
      <c r="V425"/>
      <c r="W425"/>
    </row>
    <row r="426" spans="1:23" ht="45">
      <c r="A426" s="253">
        <f t="shared" si="20"/>
        <v>424</v>
      </c>
      <c r="B426" s="287" t="s">
        <v>628</v>
      </c>
      <c r="C426" s="196" t="s">
        <v>627</v>
      </c>
      <c r="D426" s="198" t="s">
        <v>500</v>
      </c>
      <c r="E426" s="197">
        <v>1</v>
      </c>
      <c r="F426" s="257">
        <v>1968</v>
      </c>
      <c r="G426" s="249" t="s">
        <v>283</v>
      </c>
      <c r="H426" s="248"/>
      <c r="I426" s="247"/>
      <c r="J426" s="246"/>
      <c r="K426" s="245"/>
      <c r="L426" s="245"/>
      <c r="M426" s="67">
        <f t="shared" si="18"/>
        <v>0</v>
      </c>
      <c r="N426" s="242"/>
      <c r="O426" s="243"/>
      <c r="P426" s="242"/>
      <c r="Q426" s="262">
        <f>11.9/1000</f>
        <v>1.1900000000000001E-2</v>
      </c>
      <c r="R426" s="367">
        <v>1.2200000000000001E-2</v>
      </c>
      <c r="S426" s="361">
        <f t="shared" si="19"/>
        <v>18.761973333333334</v>
      </c>
      <c r="T426"/>
      <c r="U426"/>
      <c r="V426"/>
      <c r="W426"/>
    </row>
    <row r="427" spans="1:23" ht="30">
      <c r="A427" s="253">
        <f t="shared" si="20"/>
        <v>425</v>
      </c>
      <c r="B427" s="277" t="s">
        <v>626</v>
      </c>
      <c r="C427" s="196" t="s">
        <v>625</v>
      </c>
      <c r="D427" s="198" t="s">
        <v>500</v>
      </c>
      <c r="E427" s="279" t="s">
        <v>294</v>
      </c>
      <c r="F427" s="286">
        <v>1993</v>
      </c>
      <c r="G427" s="249" t="s">
        <v>283</v>
      </c>
      <c r="H427" s="248"/>
      <c r="I427" s="247">
        <v>1</v>
      </c>
      <c r="J427" s="246"/>
      <c r="K427" s="245"/>
      <c r="L427" s="245"/>
      <c r="M427" s="67">
        <f t="shared" si="18"/>
        <v>0.32939999999999997</v>
      </c>
      <c r="N427" s="242"/>
      <c r="O427" s="243"/>
      <c r="P427" s="262">
        <f>329.4/1000</f>
        <v>0.32939999999999997</v>
      </c>
      <c r="Q427" s="241" t="s">
        <v>90</v>
      </c>
      <c r="R427" s="367">
        <v>1.7600000000000001E-2</v>
      </c>
      <c r="S427" s="361">
        <f t="shared" si="19"/>
        <v>27.066453333333332</v>
      </c>
      <c r="T427"/>
      <c r="U427"/>
      <c r="V427"/>
      <c r="W427"/>
    </row>
    <row r="428" spans="1:23" ht="30">
      <c r="A428" s="253">
        <f t="shared" si="20"/>
        <v>426</v>
      </c>
      <c r="B428" s="252" t="s">
        <v>624</v>
      </c>
      <c r="C428" s="196" t="s">
        <v>623</v>
      </c>
      <c r="D428" s="198" t="s">
        <v>500</v>
      </c>
      <c r="E428" s="197">
        <v>4</v>
      </c>
      <c r="F428" s="257">
        <v>2002</v>
      </c>
      <c r="G428" s="249" t="s">
        <v>283</v>
      </c>
      <c r="H428" s="248"/>
      <c r="I428" s="247">
        <v>1</v>
      </c>
      <c r="J428" s="246"/>
      <c r="K428" s="245"/>
      <c r="L428" s="245"/>
      <c r="M428" s="67">
        <f t="shared" si="18"/>
        <v>0</v>
      </c>
      <c r="N428" s="242"/>
      <c r="O428" s="243"/>
      <c r="P428" s="242"/>
      <c r="Q428" s="266">
        <f>1114.94/1000</f>
        <v>1.11494</v>
      </c>
      <c r="R428" s="367">
        <v>9.7299999999999998E-2</v>
      </c>
      <c r="S428" s="361">
        <f t="shared" si="19"/>
        <v>149.63442666666666</v>
      </c>
      <c r="T428"/>
      <c r="U428"/>
      <c r="V428"/>
      <c r="W428"/>
    </row>
    <row r="429" spans="1:23" ht="15.75">
      <c r="A429" s="253">
        <f t="shared" si="20"/>
        <v>427</v>
      </c>
      <c r="B429" s="252" t="s">
        <v>622</v>
      </c>
      <c r="C429" s="199" t="s">
        <v>621</v>
      </c>
      <c r="D429" s="198" t="s">
        <v>500</v>
      </c>
      <c r="E429" s="197">
        <v>2</v>
      </c>
      <c r="F429" s="260">
        <v>1976</v>
      </c>
      <c r="G429" s="284" t="s">
        <v>283</v>
      </c>
      <c r="H429" s="283"/>
      <c r="I429" s="282">
        <v>1</v>
      </c>
      <c r="J429" s="281"/>
      <c r="K429" s="281"/>
      <c r="L429" s="281"/>
      <c r="M429" s="67">
        <f t="shared" si="18"/>
        <v>0</v>
      </c>
      <c r="N429" s="254"/>
      <c r="O429" s="243"/>
      <c r="P429" s="254"/>
      <c r="Q429" s="285">
        <f>412.8/1000</f>
        <v>0.4128</v>
      </c>
      <c r="R429" s="367">
        <v>3.4200000000000001E-2</v>
      </c>
      <c r="S429" s="361">
        <f t="shared" si="19"/>
        <v>52.595039999999997</v>
      </c>
      <c r="T429"/>
      <c r="U429"/>
      <c r="V429"/>
      <c r="W429"/>
    </row>
    <row r="430" spans="1:23" ht="15.75">
      <c r="A430" s="253">
        <f t="shared" si="20"/>
        <v>428</v>
      </c>
      <c r="B430" s="252" t="s">
        <v>620</v>
      </c>
      <c r="C430" s="199" t="s">
        <v>618</v>
      </c>
      <c r="D430" s="198" t="s">
        <v>500</v>
      </c>
      <c r="E430" s="197">
        <v>2</v>
      </c>
      <c r="F430" s="260">
        <v>1976</v>
      </c>
      <c r="G430" s="284" t="s">
        <v>283</v>
      </c>
      <c r="H430" s="283"/>
      <c r="I430" s="282"/>
      <c r="J430" s="281"/>
      <c r="K430" s="281"/>
      <c r="L430" s="281"/>
      <c r="M430" s="67">
        <f t="shared" si="18"/>
        <v>0</v>
      </c>
      <c r="N430" s="254"/>
      <c r="O430" s="243"/>
      <c r="P430" s="254"/>
      <c r="Q430" s="285">
        <f>383.9/1000</f>
        <v>0.38389999999999996</v>
      </c>
      <c r="R430" s="367">
        <v>3.1899999999999998E-2</v>
      </c>
      <c r="S430" s="361">
        <f t="shared" si="19"/>
        <v>49.057946666666666</v>
      </c>
      <c r="T430"/>
      <c r="U430"/>
      <c r="V430"/>
      <c r="W430"/>
    </row>
    <row r="431" spans="1:23" ht="15.75">
      <c r="A431" s="253">
        <f t="shared" si="20"/>
        <v>429</v>
      </c>
      <c r="B431" s="256" t="s">
        <v>619</v>
      </c>
      <c r="C431" s="196" t="s">
        <v>618</v>
      </c>
      <c r="D431" s="198" t="s">
        <v>500</v>
      </c>
      <c r="E431" s="197">
        <v>3</v>
      </c>
      <c r="F431" s="260">
        <v>1952</v>
      </c>
      <c r="G431" s="284" t="s">
        <v>283</v>
      </c>
      <c r="H431" s="283"/>
      <c r="I431" s="282"/>
      <c r="J431" s="281"/>
      <c r="K431" s="281"/>
      <c r="L431" s="281"/>
      <c r="M431" s="67">
        <f t="shared" si="18"/>
        <v>0</v>
      </c>
      <c r="N431" s="254"/>
      <c r="O431" s="243"/>
      <c r="P431" s="254"/>
      <c r="Q431" s="254">
        <f>2807/1000</f>
        <v>2.8069999999999999</v>
      </c>
      <c r="R431" s="367">
        <v>0.1056</v>
      </c>
      <c r="S431" s="361">
        <f t="shared" si="19"/>
        <v>162.39871999999997</v>
      </c>
      <c r="T431"/>
      <c r="U431"/>
      <c r="V431"/>
      <c r="W431"/>
    </row>
    <row r="432" spans="1:23" ht="15.75">
      <c r="A432" s="253">
        <f t="shared" si="20"/>
        <v>430</v>
      </c>
      <c r="B432" s="256" t="s">
        <v>617</v>
      </c>
      <c r="C432" s="196" t="s">
        <v>616</v>
      </c>
      <c r="D432" s="198" t="s">
        <v>500</v>
      </c>
      <c r="E432" s="197">
        <v>3</v>
      </c>
      <c r="F432" s="260">
        <v>1952</v>
      </c>
      <c r="G432" s="284" t="s">
        <v>283</v>
      </c>
      <c r="H432" s="283"/>
      <c r="I432" s="282"/>
      <c r="J432" s="281"/>
      <c r="K432" s="281"/>
      <c r="L432" s="281"/>
      <c r="M432" s="67">
        <f t="shared" si="18"/>
        <v>0</v>
      </c>
      <c r="N432" s="254"/>
      <c r="O432" s="243"/>
      <c r="P432" s="254"/>
      <c r="Q432" s="254">
        <f>3283/1000</f>
        <v>3.2829999999999999</v>
      </c>
      <c r="R432" s="367">
        <v>0.1585</v>
      </c>
      <c r="S432" s="361">
        <f t="shared" si="19"/>
        <v>243.75186666666667</v>
      </c>
      <c r="T432"/>
      <c r="U432"/>
      <c r="V432"/>
      <c r="W432"/>
    </row>
    <row r="433" spans="1:23" ht="15.75">
      <c r="A433" s="253">
        <f t="shared" si="20"/>
        <v>431</v>
      </c>
      <c r="B433" s="256" t="s">
        <v>615</v>
      </c>
      <c r="C433" s="196" t="s">
        <v>614</v>
      </c>
      <c r="D433" s="198" t="s">
        <v>500</v>
      </c>
      <c r="E433" s="197">
        <v>2</v>
      </c>
      <c r="F433" s="260">
        <v>1952</v>
      </c>
      <c r="G433" s="284" t="s">
        <v>283</v>
      </c>
      <c r="H433" s="283"/>
      <c r="I433" s="282"/>
      <c r="J433" s="281"/>
      <c r="K433" s="281"/>
      <c r="L433" s="281"/>
      <c r="M433" s="67">
        <f t="shared" si="18"/>
        <v>0</v>
      </c>
      <c r="N433" s="254"/>
      <c r="O433" s="243"/>
      <c r="P433" s="254"/>
      <c r="Q433" s="254">
        <f>2448/1000</f>
        <v>2.448</v>
      </c>
      <c r="R433" s="367">
        <v>0.1182</v>
      </c>
      <c r="S433" s="361">
        <f t="shared" si="19"/>
        <v>181.77584000000002</v>
      </c>
      <c r="T433"/>
      <c r="U433"/>
      <c r="V433"/>
      <c r="W433"/>
    </row>
    <row r="434" spans="1:23" ht="15.75">
      <c r="A434" s="253">
        <f t="shared" si="20"/>
        <v>432</v>
      </c>
      <c r="B434" s="256" t="s">
        <v>613</v>
      </c>
      <c r="C434" s="196" t="s">
        <v>612</v>
      </c>
      <c r="D434" s="198" t="s">
        <v>500</v>
      </c>
      <c r="E434" s="197">
        <v>2</v>
      </c>
      <c r="F434" s="260">
        <v>1952</v>
      </c>
      <c r="G434" s="284" t="s">
        <v>283</v>
      </c>
      <c r="H434" s="283"/>
      <c r="I434" s="282"/>
      <c r="J434" s="281"/>
      <c r="K434" s="281"/>
      <c r="L434" s="281"/>
      <c r="M434" s="67">
        <f t="shared" si="18"/>
        <v>0</v>
      </c>
      <c r="N434" s="254"/>
      <c r="O434" s="243"/>
      <c r="P434" s="254"/>
      <c r="Q434" s="254">
        <f>181.8/1000</f>
        <v>0.18180000000000002</v>
      </c>
      <c r="R434" s="367">
        <v>8.8000000000000005E-3</v>
      </c>
      <c r="S434" s="361">
        <f t="shared" si="19"/>
        <v>13.533226666666666</v>
      </c>
      <c r="T434"/>
      <c r="U434"/>
      <c r="V434"/>
      <c r="W434"/>
    </row>
    <row r="435" spans="1:23" ht="15.75">
      <c r="A435" s="253">
        <f t="shared" si="20"/>
        <v>433</v>
      </c>
      <c r="B435" s="256" t="s">
        <v>611</v>
      </c>
      <c r="C435" s="196" t="s">
        <v>610</v>
      </c>
      <c r="D435" s="198" t="s">
        <v>500</v>
      </c>
      <c r="E435" s="197">
        <v>1</v>
      </c>
      <c r="F435" s="260">
        <v>1952</v>
      </c>
      <c r="G435" s="284" t="s">
        <v>283</v>
      </c>
      <c r="H435" s="283"/>
      <c r="I435" s="282"/>
      <c r="J435" s="281"/>
      <c r="K435" s="281"/>
      <c r="L435" s="281"/>
      <c r="M435" s="67">
        <f t="shared" si="18"/>
        <v>0</v>
      </c>
      <c r="N435" s="254"/>
      <c r="O435" s="243"/>
      <c r="P435" s="254"/>
      <c r="Q435" s="254">
        <f>60.9/1000</f>
        <v>6.0899999999999996E-2</v>
      </c>
      <c r="R435" s="367">
        <v>2.8999999999999998E-3</v>
      </c>
      <c r="S435" s="361">
        <f t="shared" si="19"/>
        <v>4.459813333333333</v>
      </c>
      <c r="T435"/>
      <c r="U435"/>
      <c r="V435"/>
      <c r="W435"/>
    </row>
    <row r="436" spans="1:23" ht="75">
      <c r="A436" s="253">
        <f t="shared" si="20"/>
        <v>434</v>
      </c>
      <c r="B436" s="277" t="s">
        <v>609</v>
      </c>
      <c r="C436" s="196" t="s">
        <v>608</v>
      </c>
      <c r="D436" s="198" t="s">
        <v>500</v>
      </c>
      <c r="E436" s="197">
        <v>3</v>
      </c>
      <c r="F436" s="257">
        <v>1909</v>
      </c>
      <c r="G436" s="259" t="s">
        <v>283</v>
      </c>
      <c r="H436" s="248"/>
      <c r="I436" s="247">
        <v>1</v>
      </c>
      <c r="J436" s="246"/>
      <c r="K436" s="245"/>
      <c r="L436" s="245"/>
      <c r="M436" s="67">
        <f t="shared" si="18"/>
        <v>0</v>
      </c>
      <c r="N436" s="242"/>
      <c r="O436" s="243"/>
      <c r="P436" s="258"/>
      <c r="Q436" s="242">
        <v>2.0550000000000002</v>
      </c>
      <c r="R436" s="367">
        <v>0.20849999999999999</v>
      </c>
      <c r="S436" s="361">
        <f t="shared" si="19"/>
        <v>320.64519999999999</v>
      </c>
      <c r="T436"/>
      <c r="U436"/>
      <c r="V436"/>
      <c r="W436"/>
    </row>
    <row r="437" spans="1:23" ht="60">
      <c r="A437" s="253">
        <f t="shared" si="20"/>
        <v>435</v>
      </c>
      <c r="B437" s="277" t="s">
        <v>607</v>
      </c>
      <c r="C437" s="196" t="s">
        <v>606</v>
      </c>
      <c r="D437" s="198" t="s">
        <v>500</v>
      </c>
      <c r="E437" s="279" t="s">
        <v>294</v>
      </c>
      <c r="F437" s="257">
        <v>1990</v>
      </c>
      <c r="G437" s="259" t="s">
        <v>283</v>
      </c>
      <c r="H437" s="248"/>
      <c r="I437" s="247"/>
      <c r="J437" s="246"/>
      <c r="K437" s="245"/>
      <c r="L437" s="245"/>
      <c r="M437" s="67">
        <f t="shared" si="18"/>
        <v>0</v>
      </c>
      <c r="N437" s="242"/>
      <c r="O437" s="243"/>
      <c r="P437" s="258"/>
      <c r="Q437" s="242">
        <f>2830.7/1000</f>
        <v>2.8306999999999998</v>
      </c>
      <c r="R437" s="367">
        <v>0.1187</v>
      </c>
      <c r="S437" s="361">
        <f t="shared" si="19"/>
        <v>182.54477333333332</v>
      </c>
      <c r="T437"/>
      <c r="U437"/>
      <c r="V437"/>
      <c r="W437"/>
    </row>
    <row r="438" spans="1:23" ht="30">
      <c r="A438" s="253">
        <f t="shared" si="20"/>
        <v>436</v>
      </c>
      <c r="B438" s="280" t="s">
        <v>605</v>
      </c>
      <c r="C438" s="196" t="s">
        <v>604</v>
      </c>
      <c r="D438" s="198" t="s">
        <v>500</v>
      </c>
      <c r="E438" s="197">
        <v>3</v>
      </c>
      <c r="F438" s="257">
        <v>1970</v>
      </c>
      <c r="G438" s="259" t="s">
        <v>283</v>
      </c>
      <c r="H438" s="248"/>
      <c r="I438" s="247">
        <v>1</v>
      </c>
      <c r="J438" s="246"/>
      <c r="K438" s="245"/>
      <c r="L438" s="245"/>
      <c r="M438" s="67">
        <f t="shared" si="18"/>
        <v>0</v>
      </c>
      <c r="N438" s="242"/>
      <c r="O438" s="243"/>
      <c r="P438" s="258"/>
      <c r="Q438" s="242">
        <v>1.127</v>
      </c>
      <c r="R438" s="367">
        <v>0.1143</v>
      </c>
      <c r="S438" s="361">
        <f t="shared" si="19"/>
        <v>175.77815999999999</v>
      </c>
      <c r="T438"/>
      <c r="U438"/>
      <c r="V438"/>
      <c r="W438"/>
    </row>
    <row r="439" spans="1:23" ht="30">
      <c r="A439" s="253">
        <f t="shared" si="20"/>
        <v>437</v>
      </c>
      <c r="B439" s="277" t="s">
        <v>603</v>
      </c>
      <c r="C439" s="196" t="s">
        <v>602</v>
      </c>
      <c r="D439" s="198" t="s">
        <v>500</v>
      </c>
      <c r="E439" s="197">
        <v>1</v>
      </c>
      <c r="F439" s="257">
        <v>1972</v>
      </c>
      <c r="G439" s="259" t="s">
        <v>283</v>
      </c>
      <c r="H439" s="248"/>
      <c r="I439" s="247"/>
      <c r="J439" s="246"/>
      <c r="K439" s="245"/>
      <c r="L439" s="245"/>
      <c r="M439" s="67">
        <f t="shared" si="18"/>
        <v>0</v>
      </c>
      <c r="N439" s="242"/>
      <c r="O439" s="243"/>
      <c r="P439" s="258"/>
      <c r="Q439" s="242">
        <v>0.90200000000000002</v>
      </c>
      <c r="R439" s="367">
        <v>9.1499999999999998E-2</v>
      </c>
      <c r="S439" s="361">
        <f t="shared" si="19"/>
        <v>140.7148</v>
      </c>
      <c r="T439"/>
      <c r="U439"/>
      <c r="V439"/>
      <c r="W439"/>
    </row>
    <row r="440" spans="1:23" ht="45">
      <c r="A440" s="253">
        <f t="shared" si="20"/>
        <v>438</v>
      </c>
      <c r="B440" s="277" t="s">
        <v>601</v>
      </c>
      <c r="C440" s="196" t="s">
        <v>600</v>
      </c>
      <c r="D440" s="198" t="s">
        <v>500</v>
      </c>
      <c r="E440" s="197">
        <v>2</v>
      </c>
      <c r="F440" s="257">
        <v>1990</v>
      </c>
      <c r="G440" s="259" t="s">
        <v>284</v>
      </c>
      <c r="H440" s="248"/>
      <c r="I440" s="247">
        <v>1</v>
      </c>
      <c r="J440" s="246"/>
      <c r="K440" s="245"/>
      <c r="L440" s="245"/>
      <c r="M440" s="67">
        <f t="shared" si="18"/>
        <v>0</v>
      </c>
      <c r="N440" s="242"/>
      <c r="O440" s="243"/>
      <c r="P440" s="258"/>
      <c r="Q440" s="242">
        <v>0.5</v>
      </c>
      <c r="R440" s="367">
        <v>7.4399999999999994E-2</v>
      </c>
      <c r="S440" s="361">
        <f t="shared" si="19"/>
        <v>114.41727999999999</v>
      </c>
      <c r="T440"/>
      <c r="U440"/>
      <c r="V440"/>
      <c r="W440"/>
    </row>
    <row r="441" spans="1:23" ht="30">
      <c r="A441" s="253">
        <f t="shared" si="20"/>
        <v>439</v>
      </c>
      <c r="B441" s="277" t="s">
        <v>599</v>
      </c>
      <c r="C441" s="196" t="s">
        <v>598</v>
      </c>
      <c r="D441" s="198" t="s">
        <v>500</v>
      </c>
      <c r="E441" s="197">
        <v>3</v>
      </c>
      <c r="F441" s="257">
        <v>1994</v>
      </c>
      <c r="G441" s="259" t="s">
        <v>283</v>
      </c>
      <c r="H441" s="248"/>
      <c r="I441" s="247">
        <v>1</v>
      </c>
      <c r="J441" s="246"/>
      <c r="K441" s="245"/>
      <c r="L441" s="245"/>
      <c r="M441" s="67">
        <f t="shared" si="18"/>
        <v>0</v>
      </c>
      <c r="N441" s="242"/>
      <c r="O441" s="243"/>
      <c r="P441" s="258"/>
      <c r="Q441" s="242">
        <v>0.375</v>
      </c>
      <c r="R441" s="367">
        <v>3.7999999999999999E-2</v>
      </c>
      <c r="S441" s="361">
        <f t="shared" si="19"/>
        <v>58.438933333333324</v>
      </c>
      <c r="T441"/>
      <c r="U441"/>
      <c r="V441"/>
      <c r="W441"/>
    </row>
    <row r="442" spans="1:23" ht="30">
      <c r="A442" s="253">
        <f t="shared" si="20"/>
        <v>440</v>
      </c>
      <c r="B442" s="277" t="s">
        <v>597</v>
      </c>
      <c r="C442" s="196" t="s">
        <v>596</v>
      </c>
      <c r="D442" s="198" t="s">
        <v>500</v>
      </c>
      <c r="E442" s="197">
        <v>2</v>
      </c>
      <c r="F442" s="257">
        <v>1998</v>
      </c>
      <c r="G442" s="259" t="s">
        <v>283</v>
      </c>
      <c r="H442" s="248"/>
      <c r="I442" s="247">
        <v>1</v>
      </c>
      <c r="J442" s="246"/>
      <c r="K442" s="245"/>
      <c r="L442" s="245"/>
      <c r="M442" s="67">
        <f t="shared" si="18"/>
        <v>0</v>
      </c>
      <c r="N442" s="242"/>
      <c r="O442" s="243"/>
      <c r="P442" s="258"/>
      <c r="Q442" s="242">
        <v>0.41599999999999998</v>
      </c>
      <c r="R442" s="367">
        <v>6.1899999999999997E-2</v>
      </c>
      <c r="S442" s="361">
        <f t="shared" si="19"/>
        <v>95.193946666666648</v>
      </c>
      <c r="T442"/>
      <c r="U442"/>
      <c r="V442"/>
      <c r="W442"/>
    </row>
    <row r="443" spans="1:23" ht="30">
      <c r="A443" s="253">
        <f t="shared" si="20"/>
        <v>441</v>
      </c>
      <c r="B443" s="277" t="s">
        <v>595</v>
      </c>
      <c r="C443" s="196" t="s">
        <v>594</v>
      </c>
      <c r="D443" s="198" t="s">
        <v>500</v>
      </c>
      <c r="E443" s="197">
        <v>3</v>
      </c>
      <c r="F443" s="257">
        <v>2004</v>
      </c>
      <c r="G443" s="259" t="s">
        <v>283</v>
      </c>
      <c r="H443" s="248"/>
      <c r="I443" s="247">
        <v>1</v>
      </c>
      <c r="J443" s="246"/>
      <c r="K443" s="245"/>
      <c r="L443" s="245"/>
      <c r="M443" s="67">
        <f t="shared" si="18"/>
        <v>0</v>
      </c>
      <c r="N443" s="242"/>
      <c r="O443" s="243"/>
      <c r="P443" s="258"/>
      <c r="Q443" s="242">
        <v>0.89500000000000002</v>
      </c>
      <c r="R443" s="367">
        <v>9.0800000000000006E-2</v>
      </c>
      <c r="S443" s="361">
        <f t="shared" si="19"/>
        <v>139.63829333333337</v>
      </c>
      <c r="T443"/>
      <c r="U443"/>
      <c r="V443"/>
      <c r="W443"/>
    </row>
    <row r="444" spans="1:23" ht="30">
      <c r="A444" s="253">
        <f t="shared" si="20"/>
        <v>442</v>
      </c>
      <c r="B444" s="277" t="s">
        <v>593</v>
      </c>
      <c r="C444" s="196" t="s">
        <v>592</v>
      </c>
      <c r="D444" s="198" t="s">
        <v>500</v>
      </c>
      <c r="E444" s="197">
        <v>2</v>
      </c>
      <c r="F444" s="257">
        <v>1906</v>
      </c>
      <c r="G444" s="259" t="s">
        <v>283</v>
      </c>
      <c r="H444" s="248"/>
      <c r="I444" s="247">
        <v>1</v>
      </c>
      <c r="J444" s="246"/>
      <c r="K444" s="245"/>
      <c r="L444" s="245"/>
      <c r="M444" s="67">
        <f t="shared" si="18"/>
        <v>0</v>
      </c>
      <c r="N444" s="242"/>
      <c r="O444" s="243"/>
      <c r="P444" s="258"/>
      <c r="Q444" s="242">
        <v>0.34200000000000003</v>
      </c>
      <c r="R444" s="367">
        <v>5.0999999999999997E-2</v>
      </c>
      <c r="S444" s="361">
        <f t="shared" si="19"/>
        <v>78.431200000000004</v>
      </c>
      <c r="T444"/>
      <c r="U444"/>
      <c r="V444"/>
      <c r="W444"/>
    </row>
    <row r="445" spans="1:23" ht="75">
      <c r="A445" s="253">
        <f t="shared" si="20"/>
        <v>443</v>
      </c>
      <c r="B445" s="277" t="s">
        <v>591</v>
      </c>
      <c r="C445" s="196" t="s">
        <v>590</v>
      </c>
      <c r="D445" s="198" t="s">
        <v>500</v>
      </c>
      <c r="E445" s="197">
        <v>3</v>
      </c>
      <c r="F445" s="257">
        <v>1973</v>
      </c>
      <c r="G445" s="259" t="s">
        <v>283</v>
      </c>
      <c r="H445" s="248"/>
      <c r="I445" s="247">
        <v>1</v>
      </c>
      <c r="J445" s="246"/>
      <c r="K445" s="245"/>
      <c r="L445" s="245"/>
      <c r="M445" s="67">
        <f t="shared" si="18"/>
        <v>0</v>
      </c>
      <c r="N445" s="242"/>
      <c r="O445" s="243"/>
      <c r="P445" s="258"/>
      <c r="Q445" s="242">
        <v>1.746</v>
      </c>
      <c r="R445" s="367">
        <v>0.26</v>
      </c>
      <c r="S445" s="361">
        <f t="shared" si="19"/>
        <v>399.84533333333337</v>
      </c>
      <c r="T445"/>
      <c r="U445"/>
      <c r="V445"/>
      <c r="W445"/>
    </row>
    <row r="446" spans="1:23" ht="75">
      <c r="A446" s="253">
        <f t="shared" si="20"/>
        <v>444</v>
      </c>
      <c r="B446" s="277" t="s">
        <v>589</v>
      </c>
      <c r="C446" s="196" t="s">
        <v>588</v>
      </c>
      <c r="D446" s="198" t="s">
        <v>500</v>
      </c>
      <c r="E446" s="197" t="s">
        <v>294</v>
      </c>
      <c r="F446" s="257">
        <v>1973</v>
      </c>
      <c r="G446" s="259" t="s">
        <v>283</v>
      </c>
      <c r="H446" s="248"/>
      <c r="I446" s="247"/>
      <c r="J446" s="246"/>
      <c r="K446" s="245"/>
      <c r="L446" s="245"/>
      <c r="M446" s="67">
        <f t="shared" si="18"/>
        <v>0</v>
      </c>
      <c r="N446" s="242"/>
      <c r="O446" s="243"/>
      <c r="P446" s="258"/>
      <c r="Q446" s="242">
        <f>2023/1000</f>
        <v>2.0230000000000001</v>
      </c>
      <c r="R446" s="367">
        <v>6.4799999999999996E-2</v>
      </c>
      <c r="S446" s="361">
        <f t="shared" si="19"/>
        <v>99.653760000000005</v>
      </c>
      <c r="T446"/>
      <c r="U446"/>
      <c r="V446"/>
      <c r="W446"/>
    </row>
    <row r="447" spans="1:23" ht="60">
      <c r="A447" s="253">
        <f t="shared" si="20"/>
        <v>445</v>
      </c>
      <c r="B447" s="277" t="s">
        <v>587</v>
      </c>
      <c r="C447" s="196" t="s">
        <v>586</v>
      </c>
      <c r="D447" s="198" t="s">
        <v>500</v>
      </c>
      <c r="E447" s="197">
        <v>2</v>
      </c>
      <c r="F447" s="257">
        <v>1900</v>
      </c>
      <c r="G447" s="259" t="s">
        <v>283</v>
      </c>
      <c r="H447" s="248"/>
      <c r="I447" s="247"/>
      <c r="J447" s="246"/>
      <c r="K447" s="245"/>
      <c r="L447" s="245"/>
      <c r="M447" s="67">
        <f t="shared" si="18"/>
        <v>0</v>
      </c>
      <c r="N447" s="242"/>
      <c r="O447" s="243"/>
      <c r="P447" s="258"/>
      <c r="Q447" s="242">
        <v>0.432</v>
      </c>
      <c r="R447" s="367">
        <v>6.4399999999999999E-2</v>
      </c>
      <c r="S447" s="361">
        <f t="shared" si="19"/>
        <v>99.038613333333331</v>
      </c>
      <c r="T447"/>
      <c r="U447"/>
      <c r="V447"/>
      <c r="W447"/>
    </row>
    <row r="448" spans="1:23" ht="30">
      <c r="A448" s="253">
        <f t="shared" si="20"/>
        <v>446</v>
      </c>
      <c r="B448" s="256" t="s">
        <v>530</v>
      </c>
      <c r="C448" s="196" t="s">
        <v>585</v>
      </c>
      <c r="D448" s="198" t="s">
        <v>500</v>
      </c>
      <c r="E448" s="279" t="s">
        <v>294</v>
      </c>
      <c r="F448" s="278">
        <v>1990</v>
      </c>
      <c r="G448" s="249" t="s">
        <v>283</v>
      </c>
      <c r="H448" s="248"/>
      <c r="I448" s="247">
        <v>1</v>
      </c>
      <c r="J448" s="246"/>
      <c r="K448" s="245"/>
      <c r="L448" s="245"/>
      <c r="M448" s="67">
        <f t="shared" si="18"/>
        <v>7.7999999999999996E-3</v>
      </c>
      <c r="N448" s="242"/>
      <c r="O448" s="243"/>
      <c r="P448" s="254">
        <f>7.8/1000</f>
        <v>7.7999999999999996E-3</v>
      </c>
      <c r="Q448" s="241" t="s">
        <v>90</v>
      </c>
      <c r="R448" s="367">
        <v>4.0000000000000002E-4</v>
      </c>
      <c r="S448" s="361">
        <f t="shared" si="19"/>
        <v>0.61514666666666673</v>
      </c>
      <c r="T448"/>
      <c r="U448"/>
      <c r="V448"/>
      <c r="W448"/>
    </row>
    <row r="449" spans="1:23" ht="75">
      <c r="A449" s="253">
        <f t="shared" si="20"/>
        <v>447</v>
      </c>
      <c r="B449" s="277" t="s">
        <v>584</v>
      </c>
      <c r="C449" s="196" t="s">
        <v>583</v>
      </c>
      <c r="D449" s="198" t="s">
        <v>500</v>
      </c>
      <c r="E449" s="197">
        <v>1</v>
      </c>
      <c r="F449" s="257">
        <v>1900</v>
      </c>
      <c r="G449" s="259" t="s">
        <v>284</v>
      </c>
      <c r="H449" s="248"/>
      <c r="I449" s="247">
        <v>1</v>
      </c>
      <c r="J449" s="246"/>
      <c r="K449" s="245"/>
      <c r="L449" s="245"/>
      <c r="M449" s="67">
        <f t="shared" si="18"/>
        <v>0</v>
      </c>
      <c r="N449" s="242"/>
      <c r="O449" s="243"/>
      <c r="P449" s="258"/>
      <c r="Q449" s="242">
        <v>0.109</v>
      </c>
      <c r="R449" s="367">
        <v>1.6299999999999999E-2</v>
      </c>
      <c r="S449" s="361">
        <f t="shared" si="19"/>
        <v>25.067226666666667</v>
      </c>
      <c r="T449"/>
      <c r="U449"/>
      <c r="V449"/>
      <c r="W449"/>
    </row>
    <row r="450" spans="1:23" ht="30">
      <c r="A450" s="253">
        <f t="shared" si="20"/>
        <v>448</v>
      </c>
      <c r="B450" s="277" t="s">
        <v>582</v>
      </c>
      <c r="C450" s="196" t="s">
        <v>581</v>
      </c>
      <c r="D450" s="198" t="s">
        <v>500</v>
      </c>
      <c r="E450" s="197">
        <v>2</v>
      </c>
      <c r="F450" s="257">
        <v>2001</v>
      </c>
      <c r="G450" s="259" t="s">
        <v>284</v>
      </c>
      <c r="H450" s="248"/>
      <c r="I450" s="247">
        <v>1</v>
      </c>
      <c r="J450" s="246"/>
      <c r="K450" s="245"/>
      <c r="L450" s="245"/>
      <c r="M450" s="67">
        <f t="shared" si="18"/>
        <v>0</v>
      </c>
      <c r="N450" s="242"/>
      <c r="O450" s="243"/>
      <c r="P450" s="258"/>
      <c r="Q450" s="242">
        <v>0.36</v>
      </c>
      <c r="R450" s="367">
        <v>5.3600000000000002E-2</v>
      </c>
      <c r="S450" s="361">
        <f t="shared" si="19"/>
        <v>82.429653333333334</v>
      </c>
      <c r="T450"/>
      <c r="U450"/>
      <c r="V450"/>
      <c r="W450"/>
    </row>
    <row r="451" spans="1:23" ht="30">
      <c r="A451" s="253">
        <f t="shared" si="20"/>
        <v>449</v>
      </c>
      <c r="B451" s="276" t="s">
        <v>580</v>
      </c>
      <c r="C451" s="275" t="s">
        <v>579</v>
      </c>
      <c r="D451" s="274" t="s">
        <v>501</v>
      </c>
      <c r="E451" s="197">
        <v>4</v>
      </c>
      <c r="F451" s="257">
        <v>1904</v>
      </c>
      <c r="G451" s="259" t="s">
        <v>283</v>
      </c>
      <c r="H451" s="248"/>
      <c r="I451" s="247">
        <v>1</v>
      </c>
      <c r="J451" s="246"/>
      <c r="K451" s="245"/>
      <c r="L451" s="245"/>
      <c r="M451" s="67">
        <f t="shared" ref="M451:M486" si="21">N451+O451+P451</f>
        <v>0</v>
      </c>
      <c r="N451" s="242"/>
      <c r="O451" s="243"/>
      <c r="P451" s="258"/>
      <c r="Q451" s="264">
        <f>187.1/1000</f>
        <v>0.18709999999999999</v>
      </c>
      <c r="R451" s="367">
        <v>1.12E-2</v>
      </c>
      <c r="S451" s="361">
        <f t="shared" ref="S451:S486" si="22">R451*24*158*((18-3.4)/36)</f>
        <v>17.224106666666668</v>
      </c>
      <c r="T451"/>
      <c r="U451"/>
      <c r="V451"/>
      <c r="W451"/>
    </row>
    <row r="452" spans="1:23" ht="30">
      <c r="A452" s="253">
        <f t="shared" ref="A452:A486" si="23">A451+1</f>
        <v>450</v>
      </c>
      <c r="B452" s="252" t="s">
        <v>578</v>
      </c>
      <c r="C452" s="196" t="s">
        <v>577</v>
      </c>
      <c r="D452" s="198" t="s">
        <v>499</v>
      </c>
      <c r="E452" s="197">
        <v>1</v>
      </c>
      <c r="F452" s="257">
        <v>2001</v>
      </c>
      <c r="G452" s="249" t="s">
        <v>283</v>
      </c>
      <c r="H452" s="248"/>
      <c r="I452" s="247">
        <v>1</v>
      </c>
      <c r="J452" s="246"/>
      <c r="K452" s="245"/>
      <c r="L452" s="245"/>
      <c r="M452" s="67">
        <f t="shared" si="21"/>
        <v>0</v>
      </c>
      <c r="N452" s="242"/>
      <c r="O452" s="243"/>
      <c r="P452" s="258"/>
      <c r="Q452" s="264">
        <f>994.6/1000</f>
        <v>0.99460000000000004</v>
      </c>
      <c r="R452" s="367">
        <v>0.06</v>
      </c>
      <c r="S452" s="361">
        <f t="shared" si="22"/>
        <v>92.271999999999991</v>
      </c>
      <c r="T452"/>
      <c r="U452"/>
      <c r="V452"/>
      <c r="W452"/>
    </row>
    <row r="453" spans="1:23" ht="30">
      <c r="A453" s="253">
        <f t="shared" si="23"/>
        <v>451</v>
      </c>
      <c r="B453" s="193" t="s">
        <v>576</v>
      </c>
      <c r="C453" s="196" t="s">
        <v>575</v>
      </c>
      <c r="D453" s="198" t="s">
        <v>499</v>
      </c>
      <c r="E453" s="197">
        <v>3</v>
      </c>
      <c r="F453" s="257">
        <v>1956</v>
      </c>
      <c r="G453" s="249" t="s">
        <v>283</v>
      </c>
      <c r="H453" s="248"/>
      <c r="I453" s="247">
        <v>1</v>
      </c>
      <c r="J453" s="246"/>
      <c r="K453" s="245"/>
      <c r="L453" s="245"/>
      <c r="M453" s="67">
        <f t="shared" si="21"/>
        <v>4.1799999999999997E-2</v>
      </c>
      <c r="N453" s="242"/>
      <c r="O453" s="243"/>
      <c r="P453" s="242">
        <f>41.8/1000</f>
        <v>4.1799999999999997E-2</v>
      </c>
      <c r="Q453" s="272"/>
      <c r="R453" s="367">
        <v>4.3E-3</v>
      </c>
      <c r="S453" s="361">
        <f t="shared" si="22"/>
        <v>6.612826666666666</v>
      </c>
      <c r="T453"/>
      <c r="U453"/>
      <c r="V453"/>
      <c r="W453"/>
    </row>
    <row r="454" spans="1:23" ht="30">
      <c r="A454" s="253">
        <f t="shared" si="23"/>
        <v>452</v>
      </c>
      <c r="B454" s="252" t="s">
        <v>493</v>
      </c>
      <c r="C454" s="196" t="s">
        <v>574</v>
      </c>
      <c r="D454" s="198" t="s">
        <v>499</v>
      </c>
      <c r="E454" s="251" t="s">
        <v>294</v>
      </c>
      <c r="F454" s="257">
        <v>2003</v>
      </c>
      <c r="G454" s="249" t="s">
        <v>283</v>
      </c>
      <c r="H454" s="248"/>
      <c r="I454" s="247">
        <v>1</v>
      </c>
      <c r="J454" s="246"/>
      <c r="K454" s="245"/>
      <c r="L454" s="245"/>
      <c r="M454" s="67">
        <f t="shared" si="21"/>
        <v>4.5499999999999999E-2</v>
      </c>
      <c r="N454" s="242"/>
      <c r="O454" s="243"/>
      <c r="P454" s="262">
        <f>45.5/1000</f>
        <v>4.5499999999999999E-2</v>
      </c>
      <c r="Q454" s="272"/>
      <c r="R454" s="367">
        <v>2.5000000000000001E-3</v>
      </c>
      <c r="S454" s="361">
        <f t="shared" si="22"/>
        <v>3.8446666666666669</v>
      </c>
      <c r="T454"/>
      <c r="U454"/>
      <c r="V454"/>
      <c r="W454"/>
    </row>
    <row r="455" spans="1:23" ht="15.75">
      <c r="A455" s="253">
        <f t="shared" si="23"/>
        <v>453</v>
      </c>
      <c r="B455" s="193" t="s">
        <v>557</v>
      </c>
      <c r="C455" s="196" t="s">
        <v>573</v>
      </c>
      <c r="D455" s="198" t="s">
        <v>499</v>
      </c>
      <c r="E455" s="197">
        <v>4</v>
      </c>
      <c r="F455" s="257">
        <v>2005</v>
      </c>
      <c r="G455" s="249" t="s">
        <v>283</v>
      </c>
      <c r="H455" s="248"/>
      <c r="I455" s="247">
        <v>1</v>
      </c>
      <c r="J455" s="246"/>
      <c r="K455" s="245"/>
      <c r="L455" s="245"/>
      <c r="M455" s="67">
        <f t="shared" si="21"/>
        <v>0</v>
      </c>
      <c r="N455" s="242"/>
      <c r="O455" s="243"/>
      <c r="P455" s="242"/>
      <c r="Q455" s="264">
        <f>51.2/1000</f>
        <v>5.1200000000000002E-2</v>
      </c>
      <c r="R455" s="367">
        <v>4.7999999999999996E-3</v>
      </c>
      <c r="S455" s="361">
        <f t="shared" si="22"/>
        <v>7.3817599999999999</v>
      </c>
      <c r="T455"/>
      <c r="U455"/>
      <c r="V455"/>
      <c r="W455"/>
    </row>
    <row r="456" spans="1:23" ht="30">
      <c r="A456" s="253">
        <f t="shared" si="23"/>
        <v>454</v>
      </c>
      <c r="B456" s="269" t="s">
        <v>572</v>
      </c>
      <c r="C456" s="199" t="s">
        <v>571</v>
      </c>
      <c r="D456" s="198" t="s">
        <v>499</v>
      </c>
      <c r="E456" s="273" t="s">
        <v>294</v>
      </c>
      <c r="F456" s="257">
        <v>1991</v>
      </c>
      <c r="G456" s="259" t="s">
        <v>283</v>
      </c>
      <c r="H456" s="248"/>
      <c r="I456" s="247">
        <v>1</v>
      </c>
      <c r="J456" s="246"/>
      <c r="K456" s="245"/>
      <c r="L456" s="245"/>
      <c r="M456" s="67">
        <f t="shared" si="21"/>
        <v>3.2799999999999996E-2</v>
      </c>
      <c r="N456" s="242"/>
      <c r="O456" s="243"/>
      <c r="P456" s="242">
        <f>32.8/1000</f>
        <v>3.2799999999999996E-2</v>
      </c>
      <c r="Q456" s="254"/>
      <c r="R456" s="367">
        <v>1.2999999999999999E-3</v>
      </c>
      <c r="S456" s="361">
        <f t="shared" si="22"/>
        <v>1.9992266666666665</v>
      </c>
      <c r="T456"/>
      <c r="U456"/>
      <c r="V456"/>
      <c r="W456"/>
    </row>
    <row r="457" spans="1:23" ht="60">
      <c r="A457" s="253">
        <f t="shared" si="23"/>
        <v>455</v>
      </c>
      <c r="B457" s="193" t="s">
        <v>538</v>
      </c>
      <c r="C457" s="196" t="s">
        <v>570</v>
      </c>
      <c r="D457" s="198" t="s">
        <v>499</v>
      </c>
      <c r="E457" s="251" t="s">
        <v>294</v>
      </c>
      <c r="F457" s="257">
        <v>1980</v>
      </c>
      <c r="G457" s="249" t="s">
        <v>283</v>
      </c>
      <c r="H457" s="248"/>
      <c r="I457" s="247">
        <v>1</v>
      </c>
      <c r="J457" s="246"/>
      <c r="K457" s="245"/>
      <c r="L457" s="245"/>
      <c r="M457" s="67">
        <f t="shared" si="21"/>
        <v>2.2239999999999999E-2</v>
      </c>
      <c r="N457" s="242"/>
      <c r="O457" s="243"/>
      <c r="P457" s="262">
        <f>22.24/1000</f>
        <v>2.2239999999999999E-2</v>
      </c>
      <c r="Q457" s="272"/>
      <c r="R457" s="367">
        <v>1.1000000000000001E-3</v>
      </c>
      <c r="S457" s="361">
        <f t="shared" si="22"/>
        <v>1.6916533333333332</v>
      </c>
      <c r="T457"/>
      <c r="U457"/>
      <c r="V457"/>
      <c r="W457"/>
    </row>
    <row r="458" spans="1:23" ht="60">
      <c r="A458" s="253">
        <f t="shared" si="23"/>
        <v>456</v>
      </c>
      <c r="B458" s="193" t="s">
        <v>494</v>
      </c>
      <c r="C458" s="196" t="s">
        <v>570</v>
      </c>
      <c r="D458" s="198" t="s">
        <v>499</v>
      </c>
      <c r="E458" s="251" t="s">
        <v>294</v>
      </c>
      <c r="F458" s="257">
        <v>1977</v>
      </c>
      <c r="G458" s="249" t="s">
        <v>283</v>
      </c>
      <c r="H458" s="248"/>
      <c r="I458" s="247"/>
      <c r="J458" s="246"/>
      <c r="K458" s="245"/>
      <c r="L458" s="245"/>
      <c r="M458" s="67">
        <f t="shared" si="21"/>
        <v>9.7500000000000003E-2</v>
      </c>
      <c r="N458" s="242"/>
      <c r="O458" s="243"/>
      <c r="P458" s="262">
        <f>97.5/1000</f>
        <v>9.7500000000000003E-2</v>
      </c>
      <c r="Q458" s="272"/>
      <c r="R458" s="367">
        <v>4.5999999999999999E-3</v>
      </c>
      <c r="S458" s="361">
        <f t="shared" si="22"/>
        <v>7.0741866666666668</v>
      </c>
      <c r="T458"/>
      <c r="U458"/>
      <c r="V458"/>
      <c r="W458"/>
    </row>
    <row r="459" spans="1:23" ht="15.75">
      <c r="A459" s="253">
        <f t="shared" si="23"/>
        <v>457</v>
      </c>
      <c r="B459" s="193" t="s">
        <v>569</v>
      </c>
      <c r="C459" s="196" t="s">
        <v>567</v>
      </c>
      <c r="D459" s="198" t="s">
        <v>499</v>
      </c>
      <c r="E459" s="197">
        <v>1</v>
      </c>
      <c r="F459" s="257">
        <v>1970</v>
      </c>
      <c r="G459" s="259" t="s">
        <v>283</v>
      </c>
      <c r="H459" s="248"/>
      <c r="I459" s="247">
        <v>1</v>
      </c>
      <c r="J459" s="246"/>
      <c r="K459" s="245"/>
      <c r="L459" s="245"/>
      <c r="M459" s="67">
        <f t="shared" si="21"/>
        <v>0</v>
      </c>
      <c r="N459" s="242"/>
      <c r="O459" s="243"/>
      <c r="P459" s="242"/>
      <c r="Q459" s="264">
        <f>836.35/1000</f>
        <v>0.83635000000000004</v>
      </c>
      <c r="R459" s="367">
        <v>2.5000000000000001E-2</v>
      </c>
      <c r="S459" s="361">
        <f t="shared" si="22"/>
        <v>38.446666666666673</v>
      </c>
      <c r="T459"/>
      <c r="U459"/>
      <c r="V459"/>
      <c r="W459"/>
    </row>
    <row r="460" spans="1:23" ht="15.75">
      <c r="A460" s="253">
        <f t="shared" si="23"/>
        <v>458</v>
      </c>
      <c r="B460" s="252" t="s">
        <v>568</v>
      </c>
      <c r="C460" s="199" t="s">
        <v>567</v>
      </c>
      <c r="D460" s="198" t="s">
        <v>499</v>
      </c>
      <c r="E460" s="271">
        <v>1</v>
      </c>
      <c r="F460" s="270">
        <v>1998</v>
      </c>
      <c r="G460" s="259" t="s">
        <v>283</v>
      </c>
      <c r="H460" s="248"/>
      <c r="I460" s="247"/>
      <c r="J460" s="246"/>
      <c r="K460" s="245"/>
      <c r="L460" s="245"/>
      <c r="M460" s="67">
        <f t="shared" si="21"/>
        <v>0</v>
      </c>
      <c r="N460" s="242"/>
      <c r="O460" s="243"/>
      <c r="P460" s="242"/>
      <c r="Q460" s="254">
        <f>568.5/1000</f>
        <v>0.56850000000000001</v>
      </c>
      <c r="R460" s="367">
        <v>1.9400000000000001E-2</v>
      </c>
      <c r="S460" s="361">
        <f t="shared" si="22"/>
        <v>29.834613333333337</v>
      </c>
      <c r="T460"/>
      <c r="U460"/>
      <c r="V460"/>
      <c r="W460"/>
    </row>
    <row r="461" spans="1:23" ht="60">
      <c r="A461" s="253">
        <f t="shared" si="23"/>
        <v>459</v>
      </c>
      <c r="B461" s="252" t="s">
        <v>498</v>
      </c>
      <c r="C461" s="196" t="s">
        <v>515</v>
      </c>
      <c r="D461" s="198" t="s">
        <v>499</v>
      </c>
      <c r="E461" s="197">
        <v>3</v>
      </c>
      <c r="F461" s="257">
        <v>1972</v>
      </c>
      <c r="G461" s="249" t="s">
        <v>283</v>
      </c>
      <c r="H461" s="248"/>
      <c r="I461" s="247">
        <v>1</v>
      </c>
      <c r="J461" s="246"/>
      <c r="K461" s="245"/>
      <c r="L461" s="245"/>
      <c r="M461" s="67">
        <f t="shared" si="21"/>
        <v>0</v>
      </c>
      <c r="N461" s="242"/>
      <c r="O461" s="243"/>
      <c r="P461" s="242"/>
      <c r="Q461" s="264">
        <f>717/1000</f>
        <v>0.71699999999999997</v>
      </c>
      <c r="R461" s="367">
        <v>4.2000000000000003E-2</v>
      </c>
      <c r="S461" s="361">
        <f t="shared" si="22"/>
        <v>64.590400000000002</v>
      </c>
      <c r="T461"/>
      <c r="U461"/>
      <c r="V461"/>
      <c r="W461"/>
    </row>
    <row r="462" spans="1:23" ht="30">
      <c r="A462" s="253">
        <f t="shared" si="23"/>
        <v>460</v>
      </c>
      <c r="B462" s="269" t="s">
        <v>566</v>
      </c>
      <c r="C462" s="196" t="s">
        <v>565</v>
      </c>
      <c r="D462" s="198" t="s">
        <v>499</v>
      </c>
      <c r="E462" s="197">
        <v>4</v>
      </c>
      <c r="F462" s="257">
        <v>1973</v>
      </c>
      <c r="G462" s="249" t="s">
        <v>283</v>
      </c>
      <c r="H462" s="248"/>
      <c r="I462" s="247">
        <v>1</v>
      </c>
      <c r="J462" s="246"/>
      <c r="K462" s="245"/>
      <c r="L462" s="245"/>
      <c r="M462" s="67">
        <f t="shared" si="21"/>
        <v>4.573E-2</v>
      </c>
      <c r="N462" s="242"/>
      <c r="O462" s="243"/>
      <c r="P462" s="242">
        <f>45.73/1000</f>
        <v>4.573E-2</v>
      </c>
      <c r="Q462" s="241"/>
      <c r="R462" s="367">
        <v>4.0000000000000001E-3</v>
      </c>
      <c r="S462" s="361">
        <f t="shared" si="22"/>
        <v>6.1514666666666669</v>
      </c>
      <c r="T462"/>
      <c r="U462"/>
      <c r="V462"/>
      <c r="W462"/>
    </row>
    <row r="463" spans="1:23" ht="45">
      <c r="A463" s="253">
        <f t="shared" si="23"/>
        <v>461</v>
      </c>
      <c r="B463" s="252" t="s">
        <v>562</v>
      </c>
      <c r="C463" s="196" t="s">
        <v>564</v>
      </c>
      <c r="D463" s="198" t="s">
        <v>499</v>
      </c>
      <c r="E463" s="197">
        <v>1</v>
      </c>
      <c r="F463" s="257">
        <v>1952</v>
      </c>
      <c r="G463" s="249" t="s">
        <v>283</v>
      </c>
      <c r="H463" s="248"/>
      <c r="I463" s="247">
        <v>1</v>
      </c>
      <c r="J463" s="246"/>
      <c r="K463" s="245"/>
      <c r="L463" s="245"/>
      <c r="M463" s="67">
        <f t="shared" si="21"/>
        <v>0</v>
      </c>
      <c r="N463" s="242"/>
      <c r="O463" s="243"/>
      <c r="P463" s="242"/>
      <c r="Q463" s="262">
        <f>391/1000</f>
        <v>0.39100000000000001</v>
      </c>
      <c r="R463" s="367">
        <v>9.1200000000000003E-2</v>
      </c>
      <c r="S463" s="361">
        <f t="shared" si="22"/>
        <v>140.25344000000001</v>
      </c>
      <c r="T463"/>
      <c r="U463"/>
      <c r="V463"/>
      <c r="W463"/>
    </row>
    <row r="464" spans="1:23" ht="60">
      <c r="A464" s="253">
        <f t="shared" si="23"/>
        <v>462</v>
      </c>
      <c r="B464" s="252" t="s">
        <v>562</v>
      </c>
      <c r="C464" s="196" t="s">
        <v>563</v>
      </c>
      <c r="D464" s="198" t="s">
        <v>499</v>
      </c>
      <c r="E464" s="197">
        <v>1</v>
      </c>
      <c r="F464" s="257">
        <v>1952</v>
      </c>
      <c r="G464" s="249" t="s">
        <v>283</v>
      </c>
      <c r="H464" s="248"/>
      <c r="I464" s="247"/>
      <c r="J464" s="246"/>
      <c r="K464" s="245"/>
      <c r="L464" s="245"/>
      <c r="M464" s="67">
        <f t="shared" si="21"/>
        <v>0</v>
      </c>
      <c r="N464" s="242"/>
      <c r="O464" s="243"/>
      <c r="P464" s="242"/>
      <c r="Q464" s="262">
        <f>286/1000</f>
        <v>0.28599999999999998</v>
      </c>
      <c r="R464" s="367">
        <v>2.3900000000000001E-2</v>
      </c>
      <c r="S464" s="361">
        <f t="shared" si="22"/>
        <v>36.755013333333331</v>
      </c>
      <c r="T464"/>
      <c r="U464"/>
      <c r="V464"/>
      <c r="W464"/>
    </row>
    <row r="465" spans="1:23" ht="60">
      <c r="A465" s="253">
        <f t="shared" si="23"/>
        <v>463</v>
      </c>
      <c r="B465" s="252" t="s">
        <v>562</v>
      </c>
      <c r="C465" s="196" t="s">
        <v>561</v>
      </c>
      <c r="D465" s="198" t="s">
        <v>499</v>
      </c>
      <c r="E465" s="197">
        <v>1</v>
      </c>
      <c r="F465" s="257">
        <v>1952</v>
      </c>
      <c r="G465" s="249" t="s">
        <v>283</v>
      </c>
      <c r="H465" s="248"/>
      <c r="I465" s="247"/>
      <c r="J465" s="246"/>
      <c r="K465" s="245"/>
      <c r="L465" s="245"/>
      <c r="M465" s="67">
        <f t="shared" si="21"/>
        <v>0</v>
      </c>
      <c r="N465" s="242"/>
      <c r="O465" s="243"/>
      <c r="P465" s="242"/>
      <c r="Q465" s="262">
        <f>656/1000</f>
        <v>0.65600000000000003</v>
      </c>
      <c r="R465" s="367">
        <v>6.4500000000000002E-2</v>
      </c>
      <c r="S465" s="361">
        <f t="shared" si="22"/>
        <v>99.192400000000006</v>
      </c>
      <c r="T465"/>
      <c r="U465"/>
      <c r="V465"/>
      <c r="W465"/>
    </row>
    <row r="466" spans="1:23" ht="30">
      <c r="A466" s="253">
        <f t="shared" si="23"/>
        <v>464</v>
      </c>
      <c r="B466" s="193" t="s">
        <v>560</v>
      </c>
      <c r="C466" s="196" t="s">
        <v>559</v>
      </c>
      <c r="D466" s="198" t="s">
        <v>499</v>
      </c>
      <c r="E466" s="197">
        <v>4</v>
      </c>
      <c r="F466" s="257">
        <v>2012</v>
      </c>
      <c r="G466" s="249" t="s">
        <v>283</v>
      </c>
      <c r="H466" s="248"/>
      <c r="I466" s="247">
        <v>1</v>
      </c>
      <c r="J466" s="246"/>
      <c r="K466" s="245"/>
      <c r="L466" s="245"/>
      <c r="M466" s="67">
        <f t="shared" si="21"/>
        <v>0</v>
      </c>
      <c r="N466" s="242"/>
      <c r="O466" s="243"/>
      <c r="P466" s="242"/>
      <c r="Q466" s="262">
        <v>0.78500000000000003</v>
      </c>
      <c r="R466" s="367">
        <v>0.1169</v>
      </c>
      <c r="S466" s="361">
        <f t="shared" si="22"/>
        <v>179.77661333333333</v>
      </c>
      <c r="T466"/>
      <c r="U466"/>
      <c r="V466"/>
      <c r="W466"/>
    </row>
    <row r="467" spans="1:23" ht="30">
      <c r="A467" s="253">
        <f t="shared" si="23"/>
        <v>465</v>
      </c>
      <c r="B467" s="252" t="s">
        <v>557</v>
      </c>
      <c r="C467" s="199" t="s">
        <v>558</v>
      </c>
      <c r="D467" s="198" t="s">
        <v>499</v>
      </c>
      <c r="E467" s="197">
        <v>4</v>
      </c>
      <c r="F467" s="257">
        <v>2005</v>
      </c>
      <c r="G467" s="249" t="s">
        <v>283</v>
      </c>
      <c r="H467" s="248"/>
      <c r="I467" s="247">
        <v>1</v>
      </c>
      <c r="J467" s="246"/>
      <c r="K467" s="245"/>
      <c r="L467" s="245"/>
      <c r="M467" s="67">
        <f t="shared" si="21"/>
        <v>0</v>
      </c>
      <c r="N467" s="242"/>
      <c r="O467" s="243"/>
      <c r="P467" s="242"/>
      <c r="Q467" s="264">
        <f>272.1/1000</f>
        <v>0.27210000000000001</v>
      </c>
      <c r="R467" s="367">
        <v>2.9499999999999998E-2</v>
      </c>
      <c r="S467" s="361">
        <f t="shared" si="22"/>
        <v>45.367066666666666</v>
      </c>
      <c r="T467"/>
      <c r="U467"/>
      <c r="V467"/>
      <c r="W467"/>
    </row>
    <row r="468" spans="1:23" ht="30">
      <c r="A468" s="253">
        <f t="shared" si="23"/>
        <v>466</v>
      </c>
      <c r="B468" s="252" t="s">
        <v>557</v>
      </c>
      <c r="C468" s="199" t="s">
        <v>556</v>
      </c>
      <c r="D468" s="198" t="s">
        <v>499</v>
      </c>
      <c r="E468" s="197">
        <v>4</v>
      </c>
      <c r="F468" s="257">
        <v>2005</v>
      </c>
      <c r="G468" s="249" t="s">
        <v>283</v>
      </c>
      <c r="H468" s="248"/>
      <c r="I468" s="247"/>
      <c r="J468" s="246"/>
      <c r="K468" s="245"/>
      <c r="L468" s="245"/>
      <c r="M468" s="67">
        <f t="shared" si="21"/>
        <v>0</v>
      </c>
      <c r="N468" s="242"/>
      <c r="O468" s="243"/>
      <c r="P468" s="242"/>
      <c r="Q468" s="264">
        <f>204.2/1000</f>
        <v>0.20419999999999999</v>
      </c>
      <c r="R468" s="367">
        <v>1.7999999999999999E-2</v>
      </c>
      <c r="S468" s="361">
        <f t="shared" si="22"/>
        <v>27.681599999999996</v>
      </c>
      <c r="T468"/>
      <c r="U468"/>
      <c r="V468"/>
      <c r="W468"/>
    </row>
    <row r="469" spans="1:23" ht="15.75">
      <c r="A469" s="253">
        <f t="shared" si="23"/>
        <v>467</v>
      </c>
      <c r="B469" s="269" t="s">
        <v>555</v>
      </c>
      <c r="C469" s="199" t="s">
        <v>554</v>
      </c>
      <c r="D469" s="198" t="s">
        <v>499</v>
      </c>
      <c r="E469" s="197">
        <v>2</v>
      </c>
      <c r="F469" s="257">
        <v>1913</v>
      </c>
      <c r="G469" s="249" t="s">
        <v>283</v>
      </c>
      <c r="H469" s="248"/>
      <c r="I469" s="247">
        <v>1</v>
      </c>
      <c r="J469" s="246"/>
      <c r="K469" s="245"/>
      <c r="L469" s="245"/>
      <c r="M469" s="67">
        <f t="shared" si="21"/>
        <v>0</v>
      </c>
      <c r="N469" s="242"/>
      <c r="O469" s="243"/>
      <c r="P469" s="258"/>
      <c r="Q469" s="262">
        <f>85.4/1000</f>
        <v>8.5400000000000004E-2</v>
      </c>
      <c r="R469" s="367">
        <v>4.3E-3</v>
      </c>
      <c r="S469" s="361">
        <f t="shared" si="22"/>
        <v>6.612826666666666</v>
      </c>
      <c r="T469"/>
      <c r="U469"/>
      <c r="V469"/>
      <c r="W469"/>
    </row>
    <row r="470" spans="1:23" ht="15.75">
      <c r="A470" s="253">
        <f t="shared" si="23"/>
        <v>468</v>
      </c>
      <c r="B470" s="268" t="s">
        <v>553</v>
      </c>
      <c r="C470" s="199" t="s">
        <v>552</v>
      </c>
      <c r="D470" s="198" t="s">
        <v>499</v>
      </c>
      <c r="E470" s="197">
        <v>1</v>
      </c>
      <c r="F470" s="263">
        <v>1903</v>
      </c>
      <c r="G470" s="259" t="s">
        <v>283</v>
      </c>
      <c r="H470" s="248"/>
      <c r="I470" s="247">
        <v>1</v>
      </c>
      <c r="J470" s="246"/>
      <c r="K470" s="245"/>
      <c r="L470" s="245"/>
      <c r="M470" s="67">
        <f t="shared" si="21"/>
        <v>0.1958</v>
      </c>
      <c r="N470" s="242"/>
      <c r="O470" s="243"/>
      <c r="P470" s="262">
        <f>195.8/1000</f>
        <v>0.1958</v>
      </c>
      <c r="Q470" s="241" t="s">
        <v>90</v>
      </c>
      <c r="R470" s="367">
        <v>2.3400000000000001E-2</v>
      </c>
      <c r="S470" s="361">
        <f t="shared" si="22"/>
        <v>35.986080000000001</v>
      </c>
      <c r="T470"/>
      <c r="U470"/>
      <c r="V470"/>
      <c r="W470"/>
    </row>
    <row r="471" spans="1:23" ht="45">
      <c r="A471" s="253">
        <f t="shared" si="23"/>
        <v>469</v>
      </c>
      <c r="B471" s="268" t="s">
        <v>551</v>
      </c>
      <c r="C471" s="196" t="s">
        <v>550</v>
      </c>
      <c r="D471" s="198" t="s">
        <v>499</v>
      </c>
      <c r="E471" s="197">
        <v>3</v>
      </c>
      <c r="F471" s="257">
        <v>1998</v>
      </c>
      <c r="G471" s="259" t="s">
        <v>284</v>
      </c>
      <c r="H471" s="248"/>
      <c r="I471" s="247">
        <v>1</v>
      </c>
      <c r="J471" s="246"/>
      <c r="K471" s="245"/>
      <c r="L471" s="245"/>
      <c r="M471" s="67">
        <f t="shared" si="21"/>
        <v>0</v>
      </c>
      <c r="N471" s="242"/>
      <c r="O471" s="243"/>
      <c r="P471" s="258"/>
      <c r="Q471" s="242">
        <v>0.1</v>
      </c>
      <c r="R471" s="367">
        <v>1.01E-2</v>
      </c>
      <c r="S471" s="361">
        <f t="shared" si="22"/>
        <v>15.532453333333333</v>
      </c>
      <c r="T471"/>
      <c r="U471"/>
      <c r="V471"/>
      <c r="W471"/>
    </row>
    <row r="472" spans="1:23" ht="15.75">
      <c r="A472" s="253">
        <f t="shared" si="23"/>
        <v>470</v>
      </c>
      <c r="B472" s="252" t="s">
        <v>549</v>
      </c>
      <c r="C472" s="196" t="s">
        <v>548</v>
      </c>
      <c r="D472" s="198" t="s">
        <v>499</v>
      </c>
      <c r="E472" s="197">
        <v>1</v>
      </c>
      <c r="F472" s="257">
        <v>1970</v>
      </c>
      <c r="G472" s="259" t="s">
        <v>284</v>
      </c>
      <c r="H472" s="248"/>
      <c r="I472" s="247">
        <v>1</v>
      </c>
      <c r="J472" s="246"/>
      <c r="K472" s="245"/>
      <c r="L472" s="245"/>
      <c r="M472" s="67">
        <f t="shared" si="21"/>
        <v>0</v>
      </c>
      <c r="N472" s="242"/>
      <c r="O472" s="243"/>
      <c r="P472" s="258"/>
      <c r="Q472" s="242">
        <v>4.5999999999999999E-2</v>
      </c>
      <c r="R472" s="367">
        <v>6.7999999999999996E-3</v>
      </c>
      <c r="S472" s="361">
        <f t="shared" si="22"/>
        <v>10.457493333333334</v>
      </c>
      <c r="T472"/>
      <c r="U472"/>
      <c r="V472"/>
      <c r="W472"/>
    </row>
    <row r="473" spans="1:23" ht="15.75">
      <c r="A473" s="253">
        <f t="shared" si="23"/>
        <v>471</v>
      </c>
      <c r="B473" s="252" t="s">
        <v>547</v>
      </c>
      <c r="C473" s="199" t="s">
        <v>546</v>
      </c>
      <c r="D473" s="198" t="s">
        <v>499</v>
      </c>
      <c r="E473" s="197">
        <v>1</v>
      </c>
      <c r="F473" s="267">
        <v>1956</v>
      </c>
      <c r="G473" s="259" t="s">
        <v>283</v>
      </c>
      <c r="H473" s="248"/>
      <c r="I473" s="247">
        <v>1</v>
      </c>
      <c r="J473" s="246"/>
      <c r="K473" s="245"/>
      <c r="L473" s="245"/>
      <c r="M473" s="67">
        <f t="shared" si="21"/>
        <v>0</v>
      </c>
      <c r="N473" s="242"/>
      <c r="O473" s="243"/>
      <c r="P473" s="242"/>
      <c r="Q473" s="266">
        <f>71.18/1000</f>
        <v>7.1180000000000007E-2</v>
      </c>
      <c r="R473" s="367">
        <v>4.7000000000000002E-3</v>
      </c>
      <c r="S473" s="361">
        <f t="shared" si="22"/>
        <v>7.2279733333333338</v>
      </c>
      <c r="T473"/>
      <c r="U473"/>
      <c r="V473"/>
      <c r="W473"/>
    </row>
    <row r="474" spans="1:23" ht="15.75">
      <c r="A474" s="253">
        <f t="shared" si="23"/>
        <v>472</v>
      </c>
      <c r="B474" s="193" t="s">
        <v>545</v>
      </c>
      <c r="C474" s="196" t="s">
        <v>544</v>
      </c>
      <c r="D474" s="198" t="s">
        <v>499</v>
      </c>
      <c r="E474" s="251" t="s">
        <v>294</v>
      </c>
      <c r="F474" s="265">
        <v>1980</v>
      </c>
      <c r="G474" s="249" t="s">
        <v>283</v>
      </c>
      <c r="H474" s="248"/>
      <c r="I474" s="247">
        <v>1</v>
      </c>
      <c r="J474" s="246"/>
      <c r="K474" s="245"/>
      <c r="L474" s="245"/>
      <c r="M474" s="67">
        <f t="shared" si="21"/>
        <v>8.0399999999999999E-2</v>
      </c>
      <c r="N474" s="242"/>
      <c r="O474" s="243"/>
      <c r="P474" s="264">
        <f>80.4/1000</f>
        <v>8.0399999999999999E-2</v>
      </c>
      <c r="Q474" s="241"/>
      <c r="R474" s="367">
        <v>3.2000000000000002E-3</v>
      </c>
      <c r="S474" s="361">
        <f t="shared" si="22"/>
        <v>4.9211733333333338</v>
      </c>
      <c r="T474"/>
      <c r="U474"/>
      <c r="V474"/>
      <c r="W474"/>
    </row>
    <row r="475" spans="1:23" ht="30">
      <c r="A475" s="253">
        <f t="shared" si="23"/>
        <v>473</v>
      </c>
      <c r="B475" s="193" t="s">
        <v>494</v>
      </c>
      <c r="C475" s="196" t="s">
        <v>543</v>
      </c>
      <c r="D475" s="198" t="s">
        <v>499</v>
      </c>
      <c r="E475" s="251" t="s">
        <v>294</v>
      </c>
      <c r="F475" s="260">
        <v>1977</v>
      </c>
      <c r="G475" s="249" t="s">
        <v>283</v>
      </c>
      <c r="H475" s="248"/>
      <c r="I475" s="247">
        <v>1</v>
      </c>
      <c r="J475" s="246"/>
      <c r="K475" s="245"/>
      <c r="L475" s="245"/>
      <c r="M475" s="67">
        <f t="shared" si="21"/>
        <v>2.2800000000000001E-2</v>
      </c>
      <c r="N475" s="242"/>
      <c r="O475" s="243"/>
      <c r="P475" s="262">
        <f>22.8/1000</f>
        <v>2.2800000000000001E-2</v>
      </c>
      <c r="Q475" s="241"/>
      <c r="R475" s="367">
        <v>1.1999999999999999E-3</v>
      </c>
      <c r="S475" s="361">
        <f t="shared" si="22"/>
        <v>1.84544</v>
      </c>
      <c r="T475"/>
      <c r="U475"/>
      <c r="V475"/>
      <c r="W475"/>
    </row>
    <row r="476" spans="1:23" ht="60">
      <c r="A476" s="253">
        <f t="shared" si="23"/>
        <v>474</v>
      </c>
      <c r="B476" s="252" t="s">
        <v>542</v>
      </c>
      <c r="C476" s="199" t="s">
        <v>541</v>
      </c>
      <c r="D476" s="198" t="s">
        <v>499</v>
      </c>
      <c r="E476" s="197">
        <v>1</v>
      </c>
      <c r="F476" s="257">
        <v>1978</v>
      </c>
      <c r="G476" s="259" t="s">
        <v>283</v>
      </c>
      <c r="H476" s="248"/>
      <c r="I476" s="247">
        <v>1</v>
      </c>
      <c r="J476" s="246"/>
      <c r="K476" s="245"/>
      <c r="L476" s="245"/>
      <c r="M476" s="67">
        <f t="shared" si="21"/>
        <v>0</v>
      </c>
      <c r="N476" s="242"/>
      <c r="O476" s="243"/>
      <c r="P476" s="258"/>
      <c r="Q476" s="242">
        <f>268/1000</f>
        <v>0.26800000000000002</v>
      </c>
      <c r="R476" s="367">
        <v>1.0999999999999999E-2</v>
      </c>
      <c r="S476" s="361">
        <f t="shared" si="22"/>
        <v>16.916533333333334</v>
      </c>
      <c r="T476"/>
      <c r="U476"/>
      <c r="V476"/>
      <c r="W476"/>
    </row>
    <row r="477" spans="1:23" ht="30">
      <c r="A477" s="253">
        <f t="shared" si="23"/>
        <v>475</v>
      </c>
      <c r="B477" s="252" t="s">
        <v>540</v>
      </c>
      <c r="C477" s="199" t="s">
        <v>539</v>
      </c>
      <c r="D477" s="198" t="s">
        <v>499</v>
      </c>
      <c r="E477" s="197">
        <v>1</v>
      </c>
      <c r="F477" s="263">
        <v>2001</v>
      </c>
      <c r="G477" s="259" t="s">
        <v>283</v>
      </c>
      <c r="H477" s="248"/>
      <c r="I477" s="247">
        <v>1</v>
      </c>
      <c r="J477" s="246"/>
      <c r="K477" s="245"/>
      <c r="L477" s="245"/>
      <c r="M477" s="67">
        <f t="shared" si="21"/>
        <v>0</v>
      </c>
      <c r="N477" s="242"/>
      <c r="O477" s="243"/>
      <c r="P477" s="258"/>
      <c r="Q477" s="242">
        <f>118.7/1000</f>
        <v>0.1187</v>
      </c>
      <c r="R477" s="367">
        <v>6.0000000000000001E-3</v>
      </c>
      <c r="S477" s="361">
        <f t="shared" si="22"/>
        <v>9.2272000000000016</v>
      </c>
      <c r="T477"/>
      <c r="U477"/>
      <c r="V477"/>
      <c r="W477"/>
    </row>
    <row r="478" spans="1:23" ht="45">
      <c r="A478" s="253">
        <f t="shared" si="23"/>
        <v>476</v>
      </c>
      <c r="B478" s="193" t="s">
        <v>538</v>
      </c>
      <c r="C478" s="196" t="s">
        <v>537</v>
      </c>
      <c r="D478" s="198" t="s">
        <v>499</v>
      </c>
      <c r="E478" s="251" t="s">
        <v>294</v>
      </c>
      <c r="F478" s="257">
        <v>1980</v>
      </c>
      <c r="G478" s="249" t="s">
        <v>283</v>
      </c>
      <c r="H478" s="248"/>
      <c r="I478" s="247">
        <v>1</v>
      </c>
      <c r="J478" s="246"/>
      <c r="K478" s="245"/>
      <c r="L478" s="245"/>
      <c r="M478" s="67">
        <f t="shared" si="21"/>
        <v>3.9E-2</v>
      </c>
      <c r="N478" s="242"/>
      <c r="O478" s="243"/>
      <c r="P478" s="262">
        <f>39/1000</f>
        <v>3.9E-2</v>
      </c>
      <c r="Q478" s="241"/>
      <c r="R478" s="368">
        <v>2.0999999999999999E-3</v>
      </c>
      <c r="S478" s="361">
        <f t="shared" si="22"/>
        <v>3.2295200000000004</v>
      </c>
      <c r="T478"/>
      <c r="U478"/>
      <c r="V478"/>
      <c r="W478"/>
    </row>
    <row r="479" spans="1:23" ht="45">
      <c r="A479" s="253">
        <f t="shared" si="23"/>
        <v>477</v>
      </c>
      <c r="B479" s="193" t="s">
        <v>494</v>
      </c>
      <c r="C479" s="196" t="s">
        <v>537</v>
      </c>
      <c r="D479" s="198" t="s">
        <v>499</v>
      </c>
      <c r="E479" s="251" t="s">
        <v>294</v>
      </c>
      <c r="F479" s="257">
        <v>1977</v>
      </c>
      <c r="G479" s="249" t="s">
        <v>283</v>
      </c>
      <c r="H479" s="248"/>
      <c r="I479" s="247">
        <v>1</v>
      </c>
      <c r="J479" s="246"/>
      <c r="K479" s="245"/>
      <c r="L479" s="245"/>
      <c r="M479" s="67">
        <f t="shared" si="21"/>
        <v>4.0500000000000001E-2</v>
      </c>
      <c r="N479" s="242"/>
      <c r="O479" s="243"/>
      <c r="P479" s="242">
        <f>40.5/1000</f>
        <v>4.0500000000000001E-2</v>
      </c>
      <c r="Q479" s="241"/>
      <c r="R479" s="367">
        <v>1.9E-3</v>
      </c>
      <c r="S479" s="361">
        <f t="shared" si="22"/>
        <v>2.9219466666666669</v>
      </c>
      <c r="T479"/>
      <c r="U479"/>
      <c r="V479"/>
      <c r="W479"/>
    </row>
    <row r="480" spans="1:23" ht="30">
      <c r="A480" s="253">
        <f t="shared" si="23"/>
        <v>478</v>
      </c>
      <c r="B480" s="193" t="s">
        <v>536</v>
      </c>
      <c r="C480" s="196" t="s">
        <v>535</v>
      </c>
      <c r="D480" s="198" t="s">
        <v>499</v>
      </c>
      <c r="E480" s="197">
        <v>2</v>
      </c>
      <c r="F480" s="257">
        <v>1960</v>
      </c>
      <c r="G480" s="249" t="s">
        <v>283</v>
      </c>
      <c r="H480" s="248"/>
      <c r="I480" s="247">
        <v>1</v>
      </c>
      <c r="J480" s="246"/>
      <c r="K480" s="245"/>
      <c r="L480" s="245"/>
      <c r="M480" s="67">
        <f t="shared" si="21"/>
        <v>6.4500000000000002E-2</v>
      </c>
      <c r="N480" s="242"/>
      <c r="O480" s="243"/>
      <c r="P480" s="242">
        <f>64.5/1000</f>
        <v>6.4500000000000002E-2</v>
      </c>
      <c r="Q480" s="241"/>
      <c r="R480" s="367">
        <v>1.8E-3</v>
      </c>
      <c r="S480" s="361">
        <f t="shared" si="22"/>
        <v>2.7681600000000004</v>
      </c>
      <c r="T480"/>
      <c r="U480"/>
      <c r="V480"/>
      <c r="W480"/>
    </row>
    <row r="481" spans="1:50" ht="30">
      <c r="A481" s="253">
        <f t="shared" si="23"/>
        <v>479</v>
      </c>
      <c r="B481" s="252" t="s">
        <v>503</v>
      </c>
      <c r="C481" s="199" t="s">
        <v>502</v>
      </c>
      <c r="D481" s="198" t="s">
        <v>499</v>
      </c>
      <c r="E481" s="261">
        <v>2</v>
      </c>
      <c r="F481" s="260">
        <v>1984</v>
      </c>
      <c r="G481" s="259" t="s">
        <v>283</v>
      </c>
      <c r="H481" s="248"/>
      <c r="I481" s="247">
        <v>1</v>
      </c>
      <c r="J481" s="246"/>
      <c r="K481" s="245"/>
      <c r="L481" s="245"/>
      <c r="M481" s="67">
        <f t="shared" si="21"/>
        <v>0</v>
      </c>
      <c r="N481" s="242"/>
      <c r="O481" s="243"/>
      <c r="P481" s="258"/>
      <c r="Q481" s="254">
        <v>0.129</v>
      </c>
      <c r="R481" s="367">
        <v>1.9199999999999998E-2</v>
      </c>
      <c r="S481" s="361">
        <f t="shared" si="22"/>
        <v>29.52704</v>
      </c>
      <c r="T481"/>
      <c r="U481"/>
      <c r="V481"/>
      <c r="W481"/>
    </row>
    <row r="482" spans="1:50" ht="30">
      <c r="A482" s="253">
        <f t="shared" si="23"/>
        <v>480</v>
      </c>
      <c r="B482" s="193" t="s">
        <v>534</v>
      </c>
      <c r="C482" s="196" t="s">
        <v>533</v>
      </c>
      <c r="D482" s="198" t="s">
        <v>499</v>
      </c>
      <c r="E482" s="251" t="s">
        <v>294</v>
      </c>
      <c r="F482" s="257">
        <v>1974</v>
      </c>
      <c r="G482" s="249" t="s">
        <v>283</v>
      </c>
      <c r="H482" s="248"/>
      <c r="I482" s="247">
        <v>1</v>
      </c>
      <c r="J482" s="246"/>
      <c r="K482" s="245"/>
      <c r="L482" s="245"/>
      <c r="M482" s="67">
        <f t="shared" si="21"/>
        <v>0.1226</v>
      </c>
      <c r="N482" s="242"/>
      <c r="O482" s="243"/>
      <c r="P482" s="242">
        <f>122.6/1000</f>
        <v>0.1226</v>
      </c>
      <c r="Q482" s="241"/>
      <c r="R482" s="367">
        <v>1.6000000000000001E-3</v>
      </c>
      <c r="S482" s="361">
        <f t="shared" si="22"/>
        <v>2.4605866666666669</v>
      </c>
      <c r="T482"/>
      <c r="U482"/>
      <c r="V482"/>
      <c r="W482"/>
      <c r="AA482"/>
      <c r="AB482"/>
      <c r="AC482"/>
      <c r="AD482"/>
      <c r="AE482"/>
      <c r="AF482"/>
      <c r="AG482"/>
      <c r="AH482"/>
      <c r="AI482"/>
      <c r="AJ482"/>
      <c r="AK482"/>
      <c r="AL482"/>
      <c r="AM482"/>
      <c r="AN482"/>
    </row>
    <row r="483" spans="1:50" ht="15.75">
      <c r="A483" s="253">
        <f t="shared" si="23"/>
        <v>481</v>
      </c>
      <c r="B483" s="256" t="s">
        <v>530</v>
      </c>
      <c r="C483" s="196" t="s">
        <v>532</v>
      </c>
      <c r="D483" s="198" t="s">
        <v>499</v>
      </c>
      <c r="E483" s="251" t="s">
        <v>294</v>
      </c>
      <c r="F483" s="255">
        <v>1990</v>
      </c>
      <c r="G483" s="249" t="s">
        <v>283</v>
      </c>
      <c r="H483" s="248"/>
      <c r="I483" s="247">
        <v>1</v>
      </c>
      <c r="J483" s="246"/>
      <c r="K483" s="245"/>
      <c r="L483" s="245"/>
      <c r="M483" s="67">
        <f t="shared" si="21"/>
        <v>1.4800000000000001E-2</v>
      </c>
      <c r="N483" s="242"/>
      <c r="O483" s="243"/>
      <c r="P483" s="254">
        <f>14.8/1000</f>
        <v>1.4800000000000001E-2</v>
      </c>
      <c r="Q483" s="241" t="s">
        <v>90</v>
      </c>
      <c r="R483" s="367">
        <v>6.9999999999999999E-4</v>
      </c>
      <c r="S483" s="361">
        <f t="shared" si="22"/>
        <v>1.0765066666666667</v>
      </c>
      <c r="T483"/>
      <c r="U483"/>
      <c r="V483"/>
      <c r="W483"/>
      <c r="AA483"/>
      <c r="AB483"/>
      <c r="AC483"/>
      <c r="AD483"/>
      <c r="AE483"/>
      <c r="AF483"/>
      <c r="AG483"/>
      <c r="AH483"/>
      <c r="AI483"/>
      <c r="AJ483"/>
      <c r="AK483"/>
      <c r="AL483"/>
      <c r="AM483"/>
      <c r="AN483"/>
    </row>
    <row r="484" spans="1:50" ht="15.75">
      <c r="A484" s="253">
        <f t="shared" si="23"/>
        <v>482</v>
      </c>
      <c r="B484" s="256" t="s">
        <v>530</v>
      </c>
      <c r="C484" s="196" t="s">
        <v>531</v>
      </c>
      <c r="D484" s="198" t="s">
        <v>499</v>
      </c>
      <c r="E484" s="251" t="s">
        <v>294</v>
      </c>
      <c r="F484" s="255">
        <v>1990</v>
      </c>
      <c r="G484" s="249" t="s">
        <v>283</v>
      </c>
      <c r="H484" s="248"/>
      <c r="I484" s="247">
        <v>1</v>
      </c>
      <c r="J484" s="246"/>
      <c r="K484" s="245"/>
      <c r="L484" s="245"/>
      <c r="M484" s="67">
        <f t="shared" si="21"/>
        <v>2.5999999999999999E-2</v>
      </c>
      <c r="N484" s="242"/>
      <c r="O484" s="243"/>
      <c r="P484" s="254">
        <f>26/1000</f>
        <v>2.5999999999999999E-2</v>
      </c>
      <c r="Q484" s="241" t="s">
        <v>90</v>
      </c>
      <c r="R484" s="368">
        <v>1.2999999999999999E-3</v>
      </c>
      <c r="S484" s="361">
        <f t="shared" si="22"/>
        <v>1.9992266666666665</v>
      </c>
      <c r="T484"/>
      <c r="U484"/>
      <c r="W484"/>
      <c r="Z484"/>
      <c r="AA484"/>
      <c r="AB484"/>
      <c r="AC484"/>
      <c r="AD484"/>
      <c r="AE484"/>
      <c r="AF484"/>
      <c r="AG484"/>
      <c r="AH484"/>
      <c r="AI484"/>
      <c r="AJ484"/>
      <c r="AK484"/>
      <c r="AL484"/>
      <c r="AM484"/>
      <c r="AN484"/>
      <c r="AO484"/>
      <c r="AP484"/>
      <c r="AQ484"/>
      <c r="AR484"/>
      <c r="AS484"/>
      <c r="AT484"/>
      <c r="AU484"/>
      <c r="AV484"/>
      <c r="AW484"/>
      <c r="AX484"/>
    </row>
    <row r="485" spans="1:50" ht="15.75">
      <c r="A485" s="253">
        <f t="shared" si="23"/>
        <v>483</v>
      </c>
      <c r="B485" s="256" t="s">
        <v>530</v>
      </c>
      <c r="C485" s="196" t="s">
        <v>529</v>
      </c>
      <c r="D485" s="198" t="s">
        <v>499</v>
      </c>
      <c r="E485" s="251" t="s">
        <v>294</v>
      </c>
      <c r="F485" s="255">
        <v>1990</v>
      </c>
      <c r="G485" s="249" t="s">
        <v>283</v>
      </c>
      <c r="H485" s="248"/>
      <c r="I485" s="247">
        <v>1</v>
      </c>
      <c r="J485" s="246"/>
      <c r="K485" s="245"/>
      <c r="L485" s="245"/>
      <c r="M485" s="67">
        <f t="shared" si="21"/>
        <v>1.47E-2</v>
      </c>
      <c r="N485" s="242"/>
      <c r="O485" s="243"/>
      <c r="P485" s="254">
        <f>14.7/1000</f>
        <v>1.47E-2</v>
      </c>
      <c r="Q485" s="241" t="s">
        <v>90</v>
      </c>
      <c r="R485" s="367">
        <v>6.9999999999999999E-4</v>
      </c>
      <c r="S485" s="361">
        <f t="shared" si="22"/>
        <v>1.0765066666666667</v>
      </c>
      <c r="T485"/>
      <c r="U485"/>
      <c r="V485"/>
      <c r="W485"/>
      <c r="X485"/>
      <c r="Z485"/>
      <c r="AA485"/>
      <c r="AB485"/>
      <c r="AC485"/>
      <c r="AD485"/>
      <c r="AE485"/>
      <c r="AF485"/>
      <c r="AG485"/>
      <c r="AH485"/>
      <c r="AI485"/>
      <c r="AJ485"/>
      <c r="AK485"/>
      <c r="AL485"/>
      <c r="AM485"/>
      <c r="AN485"/>
      <c r="AO485"/>
      <c r="AP485"/>
      <c r="AQ485"/>
      <c r="AR485"/>
      <c r="AS485"/>
      <c r="AT485"/>
      <c r="AU485"/>
      <c r="AV485"/>
      <c r="AW485"/>
      <c r="AX485"/>
    </row>
    <row r="486" spans="1:50" ht="30">
      <c r="A486" s="253">
        <f t="shared" si="23"/>
        <v>484</v>
      </c>
      <c r="B486" s="252" t="s">
        <v>496</v>
      </c>
      <c r="C486" s="196" t="s">
        <v>528</v>
      </c>
      <c r="D486" s="198" t="s">
        <v>499</v>
      </c>
      <c r="E486" s="251" t="s">
        <v>294</v>
      </c>
      <c r="F486" s="250">
        <v>1987</v>
      </c>
      <c r="G486" s="249" t="s">
        <v>283</v>
      </c>
      <c r="H486" s="248"/>
      <c r="I486" s="247">
        <v>1</v>
      </c>
      <c r="J486" s="246"/>
      <c r="K486" s="245"/>
      <c r="L486" s="245"/>
      <c r="M486" s="67">
        <f t="shared" si="21"/>
        <v>0.16569999999999999</v>
      </c>
      <c r="N486" s="244"/>
      <c r="O486" s="243"/>
      <c r="P486" s="242">
        <f>165.7/1000</f>
        <v>0.16569999999999999</v>
      </c>
      <c r="Q486" s="241"/>
      <c r="R486" s="367">
        <v>5.4999999999999997E-3</v>
      </c>
      <c r="S486" s="361">
        <f t="shared" si="22"/>
        <v>8.4582666666666668</v>
      </c>
      <c r="T486"/>
      <c r="U486"/>
      <c r="V486"/>
      <c r="W486"/>
      <c r="X486"/>
      <c r="Z486"/>
      <c r="AA486"/>
      <c r="AB486"/>
      <c r="AC486"/>
      <c r="AD486"/>
      <c r="AE486"/>
      <c r="AF486"/>
      <c r="AG486"/>
      <c r="AH486"/>
      <c r="AI486"/>
      <c r="AJ486"/>
      <c r="AK486"/>
      <c r="AL486"/>
      <c r="AM486"/>
      <c r="AN486"/>
      <c r="AO486"/>
      <c r="AP486"/>
      <c r="AQ486"/>
      <c r="AR486"/>
      <c r="AS486"/>
      <c r="AT486"/>
      <c r="AU486"/>
      <c r="AV486"/>
      <c r="AW486"/>
      <c r="AX486"/>
    </row>
    <row r="487" spans="1:50" ht="15.75">
      <c r="A487" s="240" t="s">
        <v>527</v>
      </c>
      <c r="B487" s="239"/>
      <c r="C487" s="238"/>
      <c r="D487" s="237"/>
      <c r="E487" s="236"/>
      <c r="F487" s="236"/>
      <c r="G487" s="235"/>
      <c r="H487" s="234"/>
      <c r="I487" s="233">
        <f>SUBTOTAL(109,Таблица52[Кількість абонентів послуги постачання теплової енергії])</f>
        <v>9225</v>
      </c>
      <c r="J487" s="232"/>
      <c r="K487" s="231"/>
      <c r="L487" s="231"/>
      <c r="M487" s="230">
        <f>SUBTOTAL(109,Таблица52[Загальна опалювальна площа приміщень житлового будинку усього, тис. м.кв.])</f>
        <v>542.36104999999975</v>
      </c>
      <c r="N487" s="321">
        <f>SUBTOTAL(109,Таблица52[Загальна опалювальна площа житлових приміщень (квартир), де надається послуга з постачання теплової енергії, тис.м.кв.])</f>
        <v>441.09571000000011</v>
      </c>
      <c r="O487" s="229">
        <f>SUBTOTAL(109,Таблица52[Загальна опалювальна площа приміщень з автономним опаленням, тис.м.кв.])</f>
        <v>98.964869999999962</v>
      </c>
      <c r="P487" s="322">
        <f>SUBTOTAL(109,Таблица52[Загальна опалювальна площа вбудованих приміщень юридичних осіб , тис.м.кв.])</f>
        <v>2.3004699999999998</v>
      </c>
      <c r="Q487" s="322">
        <f>SUBTOTAL(109,Таблица52[Загальна опалювальна площа окремо розміщуваних будівель, тис.кв.м])</f>
        <v>115.12006999999998</v>
      </c>
      <c r="R487" s="369">
        <f>SUBTOTAL(109,Таблица52[Максим. тепл. навантаження, Гкал/год])</f>
        <v>32.109500000000011</v>
      </c>
      <c r="S487" s="228">
        <f>SUBTOTAL(109,Таблица52[Річна потреба всього, Гкал])</f>
        <v>49380.129733333335</v>
      </c>
      <c r="T487"/>
      <c r="U487"/>
      <c r="V487"/>
      <c r="W487"/>
      <c r="X487"/>
      <c r="Z487"/>
      <c r="AA487"/>
      <c r="AB487"/>
      <c r="AC487"/>
      <c r="AD487"/>
      <c r="AE487"/>
      <c r="AF487"/>
      <c r="AG487"/>
      <c r="AH487"/>
      <c r="AI487"/>
      <c r="AJ487"/>
      <c r="AK487"/>
      <c r="AL487"/>
      <c r="AM487"/>
      <c r="AN487"/>
      <c r="AO487"/>
      <c r="AP487"/>
      <c r="AQ487"/>
      <c r="AR487"/>
      <c r="AS487"/>
      <c r="AT487"/>
      <c r="AU487"/>
      <c r="AV487"/>
      <c r="AW487"/>
      <c r="AX487"/>
    </row>
    <row r="488" spans="1:50" ht="15.75">
      <c r="A488" s="72"/>
      <c r="B488" s="187"/>
      <c r="C488" s="6"/>
      <c r="D488" s="225"/>
      <c r="E488" s="224"/>
      <c r="F488" s="224"/>
      <c r="G488" s="223"/>
      <c r="H488" s="209"/>
      <c r="I488" s="227"/>
      <c r="J488" s="72"/>
      <c r="K488" s="208"/>
      <c r="L488" s="208"/>
      <c r="M488" s="207"/>
      <c r="N488" s="226">
        <f>Таблица52[[#Totals],[Загальна опалювальна площа приміщень житлового будинку усього, тис. м.кв.]]-Таблица52[[#Totals],[Загальна опалювальна площа житлових приміщень (квартир), де надається послуга з постачання теплової енергії, тис.м.кв.]]-Таблица52[[#Totals],[Загальна опалювальна площа приміщень з автономним опаленням, тис.м.кв.]]-Таблица52[[#Totals],[Загальна опалювальна площа вбудованих приміщень юридичних осіб , тис.м.кв.]]</f>
        <v>-3.2240876635114546E-13</v>
      </c>
      <c r="O488" s="206"/>
      <c r="P488" s="204"/>
      <c r="Q488" s="203"/>
      <c r="R488"/>
      <c r="S488"/>
      <c r="T488"/>
      <c r="U488"/>
      <c r="V488"/>
      <c r="W488"/>
      <c r="X488"/>
      <c r="Z488"/>
      <c r="AA488"/>
      <c r="AB488"/>
      <c r="AC488"/>
      <c r="AD488"/>
      <c r="AE488"/>
      <c r="AF488"/>
      <c r="AG488"/>
      <c r="AH488"/>
      <c r="AI488"/>
      <c r="AJ488"/>
      <c r="AK488"/>
      <c r="AL488"/>
      <c r="AM488"/>
      <c r="AN488"/>
      <c r="AO488"/>
      <c r="AP488"/>
      <c r="AQ488"/>
      <c r="AR488"/>
      <c r="AS488"/>
      <c r="AT488"/>
      <c r="AU488"/>
      <c r="AV488"/>
      <c r="AW488"/>
      <c r="AX488"/>
    </row>
    <row r="489" spans="1:50" ht="30.75" thickBot="1">
      <c r="A489" s="72"/>
      <c r="B489"/>
      <c r="C489" s="6"/>
      <c r="D489" s="225"/>
      <c r="E489" s="224"/>
      <c r="F489" s="224"/>
      <c r="G489" s="223"/>
      <c r="H489" s="209"/>
      <c r="I489" s="222"/>
      <c r="J489" s="72"/>
      <c r="K489" s="208"/>
      <c r="L489" s="208"/>
      <c r="M489" s="207"/>
      <c r="N489" s="213"/>
      <c r="O489" s="206"/>
      <c r="P489" s="204"/>
      <c r="Q489" s="71" t="s">
        <v>299</v>
      </c>
      <c r="R489" t="s">
        <v>526</v>
      </c>
      <c r="S489" s="186" t="s">
        <v>525</v>
      </c>
      <c r="T489" s="186" t="s">
        <v>524</v>
      </c>
      <c r="U489" s="71" t="s">
        <v>523</v>
      </c>
      <c r="V489"/>
      <c r="W489"/>
      <c r="X489"/>
      <c r="Z489"/>
      <c r="AA489"/>
      <c r="AB489"/>
      <c r="AC489"/>
      <c r="AD489"/>
      <c r="AE489"/>
      <c r="AF489"/>
      <c r="AG489"/>
      <c r="AH489"/>
      <c r="AI489"/>
      <c r="AJ489"/>
      <c r="AK489"/>
      <c r="AL489"/>
      <c r="AM489"/>
      <c r="AN489"/>
      <c r="AO489"/>
      <c r="AP489"/>
      <c r="AQ489"/>
      <c r="AR489"/>
      <c r="AS489"/>
      <c r="AT489"/>
      <c r="AU489"/>
      <c r="AV489"/>
      <c r="AW489"/>
      <c r="AX489"/>
    </row>
    <row r="490" spans="1:50" ht="15.75" thickBot="1">
      <c r="A490" s="45">
        <v>1</v>
      </c>
      <c r="B490" s="319" t="s">
        <v>572</v>
      </c>
      <c r="C490"/>
      <c r="D490"/>
      <c r="E490"/>
      <c r="F490"/>
      <c r="G490"/>
      <c r="H490"/>
      <c r="I490"/>
      <c r="J490"/>
      <c r="K490"/>
      <c r="L490"/>
      <c r="M490"/>
      <c r="N490"/>
      <c r="O490"/>
      <c r="P490" s="204"/>
      <c r="Q490" s="221" t="s">
        <v>522</v>
      </c>
      <c r="R490" s="220">
        <f>SUM(R3:R486)</f>
        <v>32.109500000000011</v>
      </c>
      <c r="S490" s="219">
        <f>SUM(S3:S486)</f>
        <v>49380.129733333335</v>
      </c>
      <c r="T490" s="219">
        <f>T503+T504+T505+T506</f>
        <v>46912.776453333347</v>
      </c>
      <c r="U490" s="218">
        <f>U503+U504+U505+U506</f>
        <v>9225</v>
      </c>
      <c r="V490"/>
      <c r="W490"/>
      <c r="X490"/>
      <c r="AA490"/>
      <c r="AB490"/>
      <c r="AC490"/>
      <c r="AD490"/>
      <c r="AE490"/>
      <c r="AF490"/>
      <c r="AG490"/>
      <c r="AH490"/>
      <c r="AI490"/>
      <c r="AJ490"/>
      <c r="AK490"/>
      <c r="AL490"/>
      <c r="AM490"/>
      <c r="AN490"/>
    </row>
    <row r="491" spans="1:50">
      <c r="A491" s="45">
        <v>2</v>
      </c>
      <c r="B491" s="319" t="s">
        <v>882</v>
      </c>
      <c r="C491"/>
      <c r="D491"/>
      <c r="E491"/>
      <c r="F491"/>
      <c r="G491"/>
      <c r="H491"/>
      <c r="I491"/>
      <c r="J491"/>
      <c r="K491"/>
      <c r="L491"/>
      <c r="M491"/>
      <c r="N491"/>
      <c r="O491"/>
      <c r="Q491" s="191"/>
      <c r="R491" s="217"/>
      <c r="S491" s="216"/>
      <c r="T491"/>
      <c r="U491"/>
      <c r="V491"/>
      <c r="W491"/>
      <c r="X491"/>
      <c r="AA491"/>
      <c r="AB491"/>
      <c r="AC491"/>
      <c r="AD491"/>
      <c r="AE491"/>
      <c r="AF491"/>
      <c r="AG491"/>
      <c r="AH491"/>
      <c r="AI491"/>
      <c r="AJ491"/>
      <c r="AK491"/>
      <c r="AL491"/>
      <c r="AM491"/>
      <c r="AN491"/>
    </row>
    <row r="492" spans="1:50">
      <c r="A492" s="72">
        <v>3</v>
      </c>
      <c r="B492" s="319" t="s">
        <v>690</v>
      </c>
      <c r="C492"/>
      <c r="D492"/>
      <c r="E492"/>
      <c r="F492"/>
      <c r="G492"/>
      <c r="H492"/>
      <c r="I492"/>
      <c r="J492"/>
      <c r="K492"/>
      <c r="L492"/>
      <c r="M492"/>
      <c r="N492"/>
      <c r="O492"/>
      <c r="Q492" s="191"/>
      <c r="R492" s="217"/>
      <c r="S492" s="216"/>
      <c r="T492"/>
      <c r="U492"/>
      <c r="V492"/>
      <c r="W492"/>
      <c r="X492"/>
      <c r="AA492"/>
      <c r="AB492"/>
      <c r="AC492"/>
      <c r="AD492"/>
      <c r="AE492"/>
      <c r="AF492"/>
      <c r="AG492"/>
      <c r="AH492"/>
      <c r="AI492"/>
      <c r="AJ492"/>
      <c r="AK492"/>
      <c r="AL492"/>
      <c r="AM492"/>
      <c r="AN492"/>
    </row>
    <row r="493" spans="1:50">
      <c r="A493" s="45">
        <v>4</v>
      </c>
      <c r="B493" s="319" t="s">
        <v>860</v>
      </c>
      <c r="C493"/>
      <c r="D493"/>
      <c r="E493"/>
      <c r="F493"/>
      <c r="G493"/>
      <c r="H493"/>
      <c r="I493"/>
      <c r="J493"/>
      <c r="K493"/>
      <c r="L493"/>
      <c r="M493"/>
      <c r="N493"/>
      <c r="O493"/>
      <c r="P493" s="204"/>
      <c r="Q493" s="212"/>
      <c r="R493" s="215"/>
      <c r="S493" s="214"/>
      <c r="T493"/>
      <c r="U493"/>
      <c r="V493"/>
      <c r="W493"/>
      <c r="X493"/>
      <c r="AA493"/>
      <c r="AB493"/>
      <c r="AC493"/>
      <c r="AD493"/>
      <c r="AE493"/>
      <c r="AF493"/>
      <c r="AG493"/>
      <c r="AH493"/>
      <c r="AI493"/>
      <c r="AJ493"/>
      <c r="AK493"/>
      <c r="AL493"/>
      <c r="AM493"/>
      <c r="AN493"/>
    </row>
    <row r="494" spans="1:50">
      <c r="A494" s="45">
        <v>5</v>
      </c>
      <c r="B494" s="319" t="s">
        <v>859</v>
      </c>
      <c r="C494"/>
      <c r="D494"/>
      <c r="E494"/>
      <c r="F494"/>
      <c r="G494"/>
      <c r="H494"/>
      <c r="I494"/>
      <c r="J494"/>
      <c r="K494"/>
      <c r="L494"/>
      <c r="M494"/>
      <c r="N494"/>
      <c r="O494"/>
      <c r="P494" s="204"/>
      <c r="Q494" s="212"/>
      <c r="R494" s="215"/>
      <c r="S494" s="214"/>
      <c r="T494"/>
      <c r="U494"/>
      <c r="V494"/>
      <c r="W494"/>
      <c r="X494"/>
      <c r="AA494"/>
      <c r="AB494"/>
      <c r="AC494"/>
      <c r="AD494"/>
      <c r="AE494"/>
      <c r="AF494"/>
      <c r="AG494"/>
      <c r="AH494"/>
      <c r="AI494"/>
      <c r="AJ494"/>
      <c r="AK494"/>
      <c r="AL494"/>
      <c r="AM494"/>
      <c r="AN494"/>
    </row>
    <row r="495" spans="1:50">
      <c r="A495" s="45">
        <v>6</v>
      </c>
      <c r="B495" s="319" t="s">
        <v>646</v>
      </c>
      <c r="C495"/>
      <c r="D495"/>
      <c r="E495"/>
      <c r="F495"/>
      <c r="G495"/>
      <c r="H495"/>
      <c r="I495"/>
      <c r="J495"/>
      <c r="K495"/>
      <c r="L495"/>
      <c r="M495"/>
      <c r="N495"/>
      <c r="O495"/>
      <c r="P495" s="204"/>
      <c r="Q495" s="212"/>
      <c r="R495" s="215"/>
      <c r="S495" s="214"/>
      <c r="T495"/>
      <c r="U495"/>
      <c r="V495"/>
      <c r="W495"/>
      <c r="X495"/>
      <c r="AA495"/>
      <c r="AB495"/>
      <c r="AC495"/>
      <c r="AD495"/>
      <c r="AE495"/>
      <c r="AF495"/>
      <c r="AG495"/>
      <c r="AH495"/>
      <c r="AI495"/>
      <c r="AJ495"/>
      <c r="AK495"/>
      <c r="AL495"/>
      <c r="AM495"/>
      <c r="AN495"/>
    </row>
    <row r="496" spans="1:50">
      <c r="A496" s="72">
        <v>7</v>
      </c>
      <c r="B496" s="320" t="s">
        <v>1065</v>
      </c>
      <c r="C496"/>
      <c r="D496"/>
      <c r="E496"/>
      <c r="F496"/>
      <c r="G496"/>
      <c r="H496"/>
      <c r="I496"/>
      <c r="J496"/>
      <c r="K496"/>
      <c r="L496"/>
      <c r="M496"/>
      <c r="N496"/>
      <c r="O496"/>
      <c r="Q496" s="191"/>
      <c r="R496" s="217"/>
      <c r="S496" s="216"/>
      <c r="T496"/>
      <c r="U496"/>
      <c r="V496"/>
      <c r="W496"/>
      <c r="X496"/>
      <c r="AA496"/>
      <c r="AB496"/>
      <c r="AC496"/>
      <c r="AD496"/>
      <c r="AE496"/>
      <c r="AF496"/>
      <c r="AG496"/>
      <c r="AH496"/>
      <c r="AI496"/>
      <c r="AJ496"/>
      <c r="AK496"/>
      <c r="AL496"/>
      <c r="AM496"/>
      <c r="AN496"/>
    </row>
    <row r="497" spans="1:40">
      <c r="A497" s="45">
        <v>8</v>
      </c>
      <c r="B497" s="320" t="s">
        <v>1064</v>
      </c>
      <c r="C497"/>
      <c r="D497"/>
      <c r="E497"/>
      <c r="F497"/>
      <c r="G497"/>
      <c r="H497"/>
      <c r="I497"/>
      <c r="J497"/>
      <c r="K497"/>
      <c r="L497"/>
      <c r="M497"/>
      <c r="N497"/>
      <c r="O497"/>
      <c r="Q497" s="191"/>
      <c r="R497" s="217"/>
      <c r="S497" s="216"/>
      <c r="T497"/>
      <c r="U497"/>
      <c r="V497"/>
      <c r="W497"/>
      <c r="X497"/>
      <c r="AA497"/>
      <c r="AB497"/>
      <c r="AC497"/>
      <c r="AD497"/>
      <c r="AE497"/>
      <c r="AF497"/>
      <c r="AG497"/>
      <c r="AH497"/>
      <c r="AI497"/>
      <c r="AJ497"/>
      <c r="AK497"/>
      <c r="AL497"/>
      <c r="AM497"/>
      <c r="AN497"/>
    </row>
    <row r="498" spans="1:40">
      <c r="A498" s="45">
        <v>9</v>
      </c>
      <c r="B498" s="320" t="s">
        <v>1063</v>
      </c>
      <c r="C498"/>
      <c r="D498"/>
      <c r="E498"/>
      <c r="F498"/>
      <c r="G498"/>
      <c r="H498"/>
      <c r="I498"/>
      <c r="J498"/>
      <c r="K498"/>
      <c r="L498"/>
      <c r="M498"/>
      <c r="N498"/>
      <c r="O498"/>
      <c r="Q498" s="191"/>
      <c r="R498" s="217"/>
      <c r="S498" s="216"/>
      <c r="T498"/>
      <c r="U498"/>
      <c r="V498"/>
      <c r="W498"/>
      <c r="X498"/>
      <c r="AA498"/>
      <c r="AB498"/>
      <c r="AC498"/>
      <c r="AD498"/>
      <c r="AE498"/>
      <c r="AF498"/>
      <c r="AG498"/>
      <c r="AH498"/>
      <c r="AI498"/>
      <c r="AJ498"/>
      <c r="AK498"/>
      <c r="AL498"/>
      <c r="AM498"/>
      <c r="AN498"/>
    </row>
    <row r="499" spans="1:40">
      <c r="A499" s="45">
        <v>10</v>
      </c>
      <c r="B499" s="319" t="s">
        <v>619</v>
      </c>
      <c r="C499"/>
      <c r="D499"/>
      <c r="E499"/>
      <c r="F499"/>
      <c r="G499"/>
      <c r="H499"/>
      <c r="I499"/>
      <c r="J499"/>
      <c r="K499"/>
      <c r="L499"/>
      <c r="M499"/>
      <c r="N499"/>
      <c r="O499"/>
      <c r="Q499" s="191"/>
      <c r="R499" s="217"/>
      <c r="S499" s="216"/>
      <c r="T499"/>
      <c r="U499"/>
      <c r="V499"/>
      <c r="W499"/>
      <c r="X499"/>
      <c r="AA499"/>
      <c r="AB499"/>
      <c r="AC499"/>
      <c r="AD499"/>
      <c r="AE499"/>
      <c r="AF499"/>
      <c r="AG499"/>
      <c r="AH499"/>
      <c r="AI499"/>
      <c r="AJ499"/>
      <c r="AK499"/>
      <c r="AL499"/>
      <c r="AM499"/>
      <c r="AN499"/>
    </row>
    <row r="500" spans="1:40">
      <c r="A500" s="72">
        <v>11</v>
      </c>
      <c r="B500" s="319" t="s">
        <v>617</v>
      </c>
      <c r="C500"/>
      <c r="D500"/>
      <c r="E500"/>
      <c r="F500"/>
      <c r="G500"/>
      <c r="H500"/>
      <c r="I500"/>
      <c r="J500"/>
      <c r="K500"/>
      <c r="L500"/>
      <c r="M500"/>
      <c r="N500"/>
      <c r="O500"/>
      <c r="Q500" s="191"/>
      <c r="R500" s="217"/>
      <c r="S500" s="216"/>
      <c r="T500"/>
      <c r="U500"/>
      <c r="V500"/>
      <c r="W500"/>
      <c r="X500"/>
      <c r="AA500"/>
      <c r="AB500"/>
      <c r="AC500"/>
      <c r="AD500"/>
      <c r="AE500"/>
      <c r="AF500"/>
      <c r="AG500"/>
      <c r="AH500"/>
      <c r="AI500"/>
      <c r="AJ500"/>
      <c r="AK500"/>
      <c r="AL500"/>
      <c r="AM500"/>
      <c r="AN500"/>
    </row>
    <row r="501" spans="1:40">
      <c r="A501" s="45">
        <v>12</v>
      </c>
      <c r="B501" s="319" t="s">
        <v>615</v>
      </c>
      <c r="C501"/>
      <c r="D501"/>
      <c r="E501"/>
      <c r="F501"/>
      <c r="G501"/>
      <c r="H501"/>
      <c r="I501"/>
      <c r="J501"/>
      <c r="K501"/>
      <c r="L501"/>
      <c r="M501"/>
      <c r="N501"/>
      <c r="O501"/>
      <c r="Q501" s="191"/>
      <c r="R501" s="217"/>
      <c r="S501" s="216"/>
      <c r="T501"/>
      <c r="U501"/>
      <c r="V501"/>
      <c r="W501"/>
      <c r="X501"/>
      <c r="AA501"/>
      <c r="AB501"/>
      <c r="AC501"/>
      <c r="AD501"/>
      <c r="AE501"/>
      <c r="AF501"/>
      <c r="AG501"/>
      <c r="AH501"/>
      <c r="AI501"/>
      <c r="AJ501"/>
      <c r="AK501"/>
      <c r="AL501"/>
      <c r="AM501"/>
      <c r="AN501"/>
    </row>
    <row r="502" spans="1:40">
      <c r="A502" s="45">
        <v>13</v>
      </c>
      <c r="B502" s="319" t="s">
        <v>613</v>
      </c>
      <c r="C502"/>
      <c r="D502"/>
      <c r="E502"/>
      <c r="F502"/>
      <c r="G502"/>
      <c r="H502"/>
      <c r="I502"/>
      <c r="J502"/>
      <c r="K502"/>
      <c r="L502"/>
      <c r="M502"/>
      <c r="N502"/>
      <c r="O502"/>
      <c r="P502" s="204"/>
      <c r="Q502" s="212"/>
      <c r="R502" s="215"/>
      <c r="S502" s="214"/>
      <c r="T502"/>
      <c r="U502"/>
      <c r="V502"/>
      <c r="W502"/>
      <c r="X502"/>
      <c r="AA502"/>
      <c r="AB502"/>
      <c r="AC502"/>
      <c r="AD502"/>
      <c r="AE502"/>
      <c r="AF502"/>
      <c r="AG502"/>
      <c r="AH502"/>
      <c r="AI502"/>
      <c r="AJ502"/>
      <c r="AK502"/>
      <c r="AL502"/>
      <c r="AM502"/>
      <c r="AN502"/>
    </row>
    <row r="503" spans="1:40">
      <c r="A503" s="45">
        <v>14</v>
      </c>
      <c r="B503" s="319" t="s">
        <v>611</v>
      </c>
      <c r="C503"/>
      <c r="D503"/>
      <c r="E503"/>
      <c r="F503"/>
      <c r="G503"/>
      <c r="H503"/>
      <c r="I503"/>
      <c r="J503"/>
      <c r="K503"/>
      <c r="L503"/>
      <c r="M503"/>
      <c r="N503"/>
      <c r="O503"/>
      <c r="P503" s="204"/>
      <c r="Q503" s="212" t="s">
        <v>2</v>
      </c>
      <c r="R503" s="211">
        <f>SUMIF(Таблица52[Категорія споживачів],$Q$503,Таблица52[Максим. тепл. навантаження, Гкал/год])</f>
        <v>23.998200000000008</v>
      </c>
      <c r="S503" s="210">
        <f>SUMIF(Таблица52[Категорія споживачів],Q503,Таблица52[Річна потреба всього, Гкал])</f>
        <v>36906.031840000011</v>
      </c>
      <c r="T503" s="210">
        <f>SUMIFS(Таблица52[Річна потреба всього, Гкал],Таблица52[Категорія споживачів],Q503,Таблица52[Наявність будинкових приладів обліку теплової енергії на потреби опалення (наявний/ відсутній)],$G$3)</f>
        <v>35871.970293333346</v>
      </c>
      <c r="U503" s="210">
        <f>SUMIF(Таблица52[Категорія споживачів],Q503,Таблица52[Кількість абонентів послуги постачання теплової енергії])</f>
        <v>9164</v>
      </c>
      <c r="V503"/>
      <c r="W503"/>
      <c r="X503"/>
      <c r="AA503"/>
      <c r="AB503"/>
      <c r="AC503"/>
      <c r="AD503"/>
      <c r="AE503"/>
      <c r="AF503"/>
      <c r="AG503"/>
      <c r="AH503"/>
      <c r="AI503"/>
      <c r="AJ503"/>
      <c r="AK503"/>
      <c r="AL503"/>
      <c r="AM503"/>
      <c r="AN503"/>
    </row>
    <row r="504" spans="1:40">
      <c r="A504" s="72">
        <v>15</v>
      </c>
      <c r="B504" s="319" t="s">
        <v>858</v>
      </c>
      <c r="C504"/>
      <c r="D504"/>
      <c r="E504"/>
      <c r="F504"/>
      <c r="G504"/>
      <c r="H504"/>
      <c r="I504"/>
      <c r="J504"/>
      <c r="K504"/>
      <c r="L504"/>
      <c r="M504"/>
      <c r="N504"/>
      <c r="O504"/>
      <c r="P504" s="204"/>
      <c r="Q504" s="212" t="s">
        <v>501</v>
      </c>
      <c r="R504" s="211">
        <f>SUMIF(Таблица52[Категорія споживачів],$Q$504,Таблица52[Максим. тепл. навантаження, Гкал/год])</f>
        <v>1.12E-2</v>
      </c>
      <c r="S504" s="210">
        <f>SUMIF(Таблица52[Категорія споживачів],Q504,Таблица52[Річна потреба всього, Гкал])</f>
        <v>17.224106666666668</v>
      </c>
      <c r="T504" s="210">
        <f>SUMIFS(Таблица52[Річна потреба всього, Гкал],Таблица52[Категорія споживачів],Q504,Таблица52[Наявність будинкових приладів обліку теплової енергії на потреби опалення (наявний/ відсутній)],$G$3)</f>
        <v>17.224106666666668</v>
      </c>
      <c r="U504" s="210">
        <f>SUMIF(Таблица52[Категорія споживачів],Q504,Таблица52[Кількість абонентів послуги постачання теплової енергії])</f>
        <v>1</v>
      </c>
      <c r="V504"/>
      <c r="W504"/>
      <c r="X504"/>
      <c r="Y504"/>
      <c r="Z504"/>
      <c r="AA504"/>
      <c r="AB504"/>
      <c r="AC504"/>
      <c r="AD504"/>
      <c r="AE504"/>
      <c r="AF504"/>
      <c r="AG504"/>
      <c r="AH504"/>
      <c r="AI504"/>
      <c r="AJ504"/>
      <c r="AK504"/>
    </row>
    <row r="505" spans="1:40">
      <c r="A505" s="45">
        <v>16</v>
      </c>
      <c r="B505" s="320" t="s">
        <v>1062</v>
      </c>
      <c r="C505"/>
      <c r="D505"/>
      <c r="E505"/>
      <c r="F505"/>
      <c r="G505"/>
      <c r="H505"/>
      <c r="I505"/>
      <c r="J505"/>
      <c r="K505"/>
      <c r="L505"/>
      <c r="M505"/>
      <c r="N505"/>
      <c r="O505"/>
      <c r="P505" s="204"/>
      <c r="Q505" s="212" t="s">
        <v>500</v>
      </c>
      <c r="R505" s="211">
        <f>SUMIF(Таблица52[Категорія споживачів],$Q$505,Таблица52[Максим. тепл. навантаження, Гкал/год])</f>
        <v>7.4815999999999994</v>
      </c>
      <c r="S505" s="210">
        <f>SUMIF(Таблица52[Категорія споживачів],Q505,Таблица52[Річна потреба всього, Гкал])</f>
        <v>11505.703253333331</v>
      </c>
      <c r="T505" s="210">
        <f>SUMIFS(Таблица52[Річна потреба всього, Гкал],Таблица52[Категорія споживачів],Q505,Таблица52[Наявність будинкових приладів обліку теплової енергії на потреби опалення (наявний/ відсутній)],$G$3)</f>
        <v>10098.401466666663</v>
      </c>
      <c r="U505" s="210">
        <f>SUMIF(Таблица52[Категорія споживачів],Q505,Таблица52[Кількість абонентів послуги постачання теплової енергії])</f>
        <v>30</v>
      </c>
      <c r="V505"/>
      <c r="W505"/>
      <c r="X505"/>
      <c r="Y505"/>
      <c r="Z505"/>
      <c r="AA505"/>
      <c r="AB505"/>
      <c r="AC505"/>
      <c r="AD505"/>
      <c r="AE505"/>
      <c r="AF505"/>
      <c r="AG505"/>
      <c r="AH505"/>
      <c r="AI505"/>
      <c r="AJ505"/>
      <c r="AK505"/>
    </row>
    <row r="506" spans="1:40">
      <c r="A506" s="45">
        <v>17</v>
      </c>
      <c r="B506" s="320" t="s">
        <v>1061</v>
      </c>
      <c r="C506"/>
      <c r="D506"/>
      <c r="E506"/>
      <c r="F506"/>
      <c r="G506"/>
      <c r="H506"/>
      <c r="I506"/>
      <c r="J506"/>
      <c r="K506"/>
      <c r="L506"/>
      <c r="M506"/>
      <c r="N506"/>
      <c r="O506"/>
      <c r="P506" s="204"/>
      <c r="Q506" s="212" t="s">
        <v>499</v>
      </c>
      <c r="R506" s="211">
        <f>SUMIF(Таблица52[Категорія споживачів],$Q$506,Таблица52[Максим. тепл. навантаження, Гкал/год])</f>
        <v>0.61850000000000005</v>
      </c>
      <c r="S506" s="210">
        <f>SUMIF(Таблица52[Категорія споживачів],Q506,Таблица52[Річна потреба всього, Гкал])</f>
        <v>951.17053333333354</v>
      </c>
      <c r="T506" s="210">
        <f>SUMIFS(Таблица52[Річна потреба всього, Гкал],Таблица52[Категорія споживачів],Q506,Таблица52[Наявність будинкових приладів обліку теплової енергії на потреби опалення (наявний/ відсутній)],$G$3)</f>
        <v>925.18058666666673</v>
      </c>
      <c r="U506" s="210">
        <f>SUMIF(Таблица52[Категорія споживачів],Q506,Таблица52[Кількість абонентів послуги постачання теплової енергії])</f>
        <v>30</v>
      </c>
      <c r="V506"/>
      <c r="W506"/>
      <c r="X506"/>
      <c r="Y506"/>
      <c r="Z506"/>
      <c r="AA506"/>
      <c r="AB506"/>
      <c r="AC506"/>
      <c r="AD506"/>
      <c r="AE506"/>
      <c r="AF506"/>
      <c r="AG506"/>
      <c r="AH506"/>
      <c r="AI506"/>
      <c r="AJ506"/>
      <c r="AK506"/>
    </row>
    <row r="507" spans="1:40">
      <c r="A507" s="45">
        <v>18</v>
      </c>
      <c r="B507" s="319" t="s">
        <v>603</v>
      </c>
      <c r="C507"/>
      <c r="D507"/>
      <c r="E507"/>
      <c r="F507"/>
      <c r="G507"/>
      <c r="H507"/>
      <c r="I507"/>
      <c r="J507"/>
      <c r="K507"/>
      <c r="L507"/>
      <c r="M507"/>
      <c r="N507"/>
      <c r="O507"/>
      <c r="P507" s="204"/>
      <c r="Q507" s="203"/>
      <c r="R507" s="192">
        <f>R490-R503-R504-R505-R506</f>
        <v>3.5527136788005009E-15</v>
      </c>
      <c r="S507" s="192">
        <f>S490-S503-S504-S505-S506</f>
        <v>-6.9348971010185778E-12</v>
      </c>
      <c r="T507" s="192">
        <f>Таблица52[[#Totals],[Річна потреба всього, Гкал]]-T503-T504-T505-T506</f>
        <v>2467.3532799999925</v>
      </c>
      <c r="U507" s="205">
        <f>I487-U503-U504-U505-U506</f>
        <v>0</v>
      </c>
      <c r="V507"/>
      <c r="W507"/>
      <c r="X507"/>
      <c r="Y507" s="68"/>
      <c r="Z507" s="68"/>
      <c r="AA507"/>
      <c r="AB507"/>
      <c r="AC507"/>
      <c r="AD507"/>
      <c r="AE507"/>
      <c r="AF507"/>
      <c r="AG507"/>
      <c r="AH507"/>
      <c r="AI507"/>
      <c r="AJ507"/>
      <c r="AK507" s="68"/>
    </row>
    <row r="508" spans="1:40">
      <c r="A508" s="72">
        <v>19</v>
      </c>
      <c r="B508" s="319" t="s">
        <v>601</v>
      </c>
      <c r="C508"/>
      <c r="D508"/>
      <c r="E508"/>
      <c r="F508"/>
      <c r="G508"/>
      <c r="H508"/>
      <c r="I508"/>
      <c r="J508"/>
      <c r="K508"/>
      <c r="L508"/>
      <c r="M508"/>
      <c r="N508"/>
      <c r="O508"/>
      <c r="P508" s="204"/>
      <c r="Q508" s="203"/>
      <c r="R508" s="202"/>
      <c r="S508" s="201"/>
      <c r="T508"/>
      <c r="U508"/>
      <c r="V508"/>
      <c r="W508"/>
      <c r="X508"/>
      <c r="AA508"/>
      <c r="AB508"/>
      <c r="AC508"/>
      <c r="AD508"/>
      <c r="AE508"/>
      <c r="AF508"/>
      <c r="AG508"/>
      <c r="AH508"/>
      <c r="AI508"/>
      <c r="AJ508"/>
    </row>
    <row r="509" spans="1:40">
      <c r="A509" s="45">
        <v>20</v>
      </c>
      <c r="B509" s="320" t="s">
        <v>1060</v>
      </c>
      <c r="C509"/>
      <c r="D509"/>
      <c r="E509"/>
      <c r="F509"/>
      <c r="G509"/>
      <c r="H509"/>
      <c r="I509"/>
      <c r="J509"/>
      <c r="K509"/>
      <c r="L509"/>
      <c r="M509"/>
      <c r="N509"/>
      <c r="O509"/>
      <c r="P509" s="204"/>
      <c r="Q509" s="203"/>
      <c r="R509" s="202"/>
      <c r="S509" s="201"/>
      <c r="T509"/>
      <c r="U509"/>
      <c r="V509"/>
      <c r="W509"/>
      <c r="X509"/>
      <c r="AA509"/>
      <c r="AB509"/>
      <c r="AC509"/>
      <c r="AD509"/>
      <c r="AE509"/>
      <c r="AF509"/>
      <c r="AG509"/>
      <c r="AH509"/>
      <c r="AI509"/>
      <c r="AJ509"/>
    </row>
    <row r="510" spans="1:40" customFormat="1">
      <c r="A510" s="45">
        <v>21</v>
      </c>
      <c r="B510" s="320" t="s">
        <v>1059</v>
      </c>
      <c r="P510" s="45"/>
      <c r="Q510" s="45"/>
      <c r="R510" s="45"/>
      <c r="S510" s="45"/>
      <c r="Y510" s="45"/>
      <c r="Z510" s="45"/>
      <c r="AK510" s="45"/>
    </row>
    <row r="511" spans="1:40">
      <c r="A511" s="45">
        <v>22</v>
      </c>
      <c r="B511" s="320" t="s">
        <v>1058</v>
      </c>
      <c r="C511"/>
      <c r="D511"/>
      <c r="E511"/>
      <c r="F511"/>
      <c r="G511"/>
      <c r="H511"/>
      <c r="I511"/>
      <c r="J511"/>
      <c r="K511"/>
      <c r="L511"/>
      <c r="M511"/>
      <c r="N511"/>
      <c r="O511"/>
      <c r="Q511" s="200">
        <f>J511</f>
        <v>0</v>
      </c>
      <c r="T511"/>
      <c r="U511"/>
      <c r="V511"/>
      <c r="W511"/>
      <c r="X511"/>
      <c r="AA511"/>
      <c r="AB511"/>
      <c r="AC511"/>
      <c r="AD511"/>
      <c r="AE511"/>
      <c r="AF511"/>
      <c r="AG511"/>
      <c r="AH511"/>
      <c r="AI511"/>
      <c r="AJ511"/>
    </row>
    <row r="512" spans="1:40">
      <c r="A512" s="72">
        <v>23</v>
      </c>
      <c r="B512" s="320" t="s">
        <v>1057</v>
      </c>
      <c r="C512"/>
      <c r="D512"/>
      <c r="E512"/>
      <c r="F512"/>
      <c r="G512"/>
      <c r="H512"/>
      <c r="I512"/>
      <c r="J512"/>
      <c r="K512"/>
      <c r="L512"/>
      <c r="M512"/>
      <c r="N512"/>
      <c r="O512"/>
      <c r="T512"/>
      <c r="U512"/>
      <c r="V512"/>
      <c r="W512"/>
      <c r="X512"/>
      <c r="AA512"/>
      <c r="AB512"/>
      <c r="AC512"/>
      <c r="AD512"/>
      <c r="AE512"/>
      <c r="AF512"/>
      <c r="AG512"/>
      <c r="AH512"/>
      <c r="AI512"/>
      <c r="AJ512"/>
    </row>
    <row r="513" spans="1:36">
      <c r="A513" s="45">
        <v>24</v>
      </c>
      <c r="B513" s="319" t="s">
        <v>644</v>
      </c>
      <c r="C513"/>
      <c r="D513"/>
      <c r="E513"/>
      <c r="F513"/>
      <c r="G513"/>
      <c r="H513"/>
      <c r="I513"/>
      <c r="J513"/>
      <c r="K513"/>
      <c r="L513"/>
      <c r="M513"/>
      <c r="N513"/>
      <c r="O513"/>
      <c r="T513"/>
      <c r="U513"/>
      <c r="V513"/>
      <c r="W513"/>
      <c r="X513"/>
      <c r="AA513"/>
      <c r="AB513"/>
      <c r="AC513"/>
      <c r="AD513"/>
      <c r="AE513"/>
      <c r="AF513"/>
      <c r="AG513"/>
      <c r="AH513"/>
      <c r="AI513"/>
      <c r="AJ513"/>
    </row>
    <row r="514" spans="1:36">
      <c r="A514" s="45">
        <v>25</v>
      </c>
      <c r="B514" s="320" t="s">
        <v>1056</v>
      </c>
      <c r="C514"/>
      <c r="D514"/>
      <c r="E514"/>
      <c r="F514"/>
      <c r="G514"/>
      <c r="H514"/>
      <c r="I514"/>
      <c r="J514"/>
      <c r="K514"/>
      <c r="L514"/>
      <c r="M514"/>
      <c r="N514"/>
      <c r="O514"/>
      <c r="T514"/>
      <c r="U514"/>
      <c r="V514"/>
      <c r="W514"/>
      <c r="X514"/>
      <c r="AA514"/>
      <c r="AB514"/>
      <c r="AC514"/>
      <c r="AD514"/>
      <c r="AE514"/>
      <c r="AF514"/>
      <c r="AG514"/>
      <c r="AH514"/>
      <c r="AI514"/>
      <c r="AJ514"/>
    </row>
    <row r="515" spans="1:36">
      <c r="A515" s="45">
        <v>26</v>
      </c>
      <c r="B515" s="320" t="s">
        <v>1055</v>
      </c>
      <c r="C515"/>
      <c r="D515"/>
      <c r="E515"/>
      <c r="F515"/>
      <c r="G515"/>
      <c r="H515"/>
      <c r="I515"/>
      <c r="J515"/>
      <c r="K515"/>
      <c r="L515"/>
      <c r="M515"/>
      <c r="N515"/>
      <c r="O515"/>
      <c r="T515"/>
      <c r="U515"/>
      <c r="V515"/>
      <c r="W515"/>
      <c r="X515"/>
      <c r="AA515"/>
      <c r="AB515"/>
      <c r="AC515"/>
      <c r="AD515"/>
      <c r="AE515"/>
      <c r="AF515"/>
      <c r="AG515"/>
      <c r="AH515"/>
      <c r="AI515"/>
      <c r="AJ515"/>
    </row>
    <row r="516" spans="1:36">
      <c r="A516" s="72">
        <v>27</v>
      </c>
      <c r="B516" s="320" t="s">
        <v>1054</v>
      </c>
      <c r="C516"/>
      <c r="D516"/>
      <c r="E516"/>
      <c r="F516"/>
      <c r="G516"/>
      <c r="H516"/>
      <c r="I516"/>
      <c r="J516"/>
      <c r="K516"/>
      <c r="L516"/>
      <c r="M516"/>
      <c r="N516"/>
      <c r="O516"/>
      <c r="T516"/>
      <c r="U516"/>
      <c r="V516"/>
      <c r="W516"/>
      <c r="X516"/>
      <c r="AA516"/>
      <c r="AB516"/>
      <c r="AC516"/>
      <c r="AD516"/>
      <c r="AE516"/>
      <c r="AF516"/>
      <c r="AG516"/>
      <c r="AH516"/>
      <c r="AI516"/>
      <c r="AJ516"/>
    </row>
    <row r="517" spans="1:36">
      <c r="A517" s="45">
        <v>28</v>
      </c>
      <c r="B517" s="320" t="s">
        <v>1053</v>
      </c>
      <c r="C517"/>
      <c r="D517"/>
      <c r="E517"/>
      <c r="F517"/>
      <c r="G517"/>
      <c r="H517"/>
      <c r="I517"/>
      <c r="J517"/>
      <c r="K517"/>
      <c r="L517"/>
      <c r="M517"/>
      <c r="N517"/>
      <c r="O517"/>
      <c r="T517"/>
      <c r="U517"/>
      <c r="V517"/>
      <c r="W517"/>
      <c r="X517"/>
      <c r="AA517"/>
      <c r="AB517"/>
      <c r="AC517"/>
      <c r="AD517"/>
      <c r="AE517"/>
      <c r="AF517"/>
      <c r="AG517"/>
      <c r="AH517"/>
      <c r="AI517"/>
      <c r="AJ517"/>
    </row>
    <row r="518" spans="1:36">
      <c r="A518" s="45">
        <v>29</v>
      </c>
      <c r="B518" s="320" t="s">
        <v>1052</v>
      </c>
      <c r="C518"/>
      <c r="D518"/>
      <c r="E518"/>
      <c r="F518"/>
      <c r="G518"/>
      <c r="H518"/>
      <c r="I518"/>
      <c r="J518"/>
      <c r="K518"/>
      <c r="L518"/>
      <c r="M518"/>
      <c r="N518"/>
      <c r="O518"/>
      <c r="T518"/>
      <c r="U518"/>
      <c r="V518"/>
      <c r="W518"/>
      <c r="X518"/>
      <c r="AA518"/>
      <c r="AB518"/>
      <c r="AC518"/>
      <c r="AD518"/>
      <c r="AE518"/>
      <c r="AF518"/>
      <c r="AG518"/>
      <c r="AH518"/>
      <c r="AI518"/>
      <c r="AJ518"/>
    </row>
    <row r="519" spans="1:36">
      <c r="A519" s="45">
        <v>30</v>
      </c>
      <c r="B519" s="319" t="s">
        <v>722</v>
      </c>
      <c r="C519"/>
      <c r="D519"/>
      <c r="E519"/>
      <c r="F519"/>
      <c r="G519"/>
      <c r="H519"/>
      <c r="I519"/>
      <c r="J519"/>
      <c r="K519"/>
      <c r="L519"/>
      <c r="M519"/>
      <c r="N519"/>
      <c r="O519"/>
      <c r="T519"/>
      <c r="U519"/>
      <c r="V519"/>
      <c r="W519"/>
      <c r="X519"/>
      <c r="AA519"/>
      <c r="AB519"/>
      <c r="AC519"/>
      <c r="AD519"/>
      <c r="AE519"/>
      <c r="AF519"/>
      <c r="AG519"/>
      <c r="AH519"/>
      <c r="AI519"/>
      <c r="AJ519"/>
    </row>
    <row r="520" spans="1:36">
      <c r="A520" s="72">
        <v>31</v>
      </c>
      <c r="B520" s="319" t="s">
        <v>720</v>
      </c>
      <c r="C520"/>
      <c r="D520"/>
      <c r="E520"/>
      <c r="F520"/>
      <c r="G520"/>
      <c r="H520"/>
      <c r="I520"/>
      <c r="J520"/>
      <c r="K520"/>
      <c r="L520"/>
      <c r="M520"/>
      <c r="N520"/>
      <c r="O520"/>
      <c r="T520"/>
      <c r="U520"/>
      <c r="V520"/>
      <c r="W520"/>
      <c r="X520"/>
      <c r="AA520"/>
      <c r="AB520"/>
      <c r="AC520"/>
      <c r="AD520"/>
      <c r="AE520"/>
      <c r="AF520"/>
      <c r="AG520"/>
      <c r="AH520"/>
      <c r="AI520"/>
      <c r="AJ520"/>
    </row>
    <row r="521" spans="1:36">
      <c r="A521" s="45">
        <v>32</v>
      </c>
      <c r="B521" s="319" t="s">
        <v>658</v>
      </c>
      <c r="C521"/>
      <c r="D521"/>
      <c r="E521"/>
      <c r="F521"/>
      <c r="G521"/>
      <c r="H521"/>
      <c r="I521"/>
      <c r="J521"/>
      <c r="K521"/>
      <c r="L521"/>
      <c r="M521"/>
      <c r="N521"/>
      <c r="O521"/>
      <c r="T521"/>
      <c r="U521"/>
      <c r="V521"/>
      <c r="W521"/>
      <c r="X521"/>
      <c r="AA521"/>
      <c r="AB521"/>
      <c r="AC521"/>
      <c r="AD521"/>
      <c r="AE521"/>
      <c r="AF521"/>
      <c r="AG521"/>
      <c r="AH521"/>
      <c r="AI521"/>
      <c r="AJ521"/>
    </row>
    <row r="522" spans="1:36">
      <c r="A522" s="45">
        <v>33</v>
      </c>
      <c r="B522" s="319" t="s">
        <v>909</v>
      </c>
      <c r="C522"/>
      <c r="D522"/>
      <c r="E522"/>
      <c r="F522"/>
      <c r="G522"/>
      <c r="H522"/>
      <c r="I522"/>
      <c r="J522"/>
      <c r="K522"/>
      <c r="L522"/>
      <c r="M522"/>
      <c r="N522"/>
      <c r="O522"/>
      <c r="T522"/>
      <c r="U522"/>
      <c r="V522"/>
      <c r="W522"/>
      <c r="X522"/>
      <c r="AA522"/>
      <c r="AB522"/>
      <c r="AC522"/>
      <c r="AD522"/>
      <c r="AE522"/>
      <c r="AF522"/>
      <c r="AG522"/>
      <c r="AH522"/>
      <c r="AI522"/>
      <c r="AJ522"/>
    </row>
    <row r="523" spans="1:36">
      <c r="A523" s="45">
        <v>34</v>
      </c>
      <c r="B523" s="320" t="s">
        <v>1051</v>
      </c>
      <c r="C523"/>
      <c r="D523"/>
      <c r="E523"/>
      <c r="F523"/>
      <c r="G523"/>
      <c r="H523"/>
      <c r="I523"/>
      <c r="J523"/>
      <c r="K523"/>
      <c r="L523"/>
      <c r="M523"/>
      <c r="N523"/>
      <c r="O523"/>
      <c r="T523"/>
      <c r="U523"/>
      <c r="V523"/>
      <c r="W523"/>
      <c r="X523"/>
      <c r="AA523"/>
      <c r="AB523"/>
      <c r="AC523"/>
      <c r="AD523"/>
      <c r="AE523"/>
      <c r="AF523"/>
      <c r="AG523"/>
      <c r="AH523"/>
      <c r="AI523"/>
      <c r="AJ523"/>
    </row>
    <row r="524" spans="1:36">
      <c r="A524" s="72">
        <v>35</v>
      </c>
      <c r="B524" s="320" t="s">
        <v>1050</v>
      </c>
      <c r="C524"/>
      <c r="D524"/>
      <c r="E524"/>
      <c r="F524"/>
      <c r="G524"/>
      <c r="H524"/>
      <c r="I524"/>
      <c r="J524"/>
      <c r="K524"/>
      <c r="L524"/>
      <c r="M524"/>
      <c r="N524"/>
      <c r="O524"/>
      <c r="T524"/>
      <c r="U524"/>
      <c r="V524"/>
      <c r="W524"/>
      <c r="X524"/>
      <c r="AA524"/>
      <c r="AB524"/>
      <c r="AC524"/>
      <c r="AD524"/>
      <c r="AE524"/>
      <c r="AF524"/>
      <c r="AG524"/>
      <c r="AH524"/>
      <c r="AI524"/>
      <c r="AJ524"/>
    </row>
    <row r="525" spans="1:36">
      <c r="A525" s="45">
        <v>36</v>
      </c>
      <c r="B525" s="320" t="s">
        <v>1049</v>
      </c>
      <c r="C525"/>
      <c r="D525"/>
      <c r="E525"/>
      <c r="F525"/>
      <c r="G525"/>
      <c r="H525"/>
      <c r="I525"/>
      <c r="J525"/>
      <c r="K525"/>
      <c r="L525"/>
      <c r="M525"/>
      <c r="N525"/>
      <c r="O525"/>
      <c r="T525"/>
      <c r="U525"/>
      <c r="V525"/>
      <c r="W525"/>
      <c r="X525"/>
      <c r="AA525"/>
      <c r="AB525"/>
      <c r="AC525"/>
      <c r="AD525"/>
      <c r="AE525"/>
      <c r="AF525"/>
      <c r="AG525"/>
      <c r="AH525"/>
      <c r="AI525"/>
      <c r="AJ525"/>
    </row>
    <row r="526" spans="1:36">
      <c r="A526" s="45">
        <v>37</v>
      </c>
      <c r="B526" s="319" t="s">
        <v>881</v>
      </c>
      <c r="C526"/>
      <c r="D526"/>
      <c r="E526"/>
      <c r="F526"/>
      <c r="G526"/>
      <c r="H526"/>
      <c r="I526"/>
      <c r="J526"/>
      <c r="K526"/>
      <c r="L526"/>
      <c r="M526"/>
      <c r="N526"/>
      <c r="O526"/>
      <c r="T526"/>
      <c r="U526"/>
      <c r="V526"/>
      <c r="W526"/>
      <c r="X526"/>
      <c r="AA526"/>
      <c r="AB526"/>
      <c r="AC526"/>
      <c r="AD526"/>
      <c r="AE526"/>
      <c r="AF526"/>
      <c r="AG526"/>
      <c r="AH526"/>
      <c r="AI526"/>
      <c r="AJ526"/>
    </row>
    <row r="527" spans="1:36">
      <c r="A527" s="45">
        <v>38</v>
      </c>
      <c r="B527" s="320" t="s">
        <v>1048</v>
      </c>
      <c r="C527"/>
      <c r="D527"/>
      <c r="E527"/>
      <c r="F527"/>
      <c r="G527"/>
      <c r="H527"/>
      <c r="I527"/>
      <c r="J527"/>
      <c r="K527"/>
      <c r="L527"/>
      <c r="M527"/>
      <c r="N527"/>
      <c r="O527"/>
      <c r="T527"/>
      <c r="U527"/>
      <c r="V527"/>
      <c r="W527"/>
      <c r="X527"/>
      <c r="AA527"/>
      <c r="AB527"/>
      <c r="AC527"/>
      <c r="AD527"/>
      <c r="AE527"/>
      <c r="AF527"/>
      <c r="AG527"/>
      <c r="AH527"/>
      <c r="AI527"/>
      <c r="AJ527"/>
    </row>
    <row r="528" spans="1:36">
      <c r="A528" s="72">
        <v>39</v>
      </c>
      <c r="B528" s="320" t="s">
        <v>1047</v>
      </c>
      <c r="C528"/>
      <c r="D528"/>
      <c r="E528"/>
      <c r="F528"/>
      <c r="G528"/>
      <c r="H528"/>
      <c r="I528"/>
      <c r="J528"/>
      <c r="K528"/>
      <c r="L528"/>
      <c r="M528"/>
      <c r="N528"/>
      <c r="O528"/>
      <c r="T528"/>
      <c r="U528"/>
      <c r="V528"/>
      <c r="W528"/>
      <c r="X528"/>
      <c r="AA528"/>
      <c r="AB528"/>
      <c r="AC528"/>
      <c r="AD528"/>
      <c r="AE528"/>
      <c r="AF528"/>
      <c r="AG528"/>
      <c r="AH528"/>
      <c r="AI528"/>
      <c r="AJ528"/>
    </row>
    <row r="529" spans="1:36">
      <c r="A529" s="45">
        <v>40</v>
      </c>
      <c r="B529" s="320" t="s">
        <v>1046</v>
      </c>
      <c r="C529"/>
      <c r="D529"/>
      <c r="E529"/>
      <c r="F529"/>
      <c r="G529"/>
      <c r="H529"/>
      <c r="I529"/>
      <c r="J529"/>
      <c r="K529"/>
      <c r="L529"/>
      <c r="M529"/>
      <c r="N529"/>
      <c r="O529"/>
      <c r="T529"/>
      <c r="U529"/>
      <c r="V529"/>
      <c r="W529"/>
      <c r="X529"/>
      <c r="AA529"/>
      <c r="AB529"/>
      <c r="AC529"/>
      <c r="AD529"/>
      <c r="AE529"/>
      <c r="AF529"/>
      <c r="AG529"/>
      <c r="AH529"/>
      <c r="AI529"/>
      <c r="AJ529"/>
    </row>
    <row r="530" spans="1:36">
      <c r="A530" s="45">
        <v>41</v>
      </c>
      <c r="B530" s="319" t="s">
        <v>674</v>
      </c>
      <c r="C530"/>
      <c r="D530"/>
      <c r="E530"/>
      <c r="F530"/>
      <c r="G530"/>
      <c r="H530"/>
      <c r="I530"/>
      <c r="J530"/>
      <c r="K530"/>
      <c r="L530"/>
      <c r="M530"/>
      <c r="N530"/>
      <c r="O530"/>
      <c r="T530"/>
      <c r="U530"/>
      <c r="V530"/>
      <c r="W530"/>
      <c r="X530"/>
      <c r="AA530"/>
      <c r="AB530"/>
      <c r="AC530"/>
      <c r="AD530"/>
      <c r="AE530"/>
      <c r="AF530"/>
      <c r="AG530"/>
      <c r="AH530"/>
      <c r="AI530"/>
      <c r="AJ530"/>
    </row>
    <row r="531" spans="1:36">
      <c r="A531" s="45">
        <v>42</v>
      </c>
      <c r="B531" s="320" t="s">
        <v>1045</v>
      </c>
      <c r="C531"/>
      <c r="D531"/>
      <c r="E531"/>
      <c r="F531"/>
      <c r="G531"/>
      <c r="H531"/>
      <c r="I531"/>
      <c r="J531"/>
      <c r="K531"/>
      <c r="L531"/>
      <c r="M531"/>
      <c r="N531"/>
      <c r="O531"/>
      <c r="T531"/>
      <c r="U531"/>
      <c r="V531"/>
      <c r="W531"/>
      <c r="X531"/>
      <c r="AA531"/>
      <c r="AB531"/>
      <c r="AC531"/>
      <c r="AD531"/>
      <c r="AE531"/>
      <c r="AF531"/>
      <c r="AG531"/>
      <c r="AH531"/>
      <c r="AI531"/>
      <c r="AJ531"/>
    </row>
    <row r="532" spans="1:36">
      <c r="A532" s="72">
        <v>43</v>
      </c>
      <c r="B532" s="319" t="s">
        <v>880</v>
      </c>
      <c r="C532"/>
      <c r="D532"/>
      <c r="E532"/>
      <c r="F532"/>
      <c r="G532"/>
      <c r="H532"/>
      <c r="I532"/>
      <c r="J532"/>
      <c r="K532"/>
      <c r="L532"/>
      <c r="M532"/>
      <c r="N532"/>
      <c r="O532"/>
      <c r="T532"/>
      <c r="U532"/>
      <c r="V532"/>
      <c r="W532"/>
      <c r="X532"/>
      <c r="AA532"/>
      <c r="AB532"/>
      <c r="AC532"/>
      <c r="AD532"/>
      <c r="AE532"/>
      <c r="AF532"/>
      <c r="AG532"/>
      <c r="AH532"/>
      <c r="AI532"/>
      <c r="AJ532"/>
    </row>
    <row r="533" spans="1:36">
      <c r="A533" s="45">
        <v>44</v>
      </c>
      <c r="B533" s="320" t="s">
        <v>1044</v>
      </c>
      <c r="C533"/>
      <c r="D533"/>
      <c r="E533"/>
      <c r="F533"/>
      <c r="G533"/>
      <c r="H533"/>
      <c r="I533"/>
      <c r="J533"/>
      <c r="K533"/>
      <c r="L533"/>
      <c r="M533"/>
      <c r="N533"/>
      <c r="O533"/>
      <c r="T533"/>
      <c r="U533"/>
      <c r="V533"/>
      <c r="W533"/>
      <c r="X533"/>
      <c r="AA533"/>
      <c r="AB533"/>
      <c r="AC533"/>
      <c r="AD533"/>
      <c r="AE533"/>
      <c r="AF533"/>
      <c r="AG533"/>
      <c r="AH533"/>
      <c r="AI533"/>
      <c r="AJ533"/>
    </row>
    <row r="534" spans="1:36">
      <c r="A534" s="45">
        <v>45</v>
      </c>
      <c r="B534" s="320" t="s">
        <v>1043</v>
      </c>
      <c r="C534"/>
      <c r="D534"/>
      <c r="E534"/>
      <c r="F534"/>
      <c r="G534"/>
      <c r="H534"/>
      <c r="I534"/>
      <c r="J534"/>
      <c r="K534"/>
      <c r="L534"/>
      <c r="M534"/>
      <c r="N534"/>
      <c r="O534"/>
      <c r="T534"/>
      <c r="U534"/>
      <c r="V534"/>
      <c r="W534"/>
      <c r="X534"/>
      <c r="AA534"/>
      <c r="AB534"/>
      <c r="AC534"/>
      <c r="AD534"/>
      <c r="AE534"/>
      <c r="AF534"/>
      <c r="AG534"/>
      <c r="AH534"/>
      <c r="AI534"/>
      <c r="AJ534"/>
    </row>
    <row r="535" spans="1:36">
      <c r="A535" s="45">
        <v>46</v>
      </c>
      <c r="B535" s="320" t="s">
        <v>1042</v>
      </c>
      <c r="C535"/>
      <c r="D535"/>
      <c r="E535"/>
      <c r="F535"/>
      <c r="G535"/>
      <c r="H535"/>
      <c r="I535"/>
      <c r="J535"/>
      <c r="K535"/>
      <c r="L535"/>
      <c r="M535"/>
      <c r="N535"/>
      <c r="O535"/>
      <c r="T535"/>
      <c r="U535"/>
      <c r="V535"/>
      <c r="W535"/>
      <c r="X535"/>
      <c r="AA535"/>
      <c r="AB535"/>
      <c r="AC535"/>
      <c r="AD535"/>
      <c r="AE535"/>
      <c r="AF535"/>
      <c r="AG535"/>
      <c r="AH535"/>
      <c r="AI535"/>
      <c r="AJ535"/>
    </row>
    <row r="536" spans="1:36">
      <c r="A536" s="72">
        <v>47</v>
      </c>
      <c r="B536" s="320" t="s">
        <v>1041</v>
      </c>
      <c r="C536"/>
      <c r="D536"/>
      <c r="E536"/>
      <c r="F536"/>
      <c r="G536"/>
      <c r="H536"/>
      <c r="I536"/>
      <c r="J536"/>
      <c r="K536"/>
      <c r="L536"/>
      <c r="M536"/>
      <c r="N536"/>
      <c r="O536"/>
      <c r="T536"/>
      <c r="U536"/>
      <c r="V536"/>
      <c r="W536"/>
      <c r="X536"/>
      <c r="AA536"/>
      <c r="AB536"/>
      <c r="AC536"/>
      <c r="AD536"/>
      <c r="AE536"/>
      <c r="AF536"/>
      <c r="AG536"/>
      <c r="AH536"/>
      <c r="AI536"/>
      <c r="AJ536"/>
    </row>
    <row r="537" spans="1:36">
      <c r="A537" s="45">
        <v>48</v>
      </c>
      <c r="B537" s="320" t="s">
        <v>1040</v>
      </c>
      <c r="C537"/>
      <c r="D537"/>
      <c r="E537"/>
      <c r="F537"/>
      <c r="G537"/>
      <c r="H537"/>
      <c r="I537"/>
      <c r="J537"/>
      <c r="K537"/>
      <c r="L537"/>
      <c r="M537"/>
      <c r="N537"/>
      <c r="O537"/>
      <c r="T537"/>
      <c r="U537"/>
      <c r="V537"/>
      <c r="W537"/>
      <c r="X537"/>
      <c r="AA537"/>
      <c r="AB537"/>
      <c r="AC537"/>
      <c r="AD537"/>
      <c r="AE537"/>
      <c r="AF537"/>
      <c r="AG537"/>
      <c r="AH537"/>
      <c r="AI537"/>
      <c r="AJ537"/>
    </row>
    <row r="538" spans="1:36">
      <c r="A538" s="45">
        <v>49</v>
      </c>
      <c r="B538" s="320" t="s">
        <v>1039</v>
      </c>
      <c r="C538"/>
      <c r="D538"/>
      <c r="E538"/>
      <c r="F538"/>
      <c r="G538"/>
      <c r="H538"/>
      <c r="I538"/>
      <c r="J538"/>
      <c r="K538"/>
      <c r="L538"/>
      <c r="M538"/>
      <c r="N538"/>
      <c r="O538"/>
      <c r="T538"/>
      <c r="U538"/>
      <c r="V538"/>
      <c r="W538"/>
      <c r="X538"/>
      <c r="AA538"/>
      <c r="AB538"/>
      <c r="AC538"/>
      <c r="AD538"/>
      <c r="AE538"/>
      <c r="AF538"/>
      <c r="AG538"/>
      <c r="AH538"/>
      <c r="AI538"/>
      <c r="AJ538"/>
    </row>
    <row r="539" spans="1:36">
      <c r="A539" s="45">
        <v>50</v>
      </c>
      <c r="B539" s="320" t="s">
        <v>1038</v>
      </c>
      <c r="C539"/>
      <c r="D539"/>
      <c r="E539"/>
      <c r="F539"/>
      <c r="G539"/>
      <c r="H539"/>
      <c r="I539"/>
      <c r="J539"/>
      <c r="K539"/>
      <c r="L539"/>
      <c r="M539"/>
      <c r="N539"/>
      <c r="O539"/>
      <c r="T539"/>
      <c r="U539"/>
      <c r="V539"/>
      <c r="W539"/>
      <c r="X539"/>
      <c r="AA539"/>
      <c r="AB539"/>
      <c r="AC539"/>
      <c r="AD539"/>
      <c r="AE539"/>
      <c r="AF539"/>
      <c r="AG539"/>
      <c r="AH539"/>
      <c r="AI539"/>
      <c r="AJ539"/>
    </row>
    <row r="540" spans="1:36">
      <c r="A540" s="72">
        <v>51</v>
      </c>
      <c r="B540" s="320" t="s">
        <v>1037</v>
      </c>
      <c r="C540"/>
      <c r="D540"/>
      <c r="E540"/>
      <c r="F540"/>
      <c r="G540"/>
      <c r="H540"/>
      <c r="I540"/>
      <c r="J540"/>
      <c r="K540"/>
      <c r="L540"/>
      <c r="M540"/>
      <c r="N540"/>
      <c r="O540"/>
      <c r="T540"/>
      <c r="U540"/>
      <c r="V540"/>
      <c r="W540"/>
      <c r="X540"/>
      <c r="AA540"/>
      <c r="AB540"/>
      <c r="AC540"/>
      <c r="AD540"/>
      <c r="AE540"/>
      <c r="AF540"/>
      <c r="AG540"/>
      <c r="AH540"/>
      <c r="AI540"/>
      <c r="AJ540"/>
    </row>
    <row r="541" spans="1:36">
      <c r="A541" s="45">
        <v>52</v>
      </c>
      <c r="B541" s="320" t="s">
        <v>1036</v>
      </c>
      <c r="C541"/>
      <c r="D541"/>
      <c r="E541"/>
      <c r="F541"/>
      <c r="G541"/>
      <c r="H541"/>
      <c r="I541"/>
      <c r="J541"/>
      <c r="K541"/>
      <c r="L541"/>
      <c r="M541"/>
      <c r="N541"/>
      <c r="O541"/>
      <c r="T541"/>
      <c r="U541"/>
      <c r="V541"/>
      <c r="W541"/>
      <c r="X541"/>
      <c r="AA541"/>
      <c r="AB541"/>
      <c r="AC541"/>
      <c r="AD541"/>
      <c r="AE541"/>
      <c r="AF541"/>
      <c r="AG541"/>
      <c r="AH541"/>
      <c r="AI541"/>
      <c r="AJ541"/>
    </row>
    <row r="542" spans="1:36">
      <c r="A542" s="45">
        <v>53</v>
      </c>
      <c r="B542" s="319" t="s">
        <v>628</v>
      </c>
      <c r="C542"/>
      <c r="D542"/>
      <c r="E542"/>
      <c r="F542"/>
      <c r="G542"/>
      <c r="H542"/>
      <c r="I542"/>
      <c r="J542"/>
      <c r="K542"/>
      <c r="L542"/>
      <c r="M542"/>
      <c r="N542"/>
      <c r="O542"/>
      <c r="T542"/>
      <c r="U542"/>
      <c r="V542"/>
      <c r="W542"/>
      <c r="X542"/>
      <c r="AA542"/>
      <c r="AB542"/>
      <c r="AC542"/>
      <c r="AD542"/>
      <c r="AE542"/>
      <c r="AF542"/>
      <c r="AG542"/>
      <c r="AH542"/>
      <c r="AI542"/>
      <c r="AJ542"/>
    </row>
    <row r="543" spans="1:36">
      <c r="A543" s="45">
        <v>54</v>
      </c>
      <c r="B543" s="319" t="s">
        <v>557</v>
      </c>
      <c r="C543"/>
      <c r="D543"/>
      <c r="E543"/>
      <c r="F543"/>
      <c r="G543"/>
      <c r="H543"/>
      <c r="I543"/>
      <c r="J543"/>
      <c r="K543"/>
      <c r="L543"/>
      <c r="M543"/>
      <c r="N543"/>
      <c r="O543"/>
      <c r="T543"/>
      <c r="U543"/>
      <c r="V543"/>
      <c r="W543"/>
      <c r="X543"/>
      <c r="AA543"/>
      <c r="AB543"/>
      <c r="AC543"/>
      <c r="AD543"/>
      <c r="AE543"/>
      <c r="AF543"/>
      <c r="AG543"/>
      <c r="AH543"/>
      <c r="AI543"/>
      <c r="AJ543"/>
    </row>
    <row r="544" spans="1:36">
      <c r="A544" s="72">
        <v>55</v>
      </c>
      <c r="B544" s="319" t="s">
        <v>908</v>
      </c>
      <c r="C544"/>
      <c r="D544"/>
      <c r="E544"/>
      <c r="F544"/>
      <c r="G544"/>
      <c r="H544"/>
      <c r="I544"/>
      <c r="J544"/>
      <c r="K544"/>
      <c r="L544"/>
      <c r="M544"/>
      <c r="N544"/>
      <c r="O544"/>
      <c r="T544"/>
      <c r="U544"/>
      <c r="V544"/>
      <c r="W544"/>
      <c r="X544"/>
      <c r="AA544"/>
      <c r="AB544"/>
      <c r="AC544"/>
      <c r="AD544"/>
      <c r="AE544"/>
      <c r="AF544"/>
      <c r="AG544"/>
      <c r="AH544"/>
      <c r="AI544"/>
      <c r="AJ544"/>
    </row>
    <row r="545" spans="1:37">
      <c r="A545" s="45">
        <v>56</v>
      </c>
      <c r="B545" s="319" t="s">
        <v>566</v>
      </c>
      <c r="C545"/>
      <c r="D545"/>
      <c r="E545"/>
      <c r="F545"/>
      <c r="G545"/>
      <c r="H545"/>
      <c r="I545"/>
      <c r="J545"/>
      <c r="K545"/>
      <c r="L545"/>
      <c r="M545"/>
      <c r="N545"/>
      <c r="O545"/>
      <c r="T545"/>
      <c r="U545"/>
      <c r="V545"/>
      <c r="W545"/>
      <c r="X545"/>
      <c r="AA545"/>
      <c r="AB545"/>
      <c r="AC545"/>
      <c r="AD545"/>
      <c r="AE545"/>
      <c r="AF545"/>
      <c r="AG545"/>
      <c r="AH545"/>
      <c r="AI545"/>
      <c r="AJ545"/>
    </row>
    <row r="546" spans="1:37">
      <c r="A546" s="45">
        <v>57</v>
      </c>
      <c r="B546" s="319" t="s">
        <v>683</v>
      </c>
      <c r="C546"/>
      <c r="D546"/>
      <c r="E546"/>
      <c r="F546"/>
      <c r="G546"/>
      <c r="H546"/>
      <c r="I546"/>
      <c r="J546"/>
      <c r="K546"/>
      <c r="L546"/>
      <c r="M546"/>
      <c r="N546"/>
      <c r="O546"/>
      <c r="T546"/>
      <c r="U546"/>
      <c r="V546"/>
      <c r="W546"/>
      <c r="X546"/>
      <c r="AA546"/>
      <c r="AB546"/>
      <c r="AC546"/>
      <c r="AD546"/>
      <c r="AE546"/>
      <c r="AF546"/>
      <c r="AG546"/>
      <c r="AH546"/>
      <c r="AI546"/>
      <c r="AJ546"/>
    </row>
    <row r="547" spans="1:37">
      <c r="A547" s="45">
        <v>58</v>
      </c>
      <c r="B547" s="319" t="s">
        <v>730</v>
      </c>
      <c r="C547"/>
      <c r="D547"/>
      <c r="E547"/>
      <c r="F547"/>
      <c r="G547"/>
      <c r="H547"/>
      <c r="I547"/>
      <c r="J547"/>
      <c r="K547"/>
      <c r="L547"/>
      <c r="M547"/>
      <c r="N547"/>
      <c r="O547"/>
      <c r="T547"/>
      <c r="U547"/>
      <c r="V547"/>
      <c r="W547"/>
      <c r="X547"/>
      <c r="AA547"/>
      <c r="AB547"/>
      <c r="AC547"/>
      <c r="AD547"/>
      <c r="AE547"/>
      <c r="AF547"/>
      <c r="AG547"/>
      <c r="AH547"/>
      <c r="AI547"/>
      <c r="AJ547"/>
    </row>
    <row r="548" spans="1:37">
      <c r="A548" s="72">
        <v>59</v>
      </c>
      <c r="B548" s="319" t="s">
        <v>857</v>
      </c>
      <c r="C548"/>
      <c r="D548"/>
      <c r="E548"/>
      <c r="F548"/>
      <c r="G548"/>
      <c r="H548"/>
      <c r="I548"/>
      <c r="J548"/>
      <c r="K548"/>
      <c r="L548"/>
      <c r="M548"/>
      <c r="N548"/>
      <c r="O548"/>
      <c r="T548"/>
      <c r="U548"/>
      <c r="V548"/>
      <c r="W548"/>
      <c r="X548"/>
      <c r="AA548"/>
      <c r="AB548"/>
      <c r="AC548"/>
      <c r="AD548"/>
      <c r="AE548"/>
      <c r="AF548"/>
      <c r="AG548"/>
      <c r="AH548"/>
      <c r="AI548"/>
      <c r="AJ548"/>
    </row>
    <row r="549" spans="1:37">
      <c r="A549" s="45">
        <v>60</v>
      </c>
      <c r="B549" s="319" t="s">
        <v>856</v>
      </c>
      <c r="C549"/>
      <c r="D549"/>
      <c r="E549"/>
      <c r="F549"/>
      <c r="G549"/>
      <c r="H549"/>
      <c r="I549"/>
      <c r="J549"/>
      <c r="K549"/>
      <c r="L549"/>
      <c r="M549"/>
      <c r="N549"/>
      <c r="O549"/>
      <c r="T549"/>
      <c r="U549"/>
      <c r="V549"/>
      <c r="W549"/>
      <c r="X549"/>
      <c r="AA549"/>
      <c r="AB549"/>
      <c r="AC549"/>
      <c r="AD549"/>
      <c r="AE549"/>
      <c r="AF549"/>
      <c r="AG549"/>
      <c r="AH549"/>
      <c r="AI549"/>
      <c r="AJ549"/>
    </row>
    <row r="550" spans="1:37" customFormat="1">
      <c r="A550" s="45">
        <v>61</v>
      </c>
      <c r="B550" s="319" t="s">
        <v>855</v>
      </c>
      <c r="P550" s="73"/>
      <c r="Y550" s="45"/>
      <c r="Z550" s="45"/>
      <c r="AK550" s="45"/>
    </row>
    <row r="551" spans="1:37">
      <c r="A551" s="45">
        <v>62</v>
      </c>
      <c r="B551" s="319" t="s">
        <v>728</v>
      </c>
      <c r="C551"/>
      <c r="D551"/>
      <c r="E551"/>
      <c r="F551"/>
      <c r="G551"/>
      <c r="H551"/>
      <c r="I551"/>
      <c r="J551"/>
      <c r="K551"/>
      <c r="L551"/>
      <c r="M551"/>
      <c r="N551"/>
      <c r="O551"/>
      <c r="P551"/>
      <c r="Q551"/>
      <c r="R551"/>
      <c r="S551"/>
      <c r="T551"/>
      <c r="U551"/>
      <c r="V551"/>
      <c r="W551"/>
      <c r="X551"/>
      <c r="AA551"/>
      <c r="AB551"/>
      <c r="AC551"/>
      <c r="AD551"/>
      <c r="AE551"/>
      <c r="AF551"/>
      <c r="AG551"/>
      <c r="AH551"/>
      <c r="AI551"/>
      <c r="AJ551"/>
    </row>
    <row r="552" spans="1:37">
      <c r="A552" s="72">
        <v>63</v>
      </c>
      <c r="B552" s="319" t="s">
        <v>854</v>
      </c>
      <c r="C552"/>
      <c r="D552"/>
      <c r="E552"/>
      <c r="F552"/>
      <c r="G552"/>
      <c r="H552"/>
      <c r="I552"/>
      <c r="J552"/>
      <c r="K552"/>
      <c r="L552"/>
      <c r="M552"/>
      <c r="N552"/>
      <c r="O552"/>
      <c r="T552"/>
      <c r="U552"/>
      <c r="V552"/>
      <c r="W552"/>
      <c r="X552"/>
      <c r="AA552"/>
      <c r="AB552"/>
      <c r="AC552"/>
      <c r="AD552"/>
      <c r="AE552"/>
      <c r="AF552"/>
      <c r="AG552"/>
      <c r="AH552"/>
      <c r="AI552"/>
      <c r="AJ552"/>
    </row>
    <row r="553" spans="1:37">
      <c r="A553" s="45">
        <v>64</v>
      </c>
      <c r="B553" s="319" t="s">
        <v>568</v>
      </c>
      <c r="C553"/>
      <c r="D553"/>
      <c r="E553"/>
      <c r="F553"/>
      <c r="G553"/>
      <c r="H553"/>
      <c r="I553"/>
      <c r="J553"/>
      <c r="K553"/>
      <c r="L553"/>
      <c r="M553"/>
      <c r="N553"/>
      <c r="O553"/>
      <c r="T553"/>
      <c r="U553"/>
      <c r="V553"/>
      <c r="W553"/>
      <c r="X553"/>
      <c r="AA553"/>
      <c r="AB553"/>
      <c r="AC553"/>
      <c r="AD553"/>
      <c r="AE553"/>
      <c r="AF553"/>
      <c r="AG553"/>
      <c r="AH553"/>
      <c r="AI553"/>
      <c r="AJ553"/>
    </row>
    <row r="554" spans="1:37">
      <c r="A554" s="45">
        <v>65</v>
      </c>
      <c r="B554" s="319" t="s">
        <v>853</v>
      </c>
      <c r="C554"/>
      <c r="D554"/>
      <c r="E554"/>
      <c r="F554"/>
      <c r="G554"/>
      <c r="H554"/>
      <c r="I554"/>
      <c r="J554"/>
      <c r="K554"/>
      <c r="L554"/>
      <c r="M554"/>
      <c r="N554"/>
      <c r="O554"/>
      <c r="T554"/>
      <c r="U554"/>
      <c r="V554"/>
      <c r="W554"/>
      <c r="X554"/>
      <c r="AA554"/>
      <c r="AB554"/>
      <c r="AC554"/>
      <c r="AD554"/>
      <c r="AE554"/>
      <c r="AF554"/>
      <c r="AG554"/>
      <c r="AH554"/>
      <c r="AI554"/>
      <c r="AJ554"/>
    </row>
    <row r="555" spans="1:37">
      <c r="A555" s="45">
        <v>66</v>
      </c>
      <c r="B555" s="319" t="s">
        <v>852</v>
      </c>
      <c r="C555"/>
      <c r="D555"/>
      <c r="E555"/>
      <c r="F555"/>
      <c r="G555"/>
      <c r="H555"/>
      <c r="I555"/>
      <c r="J555"/>
      <c r="K555"/>
      <c r="L555"/>
      <c r="M555"/>
      <c r="N555"/>
      <c r="O555"/>
      <c r="T555"/>
      <c r="U555"/>
      <c r="V555"/>
      <c r="W555"/>
      <c r="X555"/>
      <c r="AA555"/>
      <c r="AB555"/>
      <c r="AC555"/>
      <c r="AD555"/>
      <c r="AE555"/>
      <c r="AF555"/>
      <c r="AG555"/>
      <c r="AH555"/>
      <c r="AI555"/>
      <c r="AJ555"/>
    </row>
    <row r="556" spans="1:37">
      <c r="A556" s="72">
        <v>67</v>
      </c>
      <c r="B556" s="319" t="s">
        <v>851</v>
      </c>
      <c r="C556"/>
      <c r="D556"/>
      <c r="E556"/>
      <c r="F556"/>
      <c r="G556"/>
      <c r="H556"/>
      <c r="I556"/>
      <c r="J556"/>
      <c r="K556"/>
      <c r="L556"/>
      <c r="M556"/>
      <c r="N556"/>
      <c r="O556"/>
      <c r="T556"/>
      <c r="U556"/>
      <c r="V556"/>
      <c r="W556"/>
      <c r="X556"/>
      <c r="AA556"/>
      <c r="AB556"/>
      <c r="AC556"/>
      <c r="AD556"/>
      <c r="AE556"/>
      <c r="AF556"/>
      <c r="AG556"/>
      <c r="AH556"/>
      <c r="AI556"/>
      <c r="AJ556"/>
    </row>
    <row r="557" spans="1:37">
      <c r="A557" s="45">
        <v>68</v>
      </c>
      <c r="B557" s="319" t="s">
        <v>850</v>
      </c>
      <c r="C557"/>
      <c r="D557"/>
      <c r="E557"/>
      <c r="F557"/>
      <c r="G557"/>
      <c r="H557"/>
      <c r="I557"/>
      <c r="J557"/>
      <c r="K557"/>
      <c r="L557"/>
      <c r="M557"/>
      <c r="N557"/>
      <c r="O557"/>
      <c r="T557"/>
      <c r="U557"/>
      <c r="V557"/>
      <c r="W557"/>
      <c r="X557"/>
      <c r="AA557"/>
      <c r="AB557"/>
      <c r="AC557"/>
      <c r="AD557"/>
      <c r="AE557"/>
      <c r="AF557"/>
      <c r="AG557"/>
      <c r="AH557"/>
      <c r="AI557"/>
      <c r="AJ557"/>
    </row>
    <row r="558" spans="1:37">
      <c r="A558" s="45">
        <v>69</v>
      </c>
      <c r="B558" s="319" t="s">
        <v>849</v>
      </c>
      <c r="C558"/>
      <c r="D558"/>
      <c r="E558"/>
      <c r="F558"/>
      <c r="G558"/>
      <c r="H558"/>
      <c r="I558"/>
      <c r="J558"/>
      <c r="K558"/>
      <c r="L558"/>
      <c r="M558"/>
      <c r="N558"/>
      <c r="O558"/>
      <c r="P558" s="195"/>
      <c r="T558"/>
      <c r="U558"/>
      <c r="V558"/>
      <c r="W558"/>
      <c r="X558"/>
      <c r="AA558"/>
      <c r="AB558"/>
      <c r="AC558"/>
      <c r="AD558"/>
      <c r="AE558"/>
      <c r="AF558"/>
      <c r="AG558"/>
      <c r="AH558"/>
      <c r="AI558"/>
      <c r="AJ558"/>
    </row>
    <row r="559" spans="1:37">
      <c r="A559" s="45">
        <v>70</v>
      </c>
      <c r="B559" s="319" t="s">
        <v>848</v>
      </c>
      <c r="C559"/>
      <c r="D559"/>
      <c r="E559"/>
      <c r="F559"/>
      <c r="G559"/>
      <c r="H559"/>
      <c r="I559"/>
      <c r="J559"/>
      <c r="K559"/>
      <c r="L559"/>
      <c r="M559"/>
      <c r="N559"/>
      <c r="O559"/>
      <c r="T559"/>
      <c r="U559"/>
      <c r="V559"/>
      <c r="W559"/>
      <c r="X559"/>
      <c r="AA559"/>
      <c r="AB559"/>
      <c r="AC559"/>
      <c r="AD559"/>
      <c r="AE559"/>
      <c r="AF559"/>
      <c r="AG559"/>
      <c r="AH559"/>
      <c r="AI559"/>
      <c r="AJ559"/>
    </row>
    <row r="560" spans="1:37">
      <c r="A560" s="72">
        <v>71</v>
      </c>
      <c r="B560" s="319" t="s">
        <v>847</v>
      </c>
      <c r="C560"/>
      <c r="D560"/>
      <c r="E560"/>
      <c r="F560"/>
      <c r="G560"/>
      <c r="H560"/>
      <c r="I560"/>
      <c r="J560"/>
      <c r="K560"/>
      <c r="L560"/>
      <c r="M560"/>
      <c r="N560"/>
      <c r="O560"/>
      <c r="T560"/>
      <c r="U560"/>
      <c r="V560"/>
      <c r="W560"/>
      <c r="X560"/>
      <c r="AA560"/>
      <c r="AB560"/>
      <c r="AC560"/>
      <c r="AD560"/>
      <c r="AE560"/>
      <c r="AF560"/>
      <c r="AG560"/>
      <c r="AH560"/>
      <c r="AI560"/>
      <c r="AJ560"/>
    </row>
    <row r="561" spans="1:523">
      <c r="A561" s="45">
        <v>72</v>
      </c>
      <c r="B561" s="319" t="s">
        <v>846</v>
      </c>
      <c r="C561"/>
      <c r="D561"/>
      <c r="E561"/>
      <c r="F561"/>
      <c r="G561"/>
      <c r="H561"/>
      <c r="I561"/>
      <c r="J561"/>
      <c r="K561"/>
      <c r="L561"/>
      <c r="M561"/>
      <c r="N561"/>
      <c r="O561"/>
      <c r="T561"/>
      <c r="U561"/>
      <c r="V561"/>
      <c r="W561"/>
      <c r="X561"/>
      <c r="AA561"/>
      <c r="AB561"/>
      <c r="AC561"/>
      <c r="AD561"/>
      <c r="AE561"/>
      <c r="AF561"/>
      <c r="AG561"/>
      <c r="AH561"/>
      <c r="AI561"/>
      <c r="AJ561"/>
    </row>
    <row r="562" spans="1:523">
      <c r="A562" s="45">
        <v>73</v>
      </c>
      <c r="B562" s="319" t="s">
        <v>845</v>
      </c>
      <c r="C562"/>
      <c r="D562"/>
      <c r="E562"/>
      <c r="F562"/>
      <c r="G562"/>
      <c r="H562"/>
      <c r="I562"/>
      <c r="J562"/>
      <c r="K562"/>
      <c r="L562"/>
      <c r="M562"/>
      <c r="N562"/>
      <c r="O562"/>
      <c r="P562" s="195"/>
      <c r="T562"/>
      <c r="U562"/>
      <c r="V562"/>
      <c r="W562"/>
      <c r="X562"/>
      <c r="AA562"/>
      <c r="AB562"/>
      <c r="AC562"/>
      <c r="AD562"/>
      <c r="AE562"/>
      <c r="AF562"/>
      <c r="AG562"/>
      <c r="AH562"/>
      <c r="AI562"/>
      <c r="AJ562"/>
    </row>
    <row r="563" spans="1:523">
      <c r="A563" s="45">
        <v>74</v>
      </c>
      <c r="B563" s="319" t="s">
        <v>844</v>
      </c>
      <c r="C563"/>
      <c r="D563"/>
      <c r="E563"/>
      <c r="F563"/>
      <c r="G563"/>
      <c r="H563"/>
      <c r="I563"/>
      <c r="J563"/>
      <c r="K563"/>
      <c r="L563"/>
      <c r="M563"/>
      <c r="N563"/>
      <c r="O563"/>
      <c r="P563" s="194"/>
      <c r="T563"/>
      <c r="U563"/>
      <c r="V563"/>
      <c r="W563"/>
      <c r="X563"/>
      <c r="AA563"/>
      <c r="AB563"/>
      <c r="AC563"/>
      <c r="AD563"/>
      <c r="AE563"/>
      <c r="AF563"/>
      <c r="AG563"/>
      <c r="AH563"/>
      <c r="AI563"/>
      <c r="AJ563"/>
    </row>
    <row r="564" spans="1:523">
      <c r="A564" s="72">
        <v>75</v>
      </c>
      <c r="B564" s="319" t="s">
        <v>879</v>
      </c>
      <c r="C564"/>
      <c r="D564"/>
      <c r="E564"/>
      <c r="F564"/>
      <c r="G564"/>
      <c r="H564"/>
      <c r="I564"/>
      <c r="J564"/>
      <c r="K564"/>
      <c r="L564"/>
      <c r="M564"/>
      <c r="N564"/>
      <c r="O564"/>
      <c r="T564"/>
      <c r="U564"/>
      <c r="V564"/>
      <c r="W564"/>
      <c r="X564"/>
      <c r="AA564"/>
      <c r="AB564"/>
      <c r="AC564"/>
      <c r="AD564"/>
      <c r="AE564"/>
      <c r="AF564"/>
      <c r="AG564"/>
      <c r="AH564"/>
      <c r="AI564"/>
      <c r="AJ564"/>
    </row>
    <row r="565" spans="1:523">
      <c r="A565" s="45">
        <v>76</v>
      </c>
      <c r="B565" s="319" t="s">
        <v>878</v>
      </c>
      <c r="C565"/>
      <c r="D565"/>
      <c r="E565"/>
      <c r="F565"/>
      <c r="G565"/>
      <c r="H565"/>
      <c r="I565"/>
      <c r="J565"/>
      <c r="K565"/>
      <c r="L565"/>
      <c r="M565"/>
      <c r="N565"/>
      <c r="O565"/>
      <c r="T565"/>
      <c r="U565"/>
      <c r="V565"/>
      <c r="W565"/>
      <c r="X565"/>
      <c r="AA565"/>
      <c r="AB565"/>
      <c r="AC565"/>
      <c r="AD565"/>
      <c r="AE565"/>
      <c r="AF565"/>
      <c r="AG565"/>
      <c r="AH565"/>
      <c r="AI565"/>
      <c r="AJ565"/>
    </row>
    <row r="566" spans="1:523">
      <c r="A566" s="45">
        <v>77</v>
      </c>
      <c r="B566" s="320" t="s">
        <v>1035</v>
      </c>
      <c r="C566"/>
      <c r="D566"/>
      <c r="E566"/>
      <c r="F566"/>
      <c r="G566"/>
      <c r="H566"/>
      <c r="I566"/>
      <c r="J566"/>
      <c r="K566"/>
      <c r="L566"/>
      <c r="M566"/>
      <c r="N566"/>
      <c r="O566"/>
      <c r="T566"/>
      <c r="U566"/>
      <c r="V566"/>
      <c r="W566"/>
      <c r="X566"/>
      <c r="AA566"/>
      <c r="AB566"/>
      <c r="AC566"/>
      <c r="AD566"/>
      <c r="AE566"/>
      <c r="AF566"/>
      <c r="AG566"/>
      <c r="AH566"/>
      <c r="AI566"/>
      <c r="AJ566"/>
    </row>
    <row r="567" spans="1:523">
      <c r="A567" s="45">
        <v>78</v>
      </c>
      <c r="B567" s="319" t="s">
        <v>716</v>
      </c>
      <c r="C567"/>
      <c r="D567"/>
      <c r="E567"/>
      <c r="F567"/>
      <c r="G567"/>
      <c r="H567"/>
      <c r="I567"/>
      <c r="J567"/>
      <c r="K567"/>
      <c r="L567"/>
      <c r="M567"/>
      <c r="N567"/>
      <c r="O567"/>
      <c r="T567"/>
      <c r="U567"/>
      <c r="V567"/>
      <c r="W567"/>
      <c r="X567"/>
      <c r="AA567"/>
      <c r="AB567"/>
      <c r="AC567"/>
      <c r="AD567"/>
      <c r="AE567"/>
      <c r="AF567"/>
      <c r="AG567"/>
      <c r="AH567"/>
      <c r="AI567"/>
      <c r="AJ567"/>
    </row>
    <row r="568" spans="1:523">
      <c r="A568" s="72">
        <v>79</v>
      </c>
      <c r="B568" s="320" t="s">
        <v>1034</v>
      </c>
      <c r="C568"/>
      <c r="D568"/>
      <c r="E568"/>
      <c r="F568"/>
      <c r="G568"/>
      <c r="H568"/>
      <c r="I568"/>
      <c r="J568"/>
      <c r="K568"/>
      <c r="L568"/>
      <c r="M568"/>
      <c r="N568"/>
      <c r="O568"/>
      <c r="T568"/>
      <c r="U568"/>
      <c r="V568"/>
      <c r="W568"/>
      <c r="X568"/>
      <c r="AA568"/>
      <c r="AB568"/>
      <c r="AC568"/>
      <c r="AD568"/>
      <c r="AE568"/>
      <c r="AF568"/>
      <c r="AG568"/>
      <c r="AH568"/>
      <c r="AI568"/>
      <c r="AJ568"/>
    </row>
    <row r="569" spans="1:523" s="188" customFormat="1">
      <c r="A569" s="45">
        <v>80</v>
      </c>
      <c r="B569" s="319" t="s">
        <v>580</v>
      </c>
      <c r="C569"/>
      <c r="D569"/>
      <c r="E569"/>
      <c r="F569"/>
      <c r="G569"/>
      <c r="H569"/>
      <c r="I569"/>
      <c r="J569"/>
      <c r="K569"/>
      <c r="L569"/>
      <c r="M569"/>
      <c r="N569"/>
      <c r="O569"/>
      <c r="P569" s="45"/>
      <c r="Q569" s="45"/>
      <c r="R569" s="45"/>
      <c r="S569" s="45"/>
      <c r="T569"/>
      <c r="U569"/>
      <c r="V569"/>
      <c r="W569"/>
      <c r="X569"/>
      <c r="Y569" s="45"/>
      <c r="Z569" s="45"/>
      <c r="AA569"/>
      <c r="AB569"/>
      <c r="AC569"/>
      <c r="AD569"/>
      <c r="AE569"/>
      <c r="AF569"/>
      <c r="AG569"/>
      <c r="AH569"/>
      <c r="AI569"/>
      <c r="AJ569"/>
      <c r="AK569" s="45"/>
      <c r="AL569" s="45"/>
      <c r="AM569" s="45"/>
      <c r="AN569" s="45"/>
      <c r="AO569" s="45"/>
      <c r="AP569" s="45"/>
      <c r="AQ569" s="45"/>
      <c r="AR569" s="45"/>
      <c r="AS569" s="45"/>
      <c r="AT569" s="45"/>
      <c r="AU569" s="45"/>
      <c r="AV569" s="45"/>
      <c r="AW569" s="45"/>
      <c r="AX569" s="45"/>
      <c r="AY569" s="45"/>
      <c r="AZ569" s="45"/>
      <c r="BA569" s="45"/>
      <c r="BB569" s="45"/>
      <c r="BC569" s="45"/>
      <c r="BD569" s="45"/>
      <c r="BE569" s="45"/>
      <c r="BF569" s="45"/>
      <c r="BG569" s="45"/>
      <c r="BH569" s="45"/>
      <c r="BI569" s="45"/>
      <c r="BJ569" s="45"/>
      <c r="BK569" s="45"/>
      <c r="BL569" s="45"/>
      <c r="BM569" s="45"/>
      <c r="BN569" s="45"/>
      <c r="BO569" s="45"/>
      <c r="BP569" s="45"/>
      <c r="BQ569" s="45"/>
      <c r="BR569" s="45"/>
      <c r="BS569" s="45"/>
      <c r="BT569" s="45"/>
      <c r="BU569" s="45"/>
      <c r="BV569" s="45"/>
      <c r="BW569" s="45"/>
      <c r="BX569" s="45"/>
      <c r="BY569" s="45"/>
      <c r="BZ569" s="45"/>
      <c r="CA569" s="45"/>
      <c r="CB569" s="45"/>
      <c r="CC569" s="45"/>
      <c r="CD569" s="45"/>
      <c r="CE569" s="45"/>
      <c r="CF569" s="45"/>
      <c r="CG569" s="45"/>
      <c r="CH569" s="45"/>
      <c r="CI569" s="45"/>
      <c r="CJ569" s="45"/>
      <c r="CK569" s="45"/>
      <c r="CL569" s="45"/>
      <c r="CM569" s="45"/>
      <c r="CN569" s="45"/>
      <c r="CO569" s="45"/>
      <c r="CP569" s="45"/>
      <c r="CQ569" s="45"/>
      <c r="CR569" s="45"/>
      <c r="CS569" s="45"/>
      <c r="CT569" s="45"/>
      <c r="CU569" s="45"/>
      <c r="CV569" s="45"/>
      <c r="CW569" s="45"/>
      <c r="CX569" s="45"/>
      <c r="CY569" s="45"/>
      <c r="CZ569" s="45"/>
      <c r="DA569" s="45"/>
      <c r="DB569" s="45"/>
      <c r="DC569" s="45"/>
      <c r="DD569" s="45"/>
      <c r="DE569" s="45"/>
      <c r="DF569" s="45"/>
      <c r="DG569" s="45"/>
      <c r="DH569" s="45"/>
      <c r="DI569" s="45"/>
      <c r="DJ569" s="45"/>
      <c r="DK569" s="45"/>
      <c r="DL569" s="45"/>
      <c r="DM569" s="45"/>
      <c r="DN569" s="45"/>
      <c r="DO569" s="45"/>
      <c r="DP569" s="45"/>
      <c r="DQ569" s="45"/>
      <c r="DR569" s="45"/>
      <c r="DS569" s="45"/>
      <c r="DT569" s="45"/>
      <c r="DU569" s="45"/>
      <c r="DV569" s="45"/>
      <c r="DW569" s="45"/>
      <c r="DX569" s="45"/>
      <c r="DY569" s="45"/>
      <c r="DZ569" s="45"/>
      <c r="EA569" s="45"/>
      <c r="EB569" s="45"/>
      <c r="EC569" s="45"/>
      <c r="ED569" s="45"/>
      <c r="EE569" s="45"/>
      <c r="EF569" s="45"/>
      <c r="EG569" s="45"/>
      <c r="EH569" s="45"/>
      <c r="EI569" s="45"/>
      <c r="EJ569" s="45"/>
      <c r="EK569" s="45"/>
      <c r="EL569" s="45"/>
      <c r="EM569" s="45"/>
      <c r="EN569" s="45"/>
      <c r="EO569" s="45"/>
      <c r="EP569" s="45"/>
      <c r="EQ569" s="45"/>
      <c r="ER569" s="45"/>
      <c r="ES569" s="45"/>
      <c r="ET569" s="45"/>
      <c r="EU569" s="45"/>
      <c r="EV569" s="45"/>
      <c r="EW569" s="45"/>
      <c r="EX569" s="45"/>
      <c r="EY569" s="45"/>
      <c r="EZ569" s="45"/>
      <c r="FA569" s="45"/>
      <c r="FB569" s="45"/>
      <c r="FC569" s="45"/>
      <c r="FD569" s="45"/>
      <c r="FE569" s="45"/>
      <c r="FF569" s="45"/>
      <c r="FG569" s="45"/>
      <c r="FH569" s="45"/>
      <c r="FI569" s="45"/>
      <c r="FJ569" s="45"/>
      <c r="FK569" s="45"/>
      <c r="FL569" s="45"/>
      <c r="FM569" s="45"/>
      <c r="FN569" s="45"/>
      <c r="FO569" s="45"/>
      <c r="FP569" s="45"/>
      <c r="FQ569" s="45"/>
      <c r="FR569" s="45"/>
      <c r="FS569" s="45"/>
      <c r="FT569" s="45"/>
      <c r="FU569" s="45"/>
      <c r="FV569" s="45"/>
      <c r="FW569" s="45"/>
      <c r="FX569" s="45"/>
      <c r="FY569" s="45"/>
      <c r="FZ569" s="45"/>
      <c r="GA569" s="45"/>
      <c r="GB569" s="45"/>
      <c r="GC569" s="45"/>
      <c r="GD569" s="45"/>
      <c r="GE569" s="45"/>
      <c r="GF569" s="45"/>
      <c r="GG569" s="45"/>
      <c r="GH569" s="45"/>
      <c r="GI569" s="45"/>
      <c r="GJ569" s="45"/>
      <c r="GK569" s="45"/>
      <c r="GL569" s="45"/>
      <c r="GM569" s="45"/>
      <c r="GN569" s="45"/>
      <c r="GO569" s="45"/>
      <c r="GP569" s="45"/>
      <c r="GQ569" s="45"/>
      <c r="GR569" s="45"/>
      <c r="GS569" s="45"/>
      <c r="GT569" s="45"/>
      <c r="GU569" s="45"/>
      <c r="GV569" s="45"/>
      <c r="GW569" s="45"/>
      <c r="GX569" s="45"/>
      <c r="GY569" s="45"/>
      <c r="GZ569" s="45"/>
      <c r="HA569" s="45"/>
      <c r="HB569" s="45"/>
      <c r="HC569" s="45"/>
      <c r="HD569" s="45"/>
      <c r="HE569" s="45"/>
      <c r="HF569" s="45"/>
      <c r="HG569" s="45"/>
      <c r="HH569" s="45"/>
      <c r="HI569" s="45"/>
      <c r="HJ569" s="45"/>
      <c r="HK569" s="45"/>
      <c r="HL569" s="45"/>
      <c r="HM569" s="45"/>
      <c r="HN569" s="45"/>
      <c r="HO569" s="45"/>
      <c r="HP569" s="45"/>
      <c r="HQ569" s="45"/>
      <c r="HR569" s="45"/>
      <c r="HS569" s="45"/>
      <c r="HT569" s="45"/>
      <c r="HU569" s="45"/>
      <c r="HV569" s="45"/>
      <c r="HW569" s="45"/>
      <c r="HX569" s="45"/>
      <c r="HY569" s="45"/>
      <c r="HZ569" s="45"/>
      <c r="IA569" s="45"/>
      <c r="IB569" s="45"/>
      <c r="IC569" s="45"/>
      <c r="ID569" s="45"/>
      <c r="IE569" s="45"/>
      <c r="IF569" s="45"/>
      <c r="IG569" s="45"/>
      <c r="IH569" s="45"/>
      <c r="II569" s="45"/>
      <c r="IJ569" s="45"/>
      <c r="IK569" s="45"/>
      <c r="IL569" s="45"/>
      <c r="IM569" s="45"/>
      <c r="IN569" s="45"/>
      <c r="IO569" s="45"/>
      <c r="IP569" s="45"/>
      <c r="IQ569" s="45"/>
      <c r="IR569" s="45"/>
      <c r="IS569" s="45"/>
      <c r="IT569" s="45"/>
      <c r="IU569" s="45"/>
      <c r="IV569" s="45"/>
      <c r="IW569" s="45"/>
      <c r="IX569" s="45"/>
      <c r="IY569" s="45"/>
      <c r="IZ569" s="45"/>
      <c r="JA569" s="45"/>
      <c r="JB569" s="45"/>
      <c r="JC569" s="45"/>
      <c r="JD569" s="45"/>
      <c r="JE569" s="45"/>
      <c r="JF569" s="45"/>
      <c r="JG569" s="45"/>
      <c r="JH569" s="45"/>
      <c r="JI569" s="45"/>
      <c r="JJ569" s="45"/>
      <c r="JK569" s="45"/>
      <c r="JL569" s="45"/>
      <c r="JM569" s="45"/>
      <c r="JN569" s="45"/>
      <c r="JO569" s="45"/>
      <c r="JP569" s="45"/>
      <c r="JQ569" s="45"/>
      <c r="JR569" s="45"/>
      <c r="JS569" s="45"/>
      <c r="JT569" s="45"/>
      <c r="JU569" s="45"/>
      <c r="JV569" s="45"/>
      <c r="JW569" s="45"/>
      <c r="JX569" s="45"/>
      <c r="JY569" s="45"/>
      <c r="JZ569" s="45"/>
      <c r="KA569" s="45"/>
      <c r="KB569" s="45"/>
      <c r="KC569" s="45"/>
      <c r="KD569" s="45"/>
      <c r="KE569" s="45"/>
      <c r="KF569" s="45"/>
      <c r="KG569" s="45"/>
      <c r="KH569" s="45"/>
      <c r="KI569" s="45"/>
      <c r="KJ569" s="45"/>
      <c r="KK569" s="45"/>
      <c r="KL569" s="45"/>
      <c r="KM569" s="45"/>
      <c r="KN569" s="45"/>
      <c r="KO569" s="45"/>
      <c r="KP569" s="45"/>
      <c r="KQ569" s="45"/>
      <c r="KR569" s="45"/>
      <c r="KS569" s="45"/>
      <c r="KT569" s="45"/>
      <c r="KU569" s="45"/>
      <c r="KV569" s="45"/>
      <c r="KW569" s="45"/>
      <c r="KX569" s="45"/>
      <c r="KY569" s="45"/>
      <c r="KZ569" s="45"/>
      <c r="LA569" s="45"/>
      <c r="LB569" s="45"/>
      <c r="LC569" s="45"/>
      <c r="LD569" s="45"/>
      <c r="LE569" s="45"/>
      <c r="LF569" s="45"/>
      <c r="LG569" s="45"/>
      <c r="LH569" s="45"/>
      <c r="LI569" s="45"/>
      <c r="LJ569" s="45"/>
      <c r="LK569" s="45"/>
      <c r="LL569" s="45"/>
      <c r="LM569" s="45"/>
      <c r="LN569" s="45"/>
      <c r="LO569" s="45"/>
      <c r="LP569" s="45"/>
      <c r="LQ569" s="45"/>
      <c r="LR569" s="45"/>
      <c r="LS569" s="45"/>
      <c r="LT569" s="45"/>
      <c r="LU569" s="45"/>
      <c r="LV569" s="45"/>
      <c r="LW569" s="45"/>
      <c r="LX569" s="45"/>
      <c r="LY569" s="45"/>
      <c r="LZ569" s="45"/>
      <c r="MA569" s="45"/>
      <c r="MB569" s="45"/>
      <c r="MC569" s="45"/>
      <c r="MD569" s="45"/>
      <c r="ME569" s="45"/>
      <c r="MF569" s="45"/>
      <c r="MG569" s="45"/>
      <c r="MH569" s="45"/>
      <c r="MI569" s="45"/>
      <c r="MJ569" s="45"/>
      <c r="MK569" s="45"/>
      <c r="ML569" s="45"/>
      <c r="MM569" s="45"/>
      <c r="MN569" s="45"/>
      <c r="MO569" s="45"/>
      <c r="MP569" s="45"/>
      <c r="MQ569" s="45"/>
      <c r="MR569" s="45"/>
      <c r="MS569" s="45"/>
      <c r="MT569" s="45"/>
      <c r="MU569" s="45"/>
      <c r="MV569" s="45"/>
      <c r="MW569" s="45"/>
      <c r="MX569" s="45"/>
      <c r="MY569" s="45"/>
      <c r="MZ569" s="45"/>
      <c r="NA569" s="45"/>
      <c r="NB569" s="45"/>
      <c r="NC569" s="45"/>
      <c r="ND569" s="45"/>
      <c r="NE569" s="45"/>
      <c r="NF569" s="45"/>
      <c r="NG569" s="45"/>
      <c r="NH569" s="45"/>
      <c r="NI569" s="45"/>
      <c r="NJ569" s="45"/>
      <c r="NK569" s="45"/>
      <c r="NL569" s="45"/>
      <c r="NM569" s="45"/>
      <c r="NN569" s="45"/>
      <c r="NO569" s="45"/>
      <c r="NP569" s="45"/>
      <c r="NQ569" s="45"/>
      <c r="NR569" s="45"/>
      <c r="NS569" s="45"/>
      <c r="NT569" s="45"/>
      <c r="NU569" s="45"/>
      <c r="NV569" s="45"/>
      <c r="NW569" s="45"/>
      <c r="NX569" s="45"/>
      <c r="NY569" s="45"/>
      <c r="NZ569" s="45"/>
      <c r="OA569" s="45"/>
      <c r="OB569" s="45"/>
      <c r="OC569" s="45"/>
      <c r="OD569" s="45"/>
      <c r="OE569" s="45"/>
      <c r="OF569" s="45"/>
      <c r="OG569" s="45"/>
      <c r="OH569" s="45"/>
      <c r="OI569" s="45"/>
      <c r="OJ569" s="45"/>
      <c r="OK569" s="45"/>
      <c r="OL569" s="45"/>
      <c r="OM569" s="45"/>
      <c r="ON569" s="45"/>
      <c r="OO569" s="45"/>
      <c r="OP569" s="45"/>
      <c r="OQ569" s="45"/>
      <c r="OR569" s="45"/>
      <c r="OS569" s="45"/>
      <c r="OT569" s="45"/>
      <c r="OU569" s="45"/>
      <c r="OV569" s="45"/>
      <c r="OW569" s="45"/>
      <c r="OX569" s="45"/>
      <c r="OY569" s="45"/>
      <c r="OZ569" s="45"/>
      <c r="PA569" s="45"/>
      <c r="PB569" s="45"/>
      <c r="PC569" s="45"/>
      <c r="PD569" s="45"/>
      <c r="PE569" s="45"/>
      <c r="PF569" s="45"/>
      <c r="PG569" s="45"/>
      <c r="PH569" s="45"/>
      <c r="PI569" s="45"/>
      <c r="PJ569" s="45"/>
      <c r="PK569" s="45"/>
      <c r="PL569" s="45"/>
      <c r="PM569" s="45"/>
      <c r="PN569" s="45"/>
      <c r="PO569" s="45"/>
      <c r="PP569" s="45"/>
      <c r="PQ569" s="45"/>
      <c r="PR569" s="45"/>
      <c r="PS569" s="45"/>
      <c r="PT569" s="45"/>
      <c r="PU569" s="45"/>
      <c r="PV569" s="45"/>
      <c r="PW569" s="45"/>
      <c r="PX569" s="45"/>
      <c r="PY569" s="45"/>
      <c r="PZ569" s="45"/>
      <c r="QA569" s="45"/>
      <c r="QB569" s="45"/>
      <c r="QC569" s="45"/>
      <c r="QD569" s="45"/>
      <c r="QE569" s="45"/>
      <c r="QF569" s="45"/>
      <c r="QG569" s="45"/>
      <c r="QH569" s="45"/>
      <c r="QI569" s="45"/>
      <c r="QJ569" s="45"/>
      <c r="QK569" s="45"/>
      <c r="QL569" s="45"/>
      <c r="QM569" s="45"/>
      <c r="QN569" s="45"/>
      <c r="QO569" s="45"/>
      <c r="QP569" s="45"/>
      <c r="QQ569" s="45"/>
      <c r="QR569" s="45"/>
      <c r="QS569" s="45"/>
      <c r="QT569" s="45"/>
      <c r="QU569" s="45"/>
      <c r="QV569" s="45"/>
      <c r="QW569" s="45"/>
      <c r="QX569" s="45"/>
      <c r="QY569" s="45"/>
      <c r="QZ569" s="45"/>
      <c r="RA569" s="45"/>
      <c r="RB569" s="45"/>
      <c r="RC569" s="45"/>
      <c r="RD569" s="45"/>
      <c r="RE569" s="45"/>
      <c r="RF569" s="45"/>
      <c r="RG569" s="45"/>
      <c r="RH569" s="45"/>
      <c r="RI569" s="45"/>
      <c r="RJ569" s="45"/>
      <c r="RK569" s="45"/>
      <c r="RL569" s="45"/>
      <c r="RM569" s="45"/>
      <c r="RN569" s="45"/>
      <c r="RO569" s="45"/>
      <c r="RP569" s="45"/>
      <c r="RQ569" s="45"/>
      <c r="RR569" s="45"/>
      <c r="RS569" s="45"/>
      <c r="RT569" s="45"/>
      <c r="RU569" s="45"/>
      <c r="RV569" s="45"/>
      <c r="RW569" s="45"/>
      <c r="RX569" s="45"/>
      <c r="RY569" s="45"/>
      <c r="RZ569" s="45"/>
      <c r="SA569" s="45"/>
      <c r="SB569" s="45"/>
      <c r="SC569" s="45"/>
      <c r="SD569" s="45"/>
      <c r="SE569" s="45"/>
      <c r="SF569" s="45"/>
      <c r="SG569" s="45"/>
      <c r="SH569" s="45"/>
      <c r="SI569" s="45"/>
      <c r="SJ569" s="45"/>
      <c r="SK569" s="45"/>
      <c r="SL569" s="45"/>
      <c r="SM569" s="45"/>
      <c r="SN569" s="45"/>
      <c r="SO569" s="45"/>
      <c r="SP569" s="45"/>
      <c r="SQ569" s="45"/>
      <c r="SR569" s="45"/>
      <c r="SS569" s="45"/>
      <c r="ST569" s="45"/>
      <c r="SU569" s="45"/>
      <c r="SV569" s="45"/>
      <c r="SW569" s="45"/>
      <c r="SX569" s="45"/>
      <c r="SY569" s="45"/>
      <c r="SZ569" s="45"/>
      <c r="TA569" s="45"/>
      <c r="TB569" s="45"/>
      <c r="TC569" s="45"/>
    </row>
    <row r="570" spans="1:523">
      <c r="A570" s="45">
        <v>81</v>
      </c>
      <c r="B570" s="320" t="s">
        <v>1033</v>
      </c>
      <c r="C570"/>
      <c r="D570"/>
      <c r="E570"/>
      <c r="F570"/>
      <c r="G570"/>
      <c r="H570"/>
      <c r="I570"/>
      <c r="J570"/>
      <c r="K570"/>
      <c r="L570"/>
      <c r="M570"/>
      <c r="N570"/>
      <c r="O570"/>
      <c r="T570"/>
      <c r="U570"/>
      <c r="V570"/>
      <c r="W570"/>
      <c r="X570"/>
      <c r="AA570"/>
      <c r="AB570"/>
      <c r="AC570"/>
      <c r="AD570"/>
      <c r="AE570"/>
      <c r="AF570"/>
      <c r="AG570"/>
      <c r="AH570"/>
      <c r="AI570"/>
      <c r="AJ570"/>
    </row>
    <row r="571" spans="1:523" s="188" customFormat="1">
      <c r="A571" s="45">
        <v>82</v>
      </c>
      <c r="B571" s="319" t="s">
        <v>643</v>
      </c>
      <c r="C571"/>
      <c r="D571"/>
      <c r="E571"/>
      <c r="F571"/>
      <c r="G571"/>
      <c r="H571"/>
      <c r="I571"/>
      <c r="J571"/>
      <c r="K571"/>
      <c r="L571"/>
      <c r="M571"/>
      <c r="N571"/>
      <c r="O571"/>
      <c r="P571" s="45"/>
      <c r="Q571" s="45"/>
      <c r="R571" s="45"/>
      <c r="S571" s="45"/>
      <c r="T571"/>
      <c r="U571"/>
      <c r="V571"/>
      <c r="W571"/>
      <c r="X571"/>
      <c r="Y571" s="45"/>
      <c r="Z571" s="45"/>
      <c r="AA571"/>
      <c r="AB571"/>
      <c r="AC571"/>
      <c r="AD571"/>
      <c r="AE571"/>
      <c r="AF571"/>
      <c r="AG571"/>
      <c r="AH571"/>
      <c r="AI571"/>
      <c r="AJ571"/>
      <c r="AK571" s="45"/>
      <c r="AL571" s="45"/>
      <c r="AM571" s="45"/>
      <c r="AN571" s="45"/>
      <c r="AO571" s="45"/>
      <c r="AP571" s="45"/>
      <c r="AQ571" s="45"/>
      <c r="AR571" s="45"/>
      <c r="AS571" s="45"/>
      <c r="AT571" s="45"/>
      <c r="AU571" s="45"/>
      <c r="AV571" s="45"/>
      <c r="AW571" s="45"/>
      <c r="AX571" s="45"/>
      <c r="AY571" s="45"/>
      <c r="AZ571" s="45"/>
      <c r="BA571" s="45"/>
      <c r="BB571" s="45"/>
      <c r="BC571" s="45"/>
      <c r="BD571" s="45"/>
      <c r="BE571" s="45"/>
      <c r="BF571" s="45"/>
      <c r="BG571" s="45"/>
      <c r="BH571" s="45"/>
      <c r="BI571" s="45"/>
      <c r="BJ571" s="45"/>
      <c r="BK571" s="45"/>
      <c r="BL571" s="45"/>
      <c r="BM571" s="45"/>
      <c r="BN571" s="45"/>
      <c r="BO571" s="45"/>
      <c r="BP571" s="45"/>
      <c r="BQ571" s="45"/>
      <c r="BR571" s="45"/>
      <c r="BS571" s="45"/>
      <c r="BT571" s="45"/>
      <c r="BU571" s="45"/>
      <c r="BV571" s="45"/>
      <c r="BW571" s="45"/>
      <c r="BX571" s="45"/>
      <c r="BY571" s="45"/>
      <c r="BZ571" s="45"/>
      <c r="CA571" s="45"/>
      <c r="CB571" s="45"/>
      <c r="CC571" s="45"/>
      <c r="CD571" s="45"/>
      <c r="CE571" s="45"/>
      <c r="CF571" s="45"/>
      <c r="CG571" s="45"/>
      <c r="CH571" s="45"/>
      <c r="CI571" s="45"/>
      <c r="CJ571" s="45"/>
      <c r="CK571" s="45"/>
      <c r="CL571" s="45"/>
      <c r="CM571" s="45"/>
      <c r="CN571" s="45"/>
      <c r="CO571" s="45"/>
      <c r="CP571" s="45"/>
      <c r="CQ571" s="45"/>
      <c r="CR571" s="45"/>
      <c r="CS571" s="45"/>
      <c r="CT571" s="45"/>
      <c r="CU571" s="45"/>
      <c r="CV571" s="45"/>
      <c r="CW571" s="45"/>
      <c r="CX571" s="45"/>
      <c r="CY571" s="45"/>
      <c r="CZ571" s="45"/>
      <c r="DA571" s="45"/>
      <c r="DB571" s="45"/>
      <c r="DC571" s="45"/>
      <c r="DD571" s="45"/>
      <c r="DE571" s="45"/>
      <c r="DF571" s="45"/>
      <c r="DG571" s="45"/>
      <c r="DH571" s="45"/>
      <c r="DI571" s="45"/>
      <c r="DJ571" s="45"/>
      <c r="DK571" s="45"/>
      <c r="DL571" s="45"/>
      <c r="DM571" s="45"/>
      <c r="DN571" s="45"/>
      <c r="DO571" s="45"/>
      <c r="DP571" s="45"/>
      <c r="DQ571" s="45"/>
      <c r="DR571" s="45"/>
      <c r="DS571" s="45"/>
      <c r="DT571" s="45"/>
      <c r="DU571" s="45"/>
      <c r="DV571" s="45"/>
      <c r="DW571" s="45"/>
      <c r="DX571" s="45"/>
      <c r="DY571" s="45"/>
      <c r="DZ571" s="45"/>
      <c r="EA571" s="45"/>
      <c r="EB571" s="45"/>
      <c r="EC571" s="45"/>
      <c r="ED571" s="45"/>
      <c r="EE571" s="45"/>
      <c r="EF571" s="45"/>
      <c r="EG571" s="45"/>
      <c r="EH571" s="45"/>
      <c r="EI571" s="45"/>
      <c r="EJ571" s="45"/>
      <c r="EK571" s="45"/>
      <c r="EL571" s="45"/>
      <c r="EM571" s="45"/>
      <c r="EN571" s="45"/>
      <c r="EO571" s="45"/>
      <c r="EP571" s="45"/>
      <c r="EQ571" s="45"/>
      <c r="ER571" s="45"/>
      <c r="ES571" s="45"/>
      <c r="ET571" s="45"/>
      <c r="EU571" s="45"/>
      <c r="EV571" s="45"/>
      <c r="EW571" s="45"/>
      <c r="EX571" s="45"/>
      <c r="EY571" s="45"/>
      <c r="EZ571" s="45"/>
      <c r="FA571" s="45"/>
      <c r="FB571" s="45"/>
      <c r="FC571" s="45"/>
      <c r="FD571" s="45"/>
      <c r="FE571" s="45"/>
      <c r="FF571" s="45"/>
      <c r="FG571" s="45"/>
      <c r="FH571" s="45"/>
      <c r="FI571" s="45"/>
      <c r="FJ571" s="45"/>
      <c r="FK571" s="45"/>
      <c r="FL571" s="45"/>
      <c r="FM571" s="45"/>
      <c r="FN571" s="45"/>
      <c r="FO571" s="45"/>
      <c r="FP571" s="45"/>
      <c r="FQ571" s="45"/>
      <c r="FR571" s="45"/>
      <c r="FS571" s="45"/>
      <c r="FT571" s="45"/>
      <c r="FU571" s="45"/>
      <c r="FV571" s="45"/>
      <c r="FW571" s="45"/>
      <c r="FX571" s="45"/>
      <c r="FY571" s="45"/>
      <c r="FZ571" s="45"/>
      <c r="GA571" s="45"/>
      <c r="GB571" s="45"/>
      <c r="GC571" s="45"/>
      <c r="GD571" s="45"/>
      <c r="GE571" s="45"/>
      <c r="GF571" s="45"/>
      <c r="GG571" s="45"/>
      <c r="GH571" s="45"/>
      <c r="GI571" s="45"/>
      <c r="GJ571" s="45"/>
      <c r="GK571" s="45"/>
      <c r="GL571" s="45"/>
      <c r="GM571" s="45"/>
      <c r="GN571" s="45"/>
      <c r="GO571" s="45"/>
      <c r="GP571" s="45"/>
      <c r="GQ571" s="45"/>
      <c r="GR571" s="45"/>
      <c r="GS571" s="45"/>
      <c r="GT571" s="45"/>
      <c r="GU571" s="45"/>
      <c r="GV571" s="45"/>
      <c r="GW571" s="45"/>
      <c r="GX571" s="45"/>
      <c r="GY571" s="45"/>
      <c r="GZ571" s="45"/>
      <c r="HA571" s="45"/>
      <c r="HB571" s="45"/>
      <c r="HC571" s="45"/>
      <c r="HD571" s="45"/>
      <c r="HE571" s="45"/>
      <c r="HF571" s="45"/>
      <c r="HG571" s="45"/>
      <c r="HH571" s="45"/>
      <c r="HI571" s="45"/>
      <c r="HJ571" s="45"/>
      <c r="HK571" s="45"/>
      <c r="HL571" s="45"/>
      <c r="HM571" s="45"/>
      <c r="HN571" s="45"/>
      <c r="HO571" s="45"/>
      <c r="HP571" s="45"/>
      <c r="HQ571" s="45"/>
      <c r="HR571" s="45"/>
      <c r="HS571" s="45"/>
      <c r="HT571" s="45"/>
      <c r="HU571" s="45"/>
      <c r="HV571" s="45"/>
      <c r="HW571" s="45"/>
      <c r="HX571" s="45"/>
      <c r="HY571" s="45"/>
      <c r="HZ571" s="45"/>
      <c r="IA571" s="45"/>
      <c r="IB571" s="45"/>
      <c r="IC571" s="45"/>
      <c r="ID571" s="45"/>
      <c r="IE571" s="45"/>
      <c r="IF571" s="45"/>
      <c r="IG571" s="45"/>
      <c r="IH571" s="45"/>
      <c r="II571" s="45"/>
      <c r="IJ571" s="45"/>
      <c r="IK571" s="45"/>
      <c r="IL571" s="45"/>
      <c r="IM571" s="45"/>
      <c r="IN571" s="45"/>
      <c r="IO571" s="45"/>
      <c r="IP571" s="45"/>
      <c r="IQ571" s="45"/>
      <c r="IR571" s="45"/>
      <c r="IS571" s="45"/>
      <c r="IT571" s="45"/>
      <c r="IU571" s="45"/>
      <c r="IV571" s="45"/>
      <c r="IW571" s="45"/>
      <c r="IX571" s="45"/>
      <c r="IY571" s="45"/>
      <c r="IZ571" s="45"/>
      <c r="JA571" s="45"/>
      <c r="JB571" s="45"/>
      <c r="JC571" s="45"/>
      <c r="JD571" s="45"/>
      <c r="JE571" s="45"/>
      <c r="JF571" s="45"/>
      <c r="JG571" s="45"/>
      <c r="JH571" s="45"/>
      <c r="JI571" s="45"/>
      <c r="JJ571" s="45"/>
      <c r="JK571" s="45"/>
      <c r="JL571" s="45"/>
      <c r="JM571" s="45"/>
      <c r="JN571" s="45"/>
      <c r="JO571" s="45"/>
      <c r="JP571" s="45"/>
      <c r="JQ571" s="45"/>
      <c r="JR571" s="45"/>
      <c r="JS571" s="45"/>
      <c r="JT571" s="45"/>
      <c r="JU571" s="45"/>
      <c r="JV571" s="45"/>
      <c r="JW571" s="45"/>
      <c r="JX571" s="45"/>
      <c r="JY571" s="45"/>
      <c r="JZ571" s="45"/>
      <c r="KA571" s="45"/>
      <c r="KB571" s="45"/>
      <c r="KC571" s="45"/>
      <c r="KD571" s="45"/>
      <c r="KE571" s="45"/>
      <c r="KF571" s="45"/>
      <c r="KG571" s="45"/>
      <c r="KH571" s="45"/>
      <c r="KI571" s="45"/>
      <c r="KJ571" s="45"/>
      <c r="KK571" s="45"/>
      <c r="KL571" s="45"/>
      <c r="KM571" s="45"/>
      <c r="KN571" s="45"/>
      <c r="KO571" s="45"/>
      <c r="KP571" s="45"/>
      <c r="KQ571" s="45"/>
      <c r="KR571" s="45"/>
      <c r="KS571" s="45"/>
      <c r="KT571" s="45"/>
      <c r="KU571" s="45"/>
      <c r="KV571" s="45"/>
      <c r="KW571" s="45"/>
      <c r="KX571" s="45"/>
      <c r="KY571" s="45"/>
      <c r="KZ571" s="45"/>
      <c r="LA571" s="45"/>
      <c r="LB571" s="45"/>
      <c r="LC571" s="45"/>
      <c r="LD571" s="45"/>
      <c r="LE571" s="45"/>
      <c r="LF571" s="45"/>
      <c r="LG571" s="45"/>
      <c r="LH571" s="45"/>
      <c r="LI571" s="45"/>
      <c r="LJ571" s="45"/>
      <c r="LK571" s="45"/>
      <c r="LL571" s="45"/>
      <c r="LM571" s="45"/>
      <c r="LN571" s="45"/>
      <c r="LO571" s="45"/>
      <c r="LP571" s="45"/>
      <c r="LQ571" s="45"/>
      <c r="LR571" s="45"/>
      <c r="LS571" s="45"/>
      <c r="LT571" s="45"/>
      <c r="LU571" s="45"/>
      <c r="LV571" s="45"/>
      <c r="LW571" s="45"/>
      <c r="LX571" s="45"/>
      <c r="LY571" s="45"/>
      <c r="LZ571" s="45"/>
      <c r="MA571" s="45"/>
      <c r="MB571" s="45"/>
      <c r="MC571" s="45"/>
      <c r="MD571" s="45"/>
      <c r="ME571" s="45"/>
      <c r="MF571" s="45"/>
      <c r="MG571" s="45"/>
      <c r="MH571" s="45"/>
      <c r="MI571" s="45"/>
      <c r="MJ571" s="45"/>
      <c r="MK571" s="45"/>
      <c r="ML571" s="45"/>
      <c r="MM571" s="45"/>
      <c r="MN571" s="45"/>
      <c r="MO571" s="45"/>
      <c r="MP571" s="45"/>
      <c r="MQ571" s="45"/>
      <c r="MR571" s="45"/>
      <c r="MS571" s="45"/>
      <c r="MT571" s="45"/>
      <c r="MU571" s="45"/>
      <c r="MV571" s="45"/>
      <c r="MW571" s="45"/>
      <c r="MX571" s="45"/>
      <c r="MY571" s="45"/>
      <c r="MZ571" s="45"/>
      <c r="NA571" s="45"/>
      <c r="NB571" s="45"/>
      <c r="NC571" s="45"/>
      <c r="ND571" s="45"/>
      <c r="NE571" s="45"/>
      <c r="NF571" s="45"/>
      <c r="NG571" s="45"/>
      <c r="NH571" s="45"/>
      <c r="NI571" s="45"/>
      <c r="NJ571" s="45"/>
      <c r="NK571" s="45"/>
      <c r="NL571" s="45"/>
      <c r="NM571" s="45"/>
      <c r="NN571" s="45"/>
      <c r="NO571" s="45"/>
      <c r="NP571" s="45"/>
      <c r="NQ571" s="45"/>
      <c r="NR571" s="45"/>
      <c r="NS571" s="45"/>
      <c r="NT571" s="45"/>
      <c r="NU571" s="45"/>
      <c r="NV571" s="45"/>
      <c r="NW571" s="45"/>
      <c r="NX571" s="45"/>
      <c r="NY571" s="45"/>
      <c r="NZ571" s="45"/>
      <c r="OA571" s="45"/>
      <c r="OB571" s="45"/>
      <c r="OC571" s="45"/>
      <c r="OD571" s="45"/>
      <c r="OE571" s="45"/>
      <c r="OF571" s="45"/>
      <c r="OG571" s="45"/>
      <c r="OH571" s="45"/>
      <c r="OI571" s="45"/>
      <c r="OJ571" s="45"/>
      <c r="OK571" s="45"/>
      <c r="OL571" s="45"/>
      <c r="OM571" s="45"/>
      <c r="ON571" s="45"/>
      <c r="OO571" s="45"/>
      <c r="OP571" s="45"/>
      <c r="OQ571" s="45"/>
      <c r="OR571" s="45"/>
      <c r="OS571" s="45"/>
      <c r="OT571" s="45"/>
      <c r="OU571" s="45"/>
      <c r="OV571" s="45"/>
      <c r="OW571" s="45"/>
      <c r="OX571" s="45"/>
      <c r="OY571" s="45"/>
      <c r="OZ571" s="45"/>
      <c r="PA571" s="45"/>
      <c r="PB571" s="45"/>
      <c r="PC571" s="45"/>
      <c r="PD571" s="45"/>
      <c r="PE571" s="45"/>
      <c r="PF571" s="45"/>
      <c r="PG571" s="45"/>
      <c r="PH571" s="45"/>
      <c r="PI571" s="45"/>
      <c r="PJ571" s="45"/>
      <c r="PK571" s="45"/>
      <c r="PL571" s="45"/>
      <c r="PM571" s="45"/>
      <c r="PN571" s="45"/>
      <c r="PO571" s="45"/>
      <c r="PP571" s="45"/>
      <c r="PQ571" s="45"/>
      <c r="PR571" s="45"/>
      <c r="PS571" s="45"/>
      <c r="PT571" s="45"/>
      <c r="PU571" s="45"/>
      <c r="PV571" s="45"/>
      <c r="PW571" s="45"/>
      <c r="PX571" s="45"/>
      <c r="PY571" s="45"/>
      <c r="PZ571" s="45"/>
      <c r="QA571" s="45"/>
      <c r="QB571" s="45"/>
      <c r="QC571" s="45"/>
      <c r="QD571" s="45"/>
      <c r="QE571" s="45"/>
      <c r="QF571" s="45"/>
      <c r="QG571" s="45"/>
      <c r="QH571" s="45"/>
      <c r="QI571" s="45"/>
      <c r="QJ571" s="45"/>
      <c r="QK571" s="45"/>
      <c r="QL571" s="45"/>
      <c r="QM571" s="45"/>
      <c r="QN571" s="45"/>
      <c r="QO571" s="45"/>
      <c r="QP571" s="45"/>
      <c r="QQ571" s="45"/>
      <c r="QR571" s="45"/>
      <c r="QS571" s="45"/>
      <c r="QT571" s="45"/>
      <c r="QU571" s="45"/>
      <c r="QV571" s="45"/>
      <c r="QW571" s="45"/>
      <c r="QX571" s="45"/>
      <c r="QY571" s="45"/>
      <c r="QZ571" s="45"/>
      <c r="RA571" s="45"/>
      <c r="RB571" s="45"/>
      <c r="RC571" s="45"/>
      <c r="RD571" s="45"/>
      <c r="RE571" s="45"/>
      <c r="RF571" s="45"/>
      <c r="RG571" s="45"/>
      <c r="RH571" s="45"/>
      <c r="RI571" s="45"/>
      <c r="RJ571" s="45"/>
      <c r="RK571" s="45"/>
      <c r="RL571" s="45"/>
      <c r="RM571" s="45"/>
      <c r="RN571" s="45"/>
      <c r="RO571" s="45"/>
      <c r="RP571" s="45"/>
      <c r="RQ571" s="45"/>
      <c r="RR571" s="45"/>
      <c r="RS571" s="45"/>
      <c r="RT571" s="45"/>
      <c r="RU571" s="45"/>
      <c r="RV571" s="45"/>
      <c r="RW571" s="45"/>
      <c r="RX571" s="45"/>
      <c r="RY571" s="45"/>
      <c r="RZ571" s="45"/>
      <c r="SA571" s="45"/>
      <c r="SB571" s="45"/>
      <c r="SC571" s="45"/>
      <c r="SD571" s="45"/>
      <c r="SE571" s="45"/>
      <c r="SF571" s="45"/>
      <c r="SG571" s="45"/>
      <c r="SH571" s="45"/>
      <c r="SI571" s="45"/>
      <c r="SJ571" s="45"/>
      <c r="SK571" s="45"/>
      <c r="SL571" s="45"/>
      <c r="SM571" s="45"/>
      <c r="SN571" s="45"/>
      <c r="SO571" s="45"/>
      <c r="SP571" s="45"/>
      <c r="SQ571" s="45"/>
      <c r="SR571" s="45"/>
      <c r="SS571" s="45"/>
      <c r="ST571" s="45"/>
      <c r="SU571" s="45"/>
      <c r="SV571" s="45"/>
      <c r="SW571" s="45"/>
      <c r="SX571" s="45"/>
      <c r="SY571" s="45"/>
      <c r="SZ571" s="45"/>
      <c r="TA571" s="45"/>
      <c r="TB571" s="45"/>
      <c r="TC571" s="45"/>
    </row>
    <row r="572" spans="1:523">
      <c r="A572" s="72">
        <v>83</v>
      </c>
      <c r="B572" s="319" t="s">
        <v>660</v>
      </c>
      <c r="C572"/>
      <c r="D572"/>
      <c r="E572"/>
      <c r="F572"/>
      <c r="G572"/>
      <c r="H572"/>
      <c r="I572"/>
      <c r="J572"/>
      <c r="K572"/>
      <c r="L572"/>
      <c r="M572"/>
      <c r="N572"/>
      <c r="O572"/>
      <c r="T572"/>
      <c r="U572"/>
      <c r="V572"/>
      <c r="W572"/>
      <c r="X572"/>
      <c r="AA572"/>
      <c r="AB572"/>
      <c r="AC572"/>
      <c r="AD572"/>
      <c r="AE572"/>
      <c r="AF572"/>
      <c r="AG572"/>
      <c r="AH572"/>
      <c r="AI572"/>
      <c r="AJ572"/>
    </row>
    <row r="573" spans="1:523" s="188" customFormat="1">
      <c r="A573" s="45">
        <v>84</v>
      </c>
      <c r="B573" s="320" t="s">
        <v>1032</v>
      </c>
      <c r="C573"/>
      <c r="D573"/>
      <c r="E573"/>
      <c r="F573"/>
      <c r="G573"/>
      <c r="H573"/>
      <c r="I573"/>
      <c r="J573"/>
      <c r="K573"/>
      <c r="L573"/>
      <c r="M573"/>
      <c r="N573"/>
      <c r="O573"/>
      <c r="P573" s="45"/>
      <c r="Q573" s="45"/>
      <c r="R573" s="45"/>
      <c r="S573" s="45"/>
      <c r="T573"/>
      <c r="U573"/>
      <c r="V573"/>
      <c r="W573"/>
      <c r="X573"/>
      <c r="Y573" s="45"/>
      <c r="Z573" s="45"/>
      <c r="AA573"/>
      <c r="AB573"/>
      <c r="AC573"/>
      <c r="AD573"/>
      <c r="AE573"/>
      <c r="AF573"/>
      <c r="AG573"/>
      <c r="AH573"/>
      <c r="AI573"/>
      <c r="AJ573"/>
      <c r="AK573" s="45"/>
      <c r="AL573" s="45"/>
      <c r="AM573" s="45"/>
      <c r="AN573" s="45"/>
      <c r="AO573" s="45"/>
      <c r="AP573" s="45"/>
      <c r="AQ573" s="45"/>
      <c r="AR573" s="45"/>
      <c r="AS573" s="45"/>
      <c r="AT573" s="45"/>
      <c r="AU573" s="45"/>
      <c r="AV573" s="45"/>
      <c r="AW573" s="45"/>
      <c r="AX573" s="45"/>
      <c r="AY573" s="45"/>
      <c r="AZ573" s="45"/>
      <c r="BA573" s="45"/>
      <c r="BB573" s="45"/>
      <c r="BC573" s="45"/>
      <c r="BD573" s="45"/>
      <c r="BE573" s="45"/>
      <c r="BF573" s="45"/>
      <c r="BG573" s="45"/>
      <c r="BH573" s="45"/>
      <c r="BI573" s="45"/>
      <c r="BJ573" s="45"/>
      <c r="BK573" s="45"/>
      <c r="BL573" s="45"/>
      <c r="BM573" s="45"/>
      <c r="BN573" s="45"/>
      <c r="BO573" s="45"/>
      <c r="BP573" s="45"/>
      <c r="BQ573" s="45"/>
      <c r="BR573" s="45"/>
      <c r="BS573" s="45"/>
      <c r="BT573" s="45"/>
      <c r="BU573" s="45"/>
      <c r="BV573" s="45"/>
      <c r="BW573" s="45"/>
      <c r="BX573" s="45"/>
      <c r="BY573" s="45"/>
      <c r="BZ573" s="45"/>
      <c r="CA573" s="45"/>
      <c r="CB573" s="45"/>
      <c r="CC573" s="45"/>
      <c r="CD573" s="45"/>
      <c r="CE573" s="45"/>
      <c r="CF573" s="45"/>
      <c r="CG573" s="45"/>
      <c r="CH573" s="45"/>
      <c r="CI573" s="45"/>
      <c r="CJ573" s="45"/>
      <c r="CK573" s="45"/>
      <c r="CL573" s="45"/>
      <c r="CM573" s="45"/>
      <c r="CN573" s="45"/>
      <c r="CO573" s="45"/>
      <c r="CP573" s="45"/>
      <c r="CQ573" s="45"/>
      <c r="CR573" s="45"/>
      <c r="CS573" s="45"/>
      <c r="CT573" s="45"/>
      <c r="CU573" s="45"/>
      <c r="CV573" s="45"/>
      <c r="CW573" s="45"/>
      <c r="CX573" s="45"/>
      <c r="CY573" s="45"/>
      <c r="CZ573" s="45"/>
      <c r="DA573" s="45"/>
      <c r="DB573" s="45"/>
      <c r="DC573" s="45"/>
      <c r="DD573" s="45"/>
      <c r="DE573" s="45"/>
      <c r="DF573" s="45"/>
      <c r="DG573" s="45"/>
      <c r="DH573" s="45"/>
      <c r="DI573" s="45"/>
      <c r="DJ573" s="45"/>
      <c r="DK573" s="45"/>
      <c r="DL573" s="45"/>
      <c r="DM573" s="45"/>
      <c r="DN573" s="45"/>
      <c r="DO573" s="45"/>
      <c r="DP573" s="45"/>
      <c r="DQ573" s="45"/>
      <c r="DR573" s="45"/>
      <c r="DS573" s="45"/>
      <c r="DT573" s="45"/>
      <c r="DU573" s="45"/>
      <c r="DV573" s="45"/>
      <c r="DW573" s="45"/>
      <c r="DX573" s="45"/>
      <c r="DY573" s="45"/>
      <c r="DZ573" s="45"/>
      <c r="EA573" s="45"/>
      <c r="EB573" s="45"/>
      <c r="EC573" s="45"/>
      <c r="ED573" s="45"/>
      <c r="EE573" s="45"/>
      <c r="EF573" s="45"/>
      <c r="EG573" s="45"/>
      <c r="EH573" s="45"/>
      <c r="EI573" s="45"/>
      <c r="EJ573" s="45"/>
      <c r="EK573" s="45"/>
      <c r="EL573" s="45"/>
      <c r="EM573" s="45"/>
      <c r="EN573" s="45"/>
      <c r="EO573" s="45"/>
      <c r="EP573" s="45"/>
      <c r="EQ573" s="45"/>
      <c r="ER573" s="45"/>
      <c r="ES573" s="45"/>
      <c r="ET573" s="45"/>
      <c r="EU573" s="45"/>
      <c r="EV573" s="45"/>
      <c r="EW573" s="45"/>
      <c r="EX573" s="45"/>
      <c r="EY573" s="45"/>
      <c r="EZ573" s="45"/>
      <c r="FA573" s="45"/>
      <c r="FB573" s="45"/>
      <c r="FC573" s="45"/>
      <c r="FD573" s="45"/>
      <c r="FE573" s="45"/>
      <c r="FF573" s="45"/>
      <c r="FG573" s="45"/>
      <c r="FH573" s="45"/>
      <c r="FI573" s="45"/>
      <c r="FJ573" s="45"/>
      <c r="FK573" s="45"/>
      <c r="FL573" s="45"/>
      <c r="FM573" s="45"/>
      <c r="FN573" s="45"/>
      <c r="FO573" s="45"/>
      <c r="FP573" s="45"/>
      <c r="FQ573" s="45"/>
      <c r="FR573" s="45"/>
      <c r="FS573" s="45"/>
      <c r="FT573" s="45"/>
      <c r="FU573" s="45"/>
      <c r="FV573" s="45"/>
      <c r="FW573" s="45"/>
      <c r="FX573" s="45"/>
      <c r="FY573" s="45"/>
      <c r="FZ573" s="45"/>
      <c r="GA573" s="45"/>
      <c r="GB573" s="45"/>
      <c r="GC573" s="45"/>
      <c r="GD573" s="45"/>
      <c r="GE573" s="45"/>
      <c r="GF573" s="45"/>
      <c r="GG573" s="45"/>
      <c r="GH573" s="45"/>
      <c r="GI573" s="45"/>
      <c r="GJ573" s="45"/>
      <c r="GK573" s="45"/>
      <c r="GL573" s="45"/>
      <c r="GM573" s="45"/>
      <c r="GN573" s="45"/>
      <c r="GO573" s="45"/>
      <c r="GP573" s="45"/>
      <c r="GQ573" s="45"/>
      <c r="GR573" s="45"/>
      <c r="GS573" s="45"/>
      <c r="GT573" s="45"/>
      <c r="GU573" s="45"/>
      <c r="GV573" s="45"/>
      <c r="GW573" s="45"/>
      <c r="GX573" s="45"/>
      <c r="GY573" s="45"/>
      <c r="GZ573" s="45"/>
      <c r="HA573" s="45"/>
      <c r="HB573" s="45"/>
      <c r="HC573" s="45"/>
      <c r="HD573" s="45"/>
      <c r="HE573" s="45"/>
      <c r="HF573" s="45"/>
      <c r="HG573" s="45"/>
      <c r="HH573" s="45"/>
      <c r="HI573" s="45"/>
      <c r="HJ573" s="45"/>
      <c r="HK573" s="45"/>
      <c r="HL573" s="45"/>
      <c r="HM573" s="45"/>
      <c r="HN573" s="45"/>
      <c r="HO573" s="45"/>
      <c r="HP573" s="45"/>
      <c r="HQ573" s="45"/>
      <c r="HR573" s="45"/>
      <c r="HS573" s="45"/>
      <c r="HT573" s="45"/>
      <c r="HU573" s="45"/>
      <c r="HV573" s="45"/>
      <c r="HW573" s="45"/>
      <c r="HX573" s="45"/>
      <c r="HY573" s="45"/>
      <c r="HZ573" s="45"/>
      <c r="IA573" s="45"/>
      <c r="IB573" s="45"/>
      <c r="IC573" s="45"/>
      <c r="ID573" s="45"/>
      <c r="IE573" s="45"/>
      <c r="IF573" s="45"/>
      <c r="IG573" s="45"/>
      <c r="IH573" s="45"/>
      <c r="II573" s="45"/>
      <c r="IJ573" s="45"/>
      <c r="IK573" s="45"/>
      <c r="IL573" s="45"/>
      <c r="IM573" s="45"/>
      <c r="IN573" s="45"/>
      <c r="IO573" s="45"/>
      <c r="IP573" s="45"/>
      <c r="IQ573" s="45"/>
      <c r="IR573" s="45"/>
      <c r="IS573" s="45"/>
      <c r="IT573" s="45"/>
      <c r="IU573" s="45"/>
      <c r="IV573" s="45"/>
      <c r="IW573" s="45"/>
      <c r="IX573" s="45"/>
      <c r="IY573" s="45"/>
      <c r="IZ573" s="45"/>
      <c r="JA573" s="45"/>
      <c r="JB573" s="45"/>
      <c r="JC573" s="45"/>
      <c r="JD573" s="45"/>
      <c r="JE573" s="45"/>
      <c r="JF573" s="45"/>
      <c r="JG573" s="45"/>
      <c r="JH573" s="45"/>
      <c r="JI573" s="45"/>
      <c r="JJ573" s="45"/>
      <c r="JK573" s="45"/>
      <c r="JL573" s="45"/>
      <c r="JM573" s="45"/>
      <c r="JN573" s="45"/>
      <c r="JO573" s="45"/>
      <c r="JP573" s="45"/>
      <c r="JQ573" s="45"/>
      <c r="JR573" s="45"/>
      <c r="JS573" s="45"/>
      <c r="JT573" s="45"/>
      <c r="JU573" s="45"/>
      <c r="JV573" s="45"/>
      <c r="JW573" s="45"/>
      <c r="JX573" s="45"/>
      <c r="JY573" s="45"/>
      <c r="JZ573" s="45"/>
      <c r="KA573" s="45"/>
      <c r="KB573" s="45"/>
      <c r="KC573" s="45"/>
      <c r="KD573" s="45"/>
      <c r="KE573" s="45"/>
      <c r="KF573" s="45"/>
      <c r="KG573" s="45"/>
      <c r="KH573" s="45"/>
      <c r="KI573" s="45"/>
      <c r="KJ573" s="45"/>
      <c r="KK573" s="45"/>
      <c r="KL573" s="45"/>
      <c r="KM573" s="45"/>
      <c r="KN573" s="45"/>
      <c r="KO573" s="45"/>
      <c r="KP573" s="45"/>
      <c r="KQ573" s="45"/>
      <c r="KR573" s="45"/>
      <c r="KS573" s="45"/>
      <c r="KT573" s="45"/>
      <c r="KU573" s="45"/>
      <c r="KV573" s="45"/>
      <c r="KW573" s="45"/>
      <c r="KX573" s="45"/>
      <c r="KY573" s="45"/>
      <c r="KZ573" s="45"/>
      <c r="LA573" s="45"/>
      <c r="LB573" s="45"/>
      <c r="LC573" s="45"/>
      <c r="LD573" s="45"/>
      <c r="LE573" s="45"/>
      <c r="LF573" s="45"/>
      <c r="LG573" s="45"/>
      <c r="LH573" s="45"/>
      <c r="LI573" s="45"/>
      <c r="LJ573" s="45"/>
      <c r="LK573" s="45"/>
      <c r="LL573" s="45"/>
      <c r="LM573" s="45"/>
      <c r="LN573" s="45"/>
      <c r="LO573" s="45"/>
      <c r="LP573" s="45"/>
      <c r="LQ573" s="45"/>
      <c r="LR573" s="45"/>
      <c r="LS573" s="45"/>
      <c r="LT573" s="45"/>
      <c r="LU573" s="45"/>
      <c r="LV573" s="45"/>
      <c r="LW573" s="45"/>
      <c r="LX573" s="45"/>
      <c r="LY573" s="45"/>
      <c r="LZ573" s="45"/>
      <c r="MA573" s="45"/>
      <c r="MB573" s="45"/>
      <c r="MC573" s="45"/>
      <c r="MD573" s="45"/>
      <c r="ME573" s="45"/>
      <c r="MF573" s="45"/>
      <c r="MG573" s="45"/>
      <c r="MH573" s="45"/>
      <c r="MI573" s="45"/>
      <c r="MJ573" s="45"/>
      <c r="MK573" s="45"/>
      <c r="ML573" s="45"/>
      <c r="MM573" s="45"/>
      <c r="MN573" s="45"/>
      <c r="MO573" s="45"/>
      <c r="MP573" s="45"/>
      <c r="MQ573" s="45"/>
      <c r="MR573" s="45"/>
      <c r="MS573" s="45"/>
      <c r="MT573" s="45"/>
      <c r="MU573" s="45"/>
      <c r="MV573" s="45"/>
      <c r="MW573" s="45"/>
      <c r="MX573" s="45"/>
      <c r="MY573" s="45"/>
      <c r="MZ573" s="45"/>
      <c r="NA573" s="45"/>
      <c r="NB573" s="45"/>
      <c r="NC573" s="45"/>
      <c r="ND573" s="45"/>
      <c r="NE573" s="45"/>
      <c r="NF573" s="45"/>
      <c r="NG573" s="45"/>
      <c r="NH573" s="45"/>
      <c r="NI573" s="45"/>
      <c r="NJ573" s="45"/>
      <c r="NK573" s="45"/>
      <c r="NL573" s="45"/>
      <c r="NM573" s="45"/>
      <c r="NN573" s="45"/>
      <c r="NO573" s="45"/>
      <c r="NP573" s="45"/>
      <c r="NQ573" s="45"/>
      <c r="NR573" s="45"/>
      <c r="NS573" s="45"/>
      <c r="NT573" s="45"/>
      <c r="NU573" s="45"/>
      <c r="NV573" s="45"/>
      <c r="NW573" s="45"/>
      <c r="NX573" s="45"/>
      <c r="NY573" s="45"/>
      <c r="NZ573" s="45"/>
      <c r="OA573" s="45"/>
      <c r="OB573" s="45"/>
      <c r="OC573" s="45"/>
      <c r="OD573" s="45"/>
      <c r="OE573" s="45"/>
      <c r="OF573" s="45"/>
      <c r="OG573" s="45"/>
      <c r="OH573" s="45"/>
      <c r="OI573" s="45"/>
      <c r="OJ573" s="45"/>
      <c r="OK573" s="45"/>
      <c r="OL573" s="45"/>
      <c r="OM573" s="45"/>
      <c r="ON573" s="45"/>
      <c r="OO573" s="45"/>
      <c r="OP573" s="45"/>
      <c r="OQ573" s="45"/>
      <c r="OR573" s="45"/>
      <c r="OS573" s="45"/>
      <c r="OT573" s="45"/>
      <c r="OU573" s="45"/>
      <c r="OV573" s="45"/>
      <c r="OW573" s="45"/>
      <c r="OX573" s="45"/>
      <c r="OY573" s="45"/>
      <c r="OZ573" s="45"/>
      <c r="PA573" s="45"/>
      <c r="PB573" s="45"/>
      <c r="PC573" s="45"/>
      <c r="PD573" s="45"/>
      <c r="PE573" s="45"/>
      <c r="PF573" s="45"/>
      <c r="PG573" s="45"/>
      <c r="PH573" s="45"/>
      <c r="PI573" s="45"/>
      <c r="PJ573" s="45"/>
      <c r="PK573" s="45"/>
      <c r="PL573" s="45"/>
      <c r="PM573" s="45"/>
      <c r="PN573" s="45"/>
      <c r="PO573" s="45"/>
      <c r="PP573" s="45"/>
      <c r="PQ573" s="45"/>
      <c r="PR573" s="45"/>
      <c r="PS573" s="45"/>
      <c r="PT573" s="45"/>
      <c r="PU573" s="45"/>
      <c r="PV573" s="45"/>
      <c r="PW573" s="45"/>
      <c r="PX573" s="45"/>
      <c r="PY573" s="45"/>
      <c r="PZ573" s="45"/>
      <c r="QA573" s="45"/>
      <c r="QB573" s="45"/>
      <c r="QC573" s="45"/>
      <c r="QD573" s="45"/>
      <c r="QE573" s="45"/>
      <c r="QF573" s="45"/>
      <c r="QG573" s="45"/>
      <c r="QH573" s="45"/>
      <c r="QI573" s="45"/>
      <c r="QJ573" s="45"/>
      <c r="QK573" s="45"/>
      <c r="QL573" s="45"/>
      <c r="QM573" s="45"/>
      <c r="QN573" s="45"/>
      <c r="QO573" s="45"/>
      <c r="QP573" s="45"/>
      <c r="QQ573" s="45"/>
      <c r="QR573" s="45"/>
      <c r="QS573" s="45"/>
      <c r="QT573" s="45"/>
      <c r="QU573" s="45"/>
      <c r="QV573" s="45"/>
      <c r="QW573" s="45"/>
      <c r="QX573" s="45"/>
      <c r="QY573" s="45"/>
      <c r="QZ573" s="45"/>
      <c r="RA573" s="45"/>
      <c r="RB573" s="45"/>
      <c r="RC573" s="45"/>
      <c r="RD573" s="45"/>
      <c r="RE573" s="45"/>
      <c r="RF573" s="45"/>
      <c r="RG573" s="45"/>
      <c r="RH573" s="45"/>
      <c r="RI573" s="45"/>
      <c r="RJ573" s="45"/>
      <c r="RK573" s="45"/>
      <c r="RL573" s="45"/>
      <c r="RM573" s="45"/>
      <c r="RN573" s="45"/>
      <c r="RO573" s="45"/>
      <c r="RP573" s="45"/>
      <c r="RQ573" s="45"/>
      <c r="RR573" s="45"/>
      <c r="RS573" s="45"/>
      <c r="RT573" s="45"/>
      <c r="RU573" s="45"/>
      <c r="RV573" s="45"/>
      <c r="RW573" s="45"/>
      <c r="RX573" s="45"/>
      <c r="RY573" s="45"/>
      <c r="RZ573" s="45"/>
      <c r="SA573" s="45"/>
      <c r="SB573" s="45"/>
      <c r="SC573" s="45"/>
      <c r="SD573" s="45"/>
      <c r="SE573" s="45"/>
      <c r="SF573" s="45"/>
      <c r="SG573" s="45"/>
      <c r="SH573" s="45"/>
      <c r="SI573" s="45"/>
      <c r="SJ573" s="45"/>
      <c r="SK573" s="45"/>
      <c r="SL573" s="45"/>
      <c r="SM573" s="45"/>
      <c r="SN573" s="45"/>
      <c r="SO573" s="45"/>
      <c r="SP573" s="45"/>
      <c r="SQ573" s="45"/>
      <c r="SR573" s="45"/>
      <c r="SS573" s="45"/>
      <c r="ST573" s="45"/>
      <c r="SU573" s="45"/>
      <c r="SV573" s="45"/>
      <c r="SW573" s="45"/>
      <c r="SX573" s="45"/>
      <c r="SY573" s="45"/>
      <c r="SZ573" s="45"/>
      <c r="TA573" s="45"/>
      <c r="TB573" s="45"/>
      <c r="TC573" s="45"/>
    </row>
    <row r="574" spans="1:523">
      <c r="A574" s="45">
        <v>85</v>
      </c>
      <c r="B574" s="320" t="s">
        <v>1031</v>
      </c>
      <c r="C574"/>
      <c r="D574"/>
      <c r="E574"/>
      <c r="F574"/>
      <c r="G574"/>
      <c r="H574"/>
      <c r="I574"/>
      <c r="J574"/>
      <c r="K574"/>
      <c r="L574"/>
      <c r="M574"/>
      <c r="N574"/>
      <c r="O574"/>
      <c r="T574"/>
      <c r="U574"/>
      <c r="V574"/>
      <c r="W574"/>
      <c r="X574"/>
      <c r="AA574"/>
      <c r="AB574"/>
      <c r="AC574"/>
      <c r="AD574"/>
      <c r="AE574"/>
      <c r="AF574"/>
      <c r="AG574"/>
      <c r="AH574"/>
      <c r="AI574"/>
      <c r="AJ574"/>
    </row>
    <row r="575" spans="1:523" s="188" customFormat="1">
      <c r="A575" s="45">
        <v>86</v>
      </c>
      <c r="B575" s="320" t="s">
        <v>1030</v>
      </c>
      <c r="C575"/>
      <c r="D575"/>
      <c r="E575"/>
      <c r="F575"/>
      <c r="G575"/>
      <c r="H575"/>
      <c r="I575"/>
      <c r="J575"/>
      <c r="K575"/>
      <c r="L575"/>
      <c r="M575"/>
      <c r="N575"/>
      <c r="O575"/>
      <c r="P575" s="45"/>
      <c r="Q575" s="45"/>
      <c r="R575" s="45"/>
      <c r="S575" s="45"/>
      <c r="T575"/>
      <c r="U575"/>
      <c r="V575"/>
      <c r="W575"/>
      <c r="X575"/>
      <c r="Y575" s="45"/>
      <c r="Z575" s="45"/>
      <c r="AA575"/>
      <c r="AB575"/>
      <c r="AC575"/>
      <c r="AD575"/>
      <c r="AE575"/>
      <c r="AF575"/>
      <c r="AG575"/>
      <c r="AH575"/>
      <c r="AI575"/>
      <c r="AJ575"/>
      <c r="AK575" s="45"/>
      <c r="AL575" s="45"/>
      <c r="AM575" s="45"/>
      <c r="AN575" s="45"/>
      <c r="AO575" s="45"/>
      <c r="AP575" s="45"/>
      <c r="AQ575" s="45"/>
      <c r="AR575" s="45"/>
      <c r="AS575" s="45"/>
      <c r="AT575" s="45"/>
      <c r="AU575" s="45"/>
      <c r="AV575" s="45"/>
      <c r="AW575" s="45"/>
      <c r="AX575" s="45"/>
      <c r="AY575" s="45"/>
      <c r="AZ575" s="45"/>
      <c r="BA575" s="45"/>
      <c r="BB575" s="45"/>
      <c r="BC575" s="45"/>
      <c r="BD575" s="45"/>
      <c r="BE575" s="45"/>
      <c r="BF575" s="45"/>
      <c r="BG575" s="45"/>
      <c r="BH575" s="45"/>
      <c r="BI575" s="45"/>
      <c r="BJ575" s="45"/>
      <c r="BK575" s="45"/>
      <c r="BL575" s="45"/>
      <c r="BM575" s="45"/>
      <c r="BN575" s="45"/>
      <c r="BO575" s="45"/>
      <c r="BP575" s="45"/>
      <c r="BQ575" s="45"/>
      <c r="BR575" s="45"/>
      <c r="BS575" s="45"/>
      <c r="BT575" s="45"/>
      <c r="BU575" s="45"/>
      <c r="BV575" s="45"/>
      <c r="BW575" s="45"/>
      <c r="BX575" s="45"/>
      <c r="BY575" s="45"/>
      <c r="BZ575" s="45"/>
      <c r="CA575" s="45"/>
      <c r="CB575" s="45"/>
      <c r="CC575" s="45"/>
      <c r="CD575" s="45"/>
      <c r="CE575" s="45"/>
      <c r="CF575" s="45"/>
      <c r="CG575" s="45"/>
      <c r="CH575" s="45"/>
      <c r="CI575" s="45"/>
      <c r="CJ575" s="45"/>
      <c r="CK575" s="45"/>
      <c r="CL575" s="45"/>
      <c r="CM575" s="45"/>
      <c r="CN575" s="45"/>
      <c r="CO575" s="45"/>
      <c r="CP575" s="45"/>
      <c r="CQ575" s="45"/>
      <c r="CR575" s="45"/>
      <c r="CS575" s="45"/>
      <c r="CT575" s="45"/>
      <c r="CU575" s="45"/>
      <c r="CV575" s="45"/>
      <c r="CW575" s="45"/>
      <c r="CX575" s="45"/>
      <c r="CY575" s="45"/>
      <c r="CZ575" s="45"/>
      <c r="DA575" s="45"/>
      <c r="DB575" s="45"/>
      <c r="DC575" s="45"/>
      <c r="DD575" s="45"/>
      <c r="DE575" s="45"/>
      <c r="DF575" s="45"/>
      <c r="DG575" s="45"/>
      <c r="DH575" s="45"/>
      <c r="DI575" s="45"/>
      <c r="DJ575" s="45"/>
      <c r="DK575" s="45"/>
      <c r="DL575" s="45"/>
      <c r="DM575" s="45"/>
      <c r="DN575" s="45"/>
      <c r="DO575" s="45"/>
      <c r="DP575" s="45"/>
      <c r="DQ575" s="45"/>
      <c r="DR575" s="45"/>
      <c r="DS575" s="45"/>
      <c r="DT575" s="45"/>
      <c r="DU575" s="45"/>
      <c r="DV575" s="45"/>
      <c r="DW575" s="45"/>
      <c r="DX575" s="45"/>
      <c r="DY575" s="45"/>
      <c r="DZ575" s="45"/>
      <c r="EA575" s="45"/>
      <c r="EB575" s="45"/>
      <c r="EC575" s="45"/>
      <c r="ED575" s="45"/>
      <c r="EE575" s="45"/>
      <c r="EF575" s="45"/>
      <c r="EG575" s="45"/>
      <c r="EH575" s="45"/>
      <c r="EI575" s="45"/>
      <c r="EJ575" s="45"/>
      <c r="EK575" s="45"/>
      <c r="EL575" s="45"/>
      <c r="EM575" s="45"/>
      <c r="EN575" s="45"/>
      <c r="EO575" s="45"/>
      <c r="EP575" s="45"/>
      <c r="EQ575" s="45"/>
      <c r="ER575" s="45"/>
      <c r="ES575" s="45"/>
      <c r="ET575" s="45"/>
      <c r="EU575" s="45"/>
      <c r="EV575" s="45"/>
      <c r="EW575" s="45"/>
      <c r="EX575" s="45"/>
      <c r="EY575" s="45"/>
      <c r="EZ575" s="45"/>
      <c r="FA575" s="45"/>
      <c r="FB575" s="45"/>
      <c r="FC575" s="45"/>
      <c r="FD575" s="45"/>
      <c r="FE575" s="45"/>
      <c r="FF575" s="45"/>
      <c r="FG575" s="45"/>
      <c r="FH575" s="45"/>
      <c r="FI575" s="45"/>
      <c r="FJ575" s="45"/>
      <c r="FK575" s="45"/>
      <c r="FL575" s="45"/>
      <c r="FM575" s="45"/>
      <c r="FN575" s="45"/>
      <c r="FO575" s="45"/>
      <c r="FP575" s="45"/>
      <c r="FQ575" s="45"/>
      <c r="FR575" s="45"/>
      <c r="FS575" s="45"/>
      <c r="FT575" s="45"/>
      <c r="FU575" s="45"/>
      <c r="FV575" s="45"/>
      <c r="FW575" s="45"/>
      <c r="FX575" s="45"/>
      <c r="FY575" s="45"/>
      <c r="FZ575" s="45"/>
      <c r="GA575" s="45"/>
      <c r="GB575" s="45"/>
      <c r="GC575" s="45"/>
      <c r="GD575" s="45"/>
      <c r="GE575" s="45"/>
      <c r="GF575" s="45"/>
      <c r="GG575" s="45"/>
      <c r="GH575" s="45"/>
      <c r="GI575" s="45"/>
      <c r="GJ575" s="45"/>
      <c r="GK575" s="45"/>
      <c r="GL575" s="45"/>
      <c r="GM575" s="45"/>
      <c r="GN575" s="45"/>
      <c r="GO575" s="45"/>
      <c r="GP575" s="45"/>
      <c r="GQ575" s="45"/>
      <c r="GR575" s="45"/>
      <c r="GS575" s="45"/>
      <c r="GT575" s="45"/>
      <c r="GU575" s="45"/>
      <c r="GV575" s="45"/>
      <c r="GW575" s="45"/>
      <c r="GX575" s="45"/>
      <c r="GY575" s="45"/>
      <c r="GZ575" s="45"/>
      <c r="HA575" s="45"/>
      <c r="HB575" s="45"/>
      <c r="HC575" s="45"/>
      <c r="HD575" s="45"/>
      <c r="HE575" s="45"/>
      <c r="HF575" s="45"/>
      <c r="HG575" s="45"/>
      <c r="HH575" s="45"/>
      <c r="HI575" s="45"/>
      <c r="HJ575" s="45"/>
      <c r="HK575" s="45"/>
      <c r="HL575" s="45"/>
      <c r="HM575" s="45"/>
      <c r="HN575" s="45"/>
      <c r="HO575" s="45"/>
      <c r="HP575" s="45"/>
      <c r="HQ575" s="45"/>
      <c r="HR575" s="45"/>
      <c r="HS575" s="45"/>
      <c r="HT575" s="45"/>
      <c r="HU575" s="45"/>
      <c r="HV575" s="45"/>
      <c r="HW575" s="45"/>
      <c r="HX575" s="45"/>
      <c r="HY575" s="45"/>
      <c r="HZ575" s="45"/>
      <c r="IA575" s="45"/>
      <c r="IB575" s="45"/>
      <c r="IC575" s="45"/>
      <c r="ID575" s="45"/>
      <c r="IE575" s="45"/>
      <c r="IF575" s="45"/>
      <c r="IG575" s="45"/>
      <c r="IH575" s="45"/>
      <c r="II575" s="45"/>
      <c r="IJ575" s="45"/>
      <c r="IK575" s="45"/>
      <c r="IL575" s="45"/>
      <c r="IM575" s="45"/>
      <c r="IN575" s="45"/>
      <c r="IO575" s="45"/>
      <c r="IP575" s="45"/>
      <c r="IQ575" s="45"/>
      <c r="IR575" s="45"/>
      <c r="IS575" s="45"/>
      <c r="IT575" s="45"/>
      <c r="IU575" s="45"/>
      <c r="IV575" s="45"/>
      <c r="IW575" s="45"/>
      <c r="IX575" s="45"/>
      <c r="IY575" s="45"/>
      <c r="IZ575" s="45"/>
      <c r="JA575" s="45"/>
      <c r="JB575" s="45"/>
      <c r="JC575" s="45"/>
      <c r="JD575" s="45"/>
      <c r="JE575" s="45"/>
      <c r="JF575" s="45"/>
      <c r="JG575" s="45"/>
      <c r="JH575" s="45"/>
      <c r="JI575" s="45"/>
      <c r="JJ575" s="45"/>
      <c r="JK575" s="45"/>
      <c r="JL575" s="45"/>
      <c r="JM575" s="45"/>
      <c r="JN575" s="45"/>
      <c r="JO575" s="45"/>
      <c r="JP575" s="45"/>
      <c r="JQ575" s="45"/>
      <c r="JR575" s="45"/>
      <c r="JS575" s="45"/>
      <c r="JT575" s="45"/>
      <c r="JU575" s="45"/>
      <c r="JV575" s="45"/>
      <c r="JW575" s="45"/>
      <c r="JX575" s="45"/>
      <c r="JY575" s="45"/>
      <c r="JZ575" s="45"/>
      <c r="KA575" s="45"/>
      <c r="KB575" s="45"/>
      <c r="KC575" s="45"/>
      <c r="KD575" s="45"/>
      <c r="KE575" s="45"/>
      <c r="KF575" s="45"/>
      <c r="KG575" s="45"/>
      <c r="KH575" s="45"/>
      <c r="KI575" s="45"/>
      <c r="KJ575" s="45"/>
      <c r="KK575" s="45"/>
      <c r="KL575" s="45"/>
      <c r="KM575" s="45"/>
      <c r="KN575" s="45"/>
      <c r="KO575" s="45"/>
      <c r="KP575" s="45"/>
      <c r="KQ575" s="45"/>
      <c r="KR575" s="45"/>
      <c r="KS575" s="45"/>
      <c r="KT575" s="45"/>
      <c r="KU575" s="45"/>
      <c r="KV575" s="45"/>
      <c r="KW575" s="45"/>
      <c r="KX575" s="45"/>
      <c r="KY575" s="45"/>
      <c r="KZ575" s="45"/>
      <c r="LA575" s="45"/>
      <c r="LB575" s="45"/>
      <c r="LC575" s="45"/>
      <c r="LD575" s="45"/>
      <c r="LE575" s="45"/>
      <c r="LF575" s="45"/>
      <c r="LG575" s="45"/>
      <c r="LH575" s="45"/>
      <c r="LI575" s="45"/>
      <c r="LJ575" s="45"/>
      <c r="LK575" s="45"/>
      <c r="LL575" s="45"/>
      <c r="LM575" s="45"/>
      <c r="LN575" s="45"/>
      <c r="LO575" s="45"/>
      <c r="LP575" s="45"/>
      <c r="LQ575" s="45"/>
      <c r="LR575" s="45"/>
      <c r="LS575" s="45"/>
      <c r="LT575" s="45"/>
      <c r="LU575" s="45"/>
      <c r="LV575" s="45"/>
      <c r="LW575" s="45"/>
      <c r="LX575" s="45"/>
      <c r="LY575" s="45"/>
      <c r="LZ575" s="45"/>
      <c r="MA575" s="45"/>
      <c r="MB575" s="45"/>
      <c r="MC575" s="45"/>
      <c r="MD575" s="45"/>
      <c r="ME575" s="45"/>
      <c r="MF575" s="45"/>
      <c r="MG575" s="45"/>
      <c r="MH575" s="45"/>
      <c r="MI575" s="45"/>
      <c r="MJ575" s="45"/>
      <c r="MK575" s="45"/>
      <c r="ML575" s="45"/>
      <c r="MM575" s="45"/>
      <c r="MN575" s="45"/>
      <c r="MO575" s="45"/>
      <c r="MP575" s="45"/>
      <c r="MQ575" s="45"/>
      <c r="MR575" s="45"/>
      <c r="MS575" s="45"/>
      <c r="MT575" s="45"/>
      <c r="MU575" s="45"/>
      <c r="MV575" s="45"/>
      <c r="MW575" s="45"/>
      <c r="MX575" s="45"/>
      <c r="MY575" s="45"/>
      <c r="MZ575" s="45"/>
      <c r="NA575" s="45"/>
      <c r="NB575" s="45"/>
      <c r="NC575" s="45"/>
      <c r="ND575" s="45"/>
      <c r="NE575" s="45"/>
      <c r="NF575" s="45"/>
      <c r="NG575" s="45"/>
      <c r="NH575" s="45"/>
      <c r="NI575" s="45"/>
      <c r="NJ575" s="45"/>
      <c r="NK575" s="45"/>
      <c r="NL575" s="45"/>
      <c r="NM575" s="45"/>
      <c r="NN575" s="45"/>
      <c r="NO575" s="45"/>
      <c r="NP575" s="45"/>
      <c r="NQ575" s="45"/>
      <c r="NR575" s="45"/>
      <c r="NS575" s="45"/>
      <c r="NT575" s="45"/>
      <c r="NU575" s="45"/>
      <c r="NV575" s="45"/>
      <c r="NW575" s="45"/>
      <c r="NX575" s="45"/>
      <c r="NY575" s="45"/>
      <c r="NZ575" s="45"/>
      <c r="OA575" s="45"/>
      <c r="OB575" s="45"/>
      <c r="OC575" s="45"/>
      <c r="OD575" s="45"/>
      <c r="OE575" s="45"/>
      <c r="OF575" s="45"/>
      <c r="OG575" s="45"/>
      <c r="OH575" s="45"/>
      <c r="OI575" s="45"/>
      <c r="OJ575" s="45"/>
      <c r="OK575" s="45"/>
      <c r="OL575" s="45"/>
      <c r="OM575" s="45"/>
      <c r="ON575" s="45"/>
      <c r="OO575" s="45"/>
      <c r="OP575" s="45"/>
      <c r="OQ575" s="45"/>
      <c r="OR575" s="45"/>
      <c r="OS575" s="45"/>
      <c r="OT575" s="45"/>
      <c r="OU575" s="45"/>
      <c r="OV575" s="45"/>
      <c r="OW575" s="45"/>
      <c r="OX575" s="45"/>
      <c r="OY575" s="45"/>
      <c r="OZ575" s="45"/>
      <c r="PA575" s="45"/>
      <c r="PB575" s="45"/>
      <c r="PC575" s="45"/>
      <c r="PD575" s="45"/>
      <c r="PE575" s="45"/>
      <c r="PF575" s="45"/>
      <c r="PG575" s="45"/>
      <c r="PH575" s="45"/>
      <c r="PI575" s="45"/>
      <c r="PJ575" s="45"/>
      <c r="PK575" s="45"/>
      <c r="PL575" s="45"/>
      <c r="PM575" s="45"/>
      <c r="PN575" s="45"/>
      <c r="PO575" s="45"/>
      <c r="PP575" s="45"/>
      <c r="PQ575" s="45"/>
      <c r="PR575" s="45"/>
      <c r="PS575" s="45"/>
      <c r="PT575" s="45"/>
      <c r="PU575" s="45"/>
      <c r="PV575" s="45"/>
      <c r="PW575" s="45"/>
      <c r="PX575" s="45"/>
      <c r="PY575" s="45"/>
      <c r="PZ575" s="45"/>
      <c r="QA575" s="45"/>
      <c r="QB575" s="45"/>
      <c r="QC575" s="45"/>
      <c r="QD575" s="45"/>
      <c r="QE575" s="45"/>
      <c r="QF575" s="45"/>
      <c r="QG575" s="45"/>
      <c r="QH575" s="45"/>
      <c r="QI575" s="45"/>
      <c r="QJ575" s="45"/>
      <c r="QK575" s="45"/>
      <c r="QL575" s="45"/>
      <c r="QM575" s="45"/>
      <c r="QN575" s="45"/>
      <c r="QO575" s="45"/>
      <c r="QP575" s="45"/>
      <c r="QQ575" s="45"/>
      <c r="QR575" s="45"/>
      <c r="QS575" s="45"/>
      <c r="QT575" s="45"/>
      <c r="QU575" s="45"/>
      <c r="QV575" s="45"/>
      <c r="QW575" s="45"/>
      <c r="QX575" s="45"/>
      <c r="QY575" s="45"/>
      <c r="QZ575" s="45"/>
      <c r="RA575" s="45"/>
      <c r="RB575" s="45"/>
      <c r="RC575" s="45"/>
      <c r="RD575" s="45"/>
      <c r="RE575" s="45"/>
      <c r="RF575" s="45"/>
      <c r="RG575" s="45"/>
      <c r="RH575" s="45"/>
      <c r="RI575" s="45"/>
      <c r="RJ575" s="45"/>
      <c r="RK575" s="45"/>
      <c r="RL575" s="45"/>
      <c r="RM575" s="45"/>
      <c r="RN575" s="45"/>
      <c r="RO575" s="45"/>
      <c r="RP575" s="45"/>
      <c r="RQ575" s="45"/>
      <c r="RR575" s="45"/>
      <c r="RS575" s="45"/>
      <c r="RT575" s="45"/>
      <c r="RU575" s="45"/>
      <c r="RV575" s="45"/>
      <c r="RW575" s="45"/>
      <c r="RX575" s="45"/>
      <c r="RY575" s="45"/>
      <c r="RZ575" s="45"/>
      <c r="SA575" s="45"/>
      <c r="SB575" s="45"/>
      <c r="SC575" s="45"/>
      <c r="SD575" s="45"/>
      <c r="SE575" s="45"/>
      <c r="SF575" s="45"/>
      <c r="SG575" s="45"/>
      <c r="SH575" s="45"/>
      <c r="SI575" s="45"/>
      <c r="SJ575" s="45"/>
      <c r="SK575" s="45"/>
      <c r="SL575" s="45"/>
      <c r="SM575" s="45"/>
      <c r="SN575" s="45"/>
      <c r="SO575" s="45"/>
      <c r="SP575" s="45"/>
      <c r="SQ575" s="45"/>
      <c r="SR575" s="45"/>
      <c r="SS575" s="45"/>
      <c r="ST575" s="45"/>
      <c r="SU575" s="45"/>
      <c r="SV575" s="45"/>
      <c r="SW575" s="45"/>
      <c r="SX575" s="45"/>
      <c r="SY575" s="45"/>
      <c r="SZ575" s="45"/>
      <c r="TA575" s="45"/>
      <c r="TB575" s="45"/>
      <c r="TC575" s="45"/>
    </row>
    <row r="576" spans="1:523" s="188" customFormat="1">
      <c r="A576" s="72">
        <v>87</v>
      </c>
      <c r="B576" s="320" t="s">
        <v>1029</v>
      </c>
      <c r="C576"/>
      <c r="D576"/>
      <c r="E576"/>
      <c r="F576"/>
      <c r="G576"/>
      <c r="H576"/>
      <c r="I576"/>
      <c r="J576"/>
      <c r="K576"/>
      <c r="L576"/>
      <c r="M576"/>
      <c r="N576"/>
      <c r="O576"/>
      <c r="P576" s="45"/>
      <c r="Q576" s="45"/>
      <c r="R576" s="45"/>
      <c r="S576" s="45"/>
      <c r="T576"/>
      <c r="U576"/>
      <c r="V576"/>
      <c r="W576"/>
      <c r="X576"/>
      <c r="Y576" s="45"/>
      <c r="Z576" s="45"/>
      <c r="AA576"/>
      <c r="AB576"/>
      <c r="AC576"/>
      <c r="AD576"/>
      <c r="AE576"/>
      <c r="AF576"/>
      <c r="AG576"/>
      <c r="AH576"/>
      <c r="AI576"/>
      <c r="AJ576"/>
      <c r="AK576" s="45"/>
      <c r="AL576" s="45"/>
      <c r="AM576" s="45"/>
      <c r="AN576" s="45"/>
      <c r="AO576" s="45"/>
      <c r="AP576" s="45"/>
      <c r="AQ576" s="45"/>
      <c r="AR576" s="45"/>
      <c r="AS576" s="45"/>
      <c r="AT576" s="45"/>
      <c r="AU576" s="45"/>
      <c r="AV576" s="45"/>
      <c r="AW576" s="45"/>
      <c r="AX576" s="45"/>
      <c r="AY576" s="45"/>
      <c r="AZ576" s="45"/>
      <c r="BA576" s="45"/>
      <c r="BB576" s="45"/>
      <c r="BC576" s="45"/>
      <c r="BD576" s="45"/>
      <c r="BE576" s="45"/>
      <c r="BF576" s="45"/>
      <c r="BG576" s="45"/>
      <c r="BH576" s="45"/>
      <c r="BI576" s="45"/>
      <c r="BJ576" s="45"/>
      <c r="BK576" s="45"/>
      <c r="BL576" s="45"/>
      <c r="BM576" s="45"/>
      <c r="BN576" s="45"/>
      <c r="BO576" s="45"/>
      <c r="BP576" s="45"/>
      <c r="BQ576" s="45"/>
      <c r="BR576" s="45"/>
      <c r="BS576" s="45"/>
      <c r="BT576" s="45"/>
      <c r="BU576" s="45"/>
      <c r="BV576" s="45"/>
      <c r="BW576" s="45"/>
      <c r="BX576" s="45"/>
      <c r="BY576" s="45"/>
      <c r="BZ576" s="45"/>
      <c r="CA576" s="45"/>
      <c r="CB576" s="45"/>
      <c r="CC576" s="45"/>
      <c r="CD576" s="45"/>
      <c r="CE576" s="45"/>
      <c r="CF576" s="45"/>
      <c r="CG576" s="45"/>
      <c r="CH576" s="45"/>
      <c r="CI576" s="45"/>
      <c r="CJ576" s="45"/>
      <c r="CK576" s="45"/>
      <c r="CL576" s="45"/>
      <c r="CM576" s="45"/>
      <c r="CN576" s="45"/>
      <c r="CO576" s="45"/>
      <c r="CP576" s="45"/>
      <c r="CQ576" s="45"/>
      <c r="CR576" s="45"/>
      <c r="CS576" s="45"/>
      <c r="CT576" s="45"/>
      <c r="CU576" s="45"/>
      <c r="CV576" s="45"/>
      <c r="CW576" s="45"/>
      <c r="CX576" s="45"/>
      <c r="CY576" s="45"/>
      <c r="CZ576" s="45"/>
      <c r="DA576" s="45"/>
      <c r="DB576" s="45"/>
      <c r="DC576" s="45"/>
      <c r="DD576" s="45"/>
      <c r="DE576" s="45"/>
      <c r="DF576" s="45"/>
      <c r="DG576" s="45"/>
      <c r="DH576" s="45"/>
      <c r="DI576" s="45"/>
      <c r="DJ576" s="45"/>
      <c r="DK576" s="45"/>
      <c r="DL576" s="45"/>
      <c r="DM576" s="45"/>
      <c r="DN576" s="45"/>
      <c r="DO576" s="45"/>
      <c r="DP576" s="45"/>
      <c r="DQ576" s="45"/>
      <c r="DR576" s="45"/>
      <c r="DS576" s="45"/>
      <c r="DT576" s="45"/>
      <c r="DU576" s="45"/>
      <c r="DV576" s="45"/>
      <c r="DW576" s="45"/>
      <c r="DX576" s="45"/>
      <c r="DY576" s="45"/>
      <c r="DZ576" s="45"/>
      <c r="EA576" s="45"/>
      <c r="EB576" s="45"/>
      <c r="EC576" s="45"/>
      <c r="ED576" s="45"/>
      <c r="EE576" s="45"/>
      <c r="EF576" s="45"/>
      <c r="EG576" s="45"/>
      <c r="EH576" s="45"/>
      <c r="EI576" s="45"/>
      <c r="EJ576" s="45"/>
      <c r="EK576" s="45"/>
      <c r="EL576" s="45"/>
      <c r="EM576" s="45"/>
      <c r="EN576" s="45"/>
      <c r="EO576" s="45"/>
      <c r="EP576" s="45"/>
      <c r="EQ576" s="45"/>
      <c r="ER576" s="45"/>
      <c r="ES576" s="45"/>
      <c r="ET576" s="45"/>
      <c r="EU576" s="45"/>
      <c r="EV576" s="45"/>
      <c r="EW576" s="45"/>
      <c r="EX576" s="45"/>
      <c r="EY576" s="45"/>
      <c r="EZ576" s="45"/>
      <c r="FA576" s="45"/>
      <c r="FB576" s="45"/>
      <c r="FC576" s="45"/>
      <c r="FD576" s="45"/>
      <c r="FE576" s="45"/>
      <c r="FF576" s="45"/>
      <c r="FG576" s="45"/>
      <c r="FH576" s="45"/>
      <c r="FI576" s="45"/>
      <c r="FJ576" s="45"/>
      <c r="FK576" s="45"/>
      <c r="FL576" s="45"/>
      <c r="FM576" s="45"/>
      <c r="FN576" s="45"/>
      <c r="FO576" s="45"/>
      <c r="FP576" s="45"/>
      <c r="FQ576" s="45"/>
      <c r="FR576" s="45"/>
      <c r="FS576" s="45"/>
      <c r="FT576" s="45"/>
      <c r="FU576" s="45"/>
      <c r="FV576" s="45"/>
      <c r="FW576" s="45"/>
      <c r="FX576" s="45"/>
      <c r="FY576" s="45"/>
      <c r="FZ576" s="45"/>
      <c r="GA576" s="45"/>
      <c r="GB576" s="45"/>
      <c r="GC576" s="45"/>
      <c r="GD576" s="45"/>
      <c r="GE576" s="45"/>
      <c r="GF576" s="45"/>
      <c r="GG576" s="45"/>
      <c r="GH576" s="45"/>
      <c r="GI576" s="45"/>
      <c r="GJ576" s="45"/>
      <c r="GK576" s="45"/>
      <c r="GL576" s="45"/>
      <c r="GM576" s="45"/>
      <c r="GN576" s="45"/>
      <c r="GO576" s="45"/>
      <c r="GP576" s="45"/>
      <c r="GQ576" s="45"/>
      <c r="GR576" s="45"/>
      <c r="GS576" s="45"/>
      <c r="GT576" s="45"/>
      <c r="GU576" s="45"/>
      <c r="GV576" s="45"/>
      <c r="GW576" s="45"/>
      <c r="GX576" s="45"/>
      <c r="GY576" s="45"/>
      <c r="GZ576" s="45"/>
      <c r="HA576" s="45"/>
      <c r="HB576" s="45"/>
      <c r="HC576" s="45"/>
      <c r="HD576" s="45"/>
      <c r="HE576" s="45"/>
      <c r="HF576" s="45"/>
      <c r="HG576" s="45"/>
      <c r="HH576" s="45"/>
      <c r="HI576" s="45"/>
      <c r="HJ576" s="45"/>
      <c r="HK576" s="45"/>
      <c r="HL576" s="45"/>
      <c r="HM576" s="45"/>
      <c r="HN576" s="45"/>
      <c r="HO576" s="45"/>
      <c r="HP576" s="45"/>
      <c r="HQ576" s="45"/>
      <c r="HR576" s="45"/>
      <c r="HS576" s="45"/>
      <c r="HT576" s="45"/>
      <c r="HU576" s="45"/>
      <c r="HV576" s="45"/>
      <c r="HW576" s="45"/>
      <c r="HX576" s="45"/>
      <c r="HY576" s="45"/>
      <c r="HZ576" s="45"/>
      <c r="IA576" s="45"/>
      <c r="IB576" s="45"/>
      <c r="IC576" s="45"/>
      <c r="ID576" s="45"/>
      <c r="IE576" s="45"/>
      <c r="IF576" s="45"/>
      <c r="IG576" s="45"/>
      <c r="IH576" s="45"/>
      <c r="II576" s="45"/>
      <c r="IJ576" s="45"/>
      <c r="IK576" s="45"/>
      <c r="IL576" s="45"/>
      <c r="IM576" s="45"/>
      <c r="IN576" s="45"/>
      <c r="IO576" s="45"/>
      <c r="IP576" s="45"/>
      <c r="IQ576" s="45"/>
      <c r="IR576" s="45"/>
      <c r="IS576" s="45"/>
      <c r="IT576" s="45"/>
      <c r="IU576" s="45"/>
      <c r="IV576" s="45"/>
      <c r="IW576" s="45"/>
      <c r="IX576" s="45"/>
      <c r="IY576" s="45"/>
      <c r="IZ576" s="45"/>
      <c r="JA576" s="45"/>
      <c r="JB576" s="45"/>
      <c r="JC576" s="45"/>
      <c r="JD576" s="45"/>
      <c r="JE576" s="45"/>
      <c r="JF576" s="45"/>
      <c r="JG576" s="45"/>
      <c r="JH576" s="45"/>
      <c r="JI576" s="45"/>
      <c r="JJ576" s="45"/>
      <c r="JK576" s="45"/>
      <c r="JL576" s="45"/>
      <c r="JM576" s="45"/>
      <c r="JN576" s="45"/>
      <c r="JO576" s="45"/>
      <c r="JP576" s="45"/>
      <c r="JQ576" s="45"/>
      <c r="JR576" s="45"/>
      <c r="JS576" s="45"/>
      <c r="JT576" s="45"/>
      <c r="JU576" s="45"/>
      <c r="JV576" s="45"/>
      <c r="JW576" s="45"/>
      <c r="JX576" s="45"/>
      <c r="JY576" s="45"/>
      <c r="JZ576" s="45"/>
      <c r="KA576" s="45"/>
      <c r="KB576" s="45"/>
      <c r="KC576" s="45"/>
      <c r="KD576" s="45"/>
      <c r="KE576" s="45"/>
      <c r="KF576" s="45"/>
      <c r="KG576" s="45"/>
      <c r="KH576" s="45"/>
      <c r="KI576" s="45"/>
      <c r="KJ576" s="45"/>
      <c r="KK576" s="45"/>
      <c r="KL576" s="45"/>
      <c r="KM576" s="45"/>
      <c r="KN576" s="45"/>
      <c r="KO576" s="45"/>
      <c r="KP576" s="45"/>
      <c r="KQ576" s="45"/>
      <c r="KR576" s="45"/>
      <c r="KS576" s="45"/>
      <c r="KT576" s="45"/>
      <c r="KU576" s="45"/>
      <c r="KV576" s="45"/>
      <c r="KW576" s="45"/>
      <c r="KX576" s="45"/>
      <c r="KY576" s="45"/>
      <c r="KZ576" s="45"/>
      <c r="LA576" s="45"/>
      <c r="LB576" s="45"/>
      <c r="LC576" s="45"/>
      <c r="LD576" s="45"/>
      <c r="LE576" s="45"/>
      <c r="LF576" s="45"/>
      <c r="LG576" s="45"/>
      <c r="LH576" s="45"/>
      <c r="LI576" s="45"/>
      <c r="LJ576" s="45"/>
      <c r="LK576" s="45"/>
      <c r="LL576" s="45"/>
      <c r="LM576" s="45"/>
      <c r="LN576" s="45"/>
      <c r="LO576" s="45"/>
      <c r="LP576" s="45"/>
      <c r="LQ576" s="45"/>
      <c r="LR576" s="45"/>
      <c r="LS576" s="45"/>
      <c r="LT576" s="45"/>
      <c r="LU576" s="45"/>
      <c r="LV576" s="45"/>
      <c r="LW576" s="45"/>
      <c r="LX576" s="45"/>
      <c r="LY576" s="45"/>
      <c r="LZ576" s="45"/>
      <c r="MA576" s="45"/>
      <c r="MB576" s="45"/>
      <c r="MC576" s="45"/>
      <c r="MD576" s="45"/>
      <c r="ME576" s="45"/>
      <c r="MF576" s="45"/>
      <c r="MG576" s="45"/>
      <c r="MH576" s="45"/>
      <c r="MI576" s="45"/>
      <c r="MJ576" s="45"/>
      <c r="MK576" s="45"/>
      <c r="ML576" s="45"/>
      <c r="MM576" s="45"/>
      <c r="MN576" s="45"/>
      <c r="MO576" s="45"/>
      <c r="MP576" s="45"/>
      <c r="MQ576" s="45"/>
      <c r="MR576" s="45"/>
      <c r="MS576" s="45"/>
      <c r="MT576" s="45"/>
      <c r="MU576" s="45"/>
      <c r="MV576" s="45"/>
      <c r="MW576" s="45"/>
      <c r="MX576" s="45"/>
      <c r="MY576" s="45"/>
      <c r="MZ576" s="45"/>
      <c r="NA576" s="45"/>
      <c r="NB576" s="45"/>
      <c r="NC576" s="45"/>
      <c r="ND576" s="45"/>
      <c r="NE576" s="45"/>
      <c r="NF576" s="45"/>
      <c r="NG576" s="45"/>
      <c r="NH576" s="45"/>
      <c r="NI576" s="45"/>
      <c r="NJ576" s="45"/>
      <c r="NK576" s="45"/>
      <c r="NL576" s="45"/>
      <c r="NM576" s="45"/>
      <c r="NN576" s="45"/>
      <c r="NO576" s="45"/>
      <c r="NP576" s="45"/>
      <c r="NQ576" s="45"/>
      <c r="NR576" s="45"/>
      <c r="NS576" s="45"/>
      <c r="NT576" s="45"/>
      <c r="NU576" s="45"/>
      <c r="NV576" s="45"/>
      <c r="NW576" s="45"/>
      <c r="NX576" s="45"/>
      <c r="NY576" s="45"/>
      <c r="NZ576" s="45"/>
      <c r="OA576" s="45"/>
      <c r="OB576" s="45"/>
      <c r="OC576" s="45"/>
      <c r="OD576" s="45"/>
      <c r="OE576" s="45"/>
      <c r="OF576" s="45"/>
      <c r="OG576" s="45"/>
      <c r="OH576" s="45"/>
      <c r="OI576" s="45"/>
      <c r="OJ576" s="45"/>
      <c r="OK576" s="45"/>
      <c r="OL576" s="45"/>
      <c r="OM576" s="45"/>
      <c r="ON576" s="45"/>
      <c r="OO576" s="45"/>
      <c r="OP576" s="45"/>
      <c r="OQ576" s="45"/>
      <c r="OR576" s="45"/>
      <c r="OS576" s="45"/>
      <c r="OT576" s="45"/>
      <c r="OU576" s="45"/>
      <c r="OV576" s="45"/>
      <c r="OW576" s="45"/>
      <c r="OX576" s="45"/>
      <c r="OY576" s="45"/>
      <c r="OZ576" s="45"/>
      <c r="PA576" s="45"/>
      <c r="PB576" s="45"/>
      <c r="PC576" s="45"/>
      <c r="PD576" s="45"/>
      <c r="PE576" s="45"/>
      <c r="PF576" s="45"/>
      <c r="PG576" s="45"/>
      <c r="PH576" s="45"/>
      <c r="PI576" s="45"/>
      <c r="PJ576" s="45"/>
      <c r="PK576" s="45"/>
      <c r="PL576" s="45"/>
      <c r="PM576" s="45"/>
      <c r="PN576" s="45"/>
      <c r="PO576" s="45"/>
      <c r="PP576" s="45"/>
      <c r="PQ576" s="45"/>
      <c r="PR576" s="45"/>
      <c r="PS576" s="45"/>
      <c r="PT576" s="45"/>
      <c r="PU576" s="45"/>
      <c r="PV576" s="45"/>
      <c r="PW576" s="45"/>
      <c r="PX576" s="45"/>
      <c r="PY576" s="45"/>
      <c r="PZ576" s="45"/>
      <c r="QA576" s="45"/>
      <c r="QB576" s="45"/>
      <c r="QC576" s="45"/>
      <c r="QD576" s="45"/>
      <c r="QE576" s="45"/>
      <c r="QF576" s="45"/>
      <c r="QG576" s="45"/>
      <c r="QH576" s="45"/>
      <c r="QI576" s="45"/>
      <c r="QJ576" s="45"/>
      <c r="QK576" s="45"/>
      <c r="QL576" s="45"/>
      <c r="QM576" s="45"/>
      <c r="QN576" s="45"/>
      <c r="QO576" s="45"/>
      <c r="QP576" s="45"/>
      <c r="QQ576" s="45"/>
      <c r="QR576" s="45"/>
      <c r="QS576" s="45"/>
      <c r="QT576" s="45"/>
      <c r="QU576" s="45"/>
      <c r="QV576" s="45"/>
      <c r="QW576" s="45"/>
      <c r="QX576" s="45"/>
      <c r="QY576" s="45"/>
      <c r="QZ576" s="45"/>
      <c r="RA576" s="45"/>
      <c r="RB576" s="45"/>
      <c r="RC576" s="45"/>
      <c r="RD576" s="45"/>
      <c r="RE576" s="45"/>
      <c r="RF576" s="45"/>
      <c r="RG576" s="45"/>
      <c r="RH576" s="45"/>
      <c r="RI576" s="45"/>
      <c r="RJ576" s="45"/>
      <c r="RK576" s="45"/>
      <c r="RL576" s="45"/>
      <c r="RM576" s="45"/>
      <c r="RN576" s="45"/>
      <c r="RO576" s="45"/>
      <c r="RP576" s="45"/>
      <c r="RQ576" s="45"/>
      <c r="RR576" s="45"/>
      <c r="RS576" s="45"/>
      <c r="RT576" s="45"/>
      <c r="RU576" s="45"/>
      <c r="RV576" s="45"/>
      <c r="RW576" s="45"/>
      <c r="RX576" s="45"/>
      <c r="RY576" s="45"/>
      <c r="RZ576" s="45"/>
      <c r="SA576" s="45"/>
      <c r="SB576" s="45"/>
      <c r="SC576" s="45"/>
      <c r="SD576" s="45"/>
      <c r="SE576" s="45"/>
      <c r="SF576" s="45"/>
      <c r="SG576" s="45"/>
      <c r="SH576" s="45"/>
      <c r="SI576" s="45"/>
      <c r="SJ576" s="45"/>
      <c r="SK576" s="45"/>
      <c r="SL576" s="45"/>
      <c r="SM576" s="45"/>
      <c r="SN576" s="45"/>
      <c r="SO576" s="45"/>
      <c r="SP576" s="45"/>
      <c r="SQ576" s="45"/>
      <c r="SR576" s="45"/>
      <c r="SS576" s="45"/>
      <c r="ST576" s="45"/>
      <c r="SU576" s="45"/>
      <c r="SV576" s="45"/>
      <c r="SW576" s="45"/>
      <c r="SX576" s="45"/>
      <c r="SY576" s="45"/>
      <c r="SZ576" s="45"/>
      <c r="TA576" s="45"/>
      <c r="TB576" s="45"/>
      <c r="TC576" s="45"/>
    </row>
    <row r="577" spans="1:523">
      <c r="A577" s="45">
        <v>88</v>
      </c>
      <c r="B577" s="320" t="s">
        <v>1028</v>
      </c>
      <c r="C577"/>
      <c r="D577"/>
      <c r="E577"/>
      <c r="F577"/>
      <c r="G577"/>
      <c r="H577"/>
      <c r="I577"/>
      <c r="J577"/>
      <c r="K577"/>
      <c r="L577"/>
      <c r="M577"/>
      <c r="N577"/>
      <c r="O577"/>
      <c r="T577"/>
      <c r="U577"/>
      <c r="V577"/>
      <c r="W577"/>
      <c r="X577"/>
      <c r="AA577"/>
      <c r="AB577"/>
      <c r="AC577"/>
      <c r="AD577"/>
      <c r="AE577"/>
      <c r="AF577"/>
      <c r="AG577"/>
      <c r="AH577"/>
      <c r="AI577"/>
      <c r="AJ577"/>
    </row>
    <row r="578" spans="1:523" s="188" customFormat="1">
      <c r="A578" s="45">
        <v>89</v>
      </c>
      <c r="B578" s="320" t="s">
        <v>1027</v>
      </c>
      <c r="C578"/>
      <c r="D578"/>
      <c r="E578"/>
      <c r="F578"/>
      <c r="G578"/>
      <c r="H578"/>
      <c r="I578"/>
      <c r="J578"/>
      <c r="K578"/>
      <c r="L578"/>
      <c r="M578"/>
      <c r="N578"/>
      <c r="O578"/>
      <c r="P578" s="45"/>
      <c r="Q578" s="45"/>
      <c r="R578" s="45"/>
      <c r="S578" s="45"/>
      <c r="T578"/>
      <c r="U578"/>
      <c r="V578"/>
      <c r="W578"/>
      <c r="X578"/>
      <c r="Y578" s="45"/>
      <c r="Z578" s="45"/>
      <c r="AA578"/>
      <c r="AB578"/>
      <c r="AC578"/>
      <c r="AD578"/>
      <c r="AE578"/>
      <c r="AF578"/>
      <c r="AG578"/>
      <c r="AH578"/>
      <c r="AI578"/>
      <c r="AJ578"/>
      <c r="AK578" s="45"/>
      <c r="AL578" s="45"/>
      <c r="AM578" s="45"/>
      <c r="AN578" s="45"/>
      <c r="AO578" s="45"/>
      <c r="AP578" s="45"/>
      <c r="AQ578" s="45"/>
      <c r="AR578" s="45"/>
      <c r="AS578" s="45"/>
      <c r="AT578" s="45"/>
      <c r="AU578" s="45"/>
      <c r="AV578" s="45"/>
      <c r="AW578" s="45"/>
      <c r="AX578" s="45"/>
      <c r="AY578" s="45"/>
      <c r="AZ578" s="45"/>
      <c r="BA578" s="45"/>
      <c r="BB578" s="45"/>
      <c r="BC578" s="45"/>
      <c r="BD578" s="45"/>
      <c r="BE578" s="45"/>
      <c r="BF578" s="45"/>
      <c r="BG578" s="45"/>
      <c r="BH578" s="45"/>
      <c r="BI578" s="45"/>
      <c r="BJ578" s="45"/>
      <c r="BK578" s="45"/>
      <c r="BL578" s="45"/>
      <c r="BM578" s="45"/>
      <c r="BN578" s="45"/>
      <c r="BO578" s="45"/>
      <c r="BP578" s="45"/>
      <c r="BQ578" s="45"/>
      <c r="BR578" s="45"/>
      <c r="BS578" s="45"/>
      <c r="BT578" s="45"/>
      <c r="BU578" s="45"/>
      <c r="BV578" s="45"/>
      <c r="BW578" s="45"/>
      <c r="BX578" s="45"/>
      <c r="BY578" s="45"/>
      <c r="BZ578" s="45"/>
      <c r="CA578" s="45"/>
      <c r="CB578" s="45"/>
      <c r="CC578" s="45"/>
      <c r="CD578" s="45"/>
      <c r="CE578" s="45"/>
      <c r="CF578" s="45"/>
      <c r="CG578" s="45"/>
      <c r="CH578" s="45"/>
      <c r="CI578" s="45"/>
      <c r="CJ578" s="45"/>
      <c r="CK578" s="45"/>
      <c r="CL578" s="45"/>
      <c r="CM578" s="45"/>
      <c r="CN578" s="45"/>
      <c r="CO578" s="45"/>
      <c r="CP578" s="45"/>
      <c r="CQ578" s="45"/>
      <c r="CR578" s="45"/>
      <c r="CS578" s="45"/>
      <c r="CT578" s="45"/>
      <c r="CU578" s="45"/>
      <c r="CV578" s="45"/>
      <c r="CW578" s="45"/>
      <c r="CX578" s="45"/>
      <c r="CY578" s="45"/>
      <c r="CZ578" s="45"/>
      <c r="DA578" s="45"/>
      <c r="DB578" s="45"/>
      <c r="DC578" s="45"/>
      <c r="DD578" s="45"/>
      <c r="DE578" s="45"/>
      <c r="DF578" s="45"/>
      <c r="DG578" s="45"/>
      <c r="DH578" s="45"/>
      <c r="DI578" s="45"/>
      <c r="DJ578" s="45"/>
      <c r="DK578" s="45"/>
      <c r="DL578" s="45"/>
      <c r="DM578" s="45"/>
      <c r="DN578" s="45"/>
      <c r="DO578" s="45"/>
      <c r="DP578" s="45"/>
      <c r="DQ578" s="45"/>
      <c r="DR578" s="45"/>
      <c r="DS578" s="45"/>
      <c r="DT578" s="45"/>
      <c r="DU578" s="45"/>
      <c r="DV578" s="45"/>
      <c r="DW578" s="45"/>
      <c r="DX578" s="45"/>
      <c r="DY578" s="45"/>
      <c r="DZ578" s="45"/>
      <c r="EA578" s="45"/>
      <c r="EB578" s="45"/>
      <c r="EC578" s="45"/>
      <c r="ED578" s="45"/>
      <c r="EE578" s="45"/>
      <c r="EF578" s="45"/>
      <c r="EG578" s="45"/>
      <c r="EH578" s="45"/>
      <c r="EI578" s="45"/>
      <c r="EJ578" s="45"/>
      <c r="EK578" s="45"/>
      <c r="EL578" s="45"/>
      <c r="EM578" s="45"/>
      <c r="EN578" s="45"/>
      <c r="EO578" s="45"/>
      <c r="EP578" s="45"/>
      <c r="EQ578" s="45"/>
      <c r="ER578" s="45"/>
      <c r="ES578" s="45"/>
      <c r="ET578" s="45"/>
      <c r="EU578" s="45"/>
      <c r="EV578" s="45"/>
      <c r="EW578" s="45"/>
      <c r="EX578" s="45"/>
      <c r="EY578" s="45"/>
      <c r="EZ578" s="45"/>
      <c r="FA578" s="45"/>
      <c r="FB578" s="45"/>
      <c r="FC578" s="45"/>
      <c r="FD578" s="45"/>
      <c r="FE578" s="45"/>
      <c r="FF578" s="45"/>
      <c r="FG578" s="45"/>
      <c r="FH578" s="45"/>
      <c r="FI578" s="45"/>
      <c r="FJ578" s="45"/>
      <c r="FK578" s="45"/>
      <c r="FL578" s="45"/>
      <c r="FM578" s="45"/>
      <c r="FN578" s="45"/>
      <c r="FO578" s="45"/>
      <c r="FP578" s="45"/>
      <c r="FQ578" s="45"/>
      <c r="FR578" s="45"/>
      <c r="FS578" s="45"/>
      <c r="FT578" s="45"/>
      <c r="FU578" s="45"/>
      <c r="FV578" s="45"/>
      <c r="FW578" s="45"/>
      <c r="FX578" s="45"/>
      <c r="FY578" s="45"/>
      <c r="FZ578" s="45"/>
      <c r="GA578" s="45"/>
      <c r="GB578" s="45"/>
      <c r="GC578" s="45"/>
      <c r="GD578" s="45"/>
      <c r="GE578" s="45"/>
      <c r="GF578" s="45"/>
      <c r="GG578" s="45"/>
      <c r="GH578" s="45"/>
      <c r="GI578" s="45"/>
      <c r="GJ578" s="45"/>
      <c r="GK578" s="45"/>
      <c r="GL578" s="45"/>
      <c r="GM578" s="45"/>
      <c r="GN578" s="45"/>
      <c r="GO578" s="45"/>
      <c r="GP578" s="45"/>
      <c r="GQ578" s="45"/>
      <c r="GR578" s="45"/>
      <c r="GS578" s="45"/>
      <c r="GT578" s="45"/>
      <c r="GU578" s="45"/>
      <c r="GV578" s="45"/>
      <c r="GW578" s="45"/>
      <c r="GX578" s="45"/>
      <c r="GY578" s="45"/>
      <c r="GZ578" s="45"/>
      <c r="HA578" s="45"/>
      <c r="HB578" s="45"/>
      <c r="HC578" s="45"/>
      <c r="HD578" s="45"/>
      <c r="HE578" s="45"/>
      <c r="HF578" s="45"/>
      <c r="HG578" s="45"/>
      <c r="HH578" s="45"/>
      <c r="HI578" s="45"/>
      <c r="HJ578" s="45"/>
      <c r="HK578" s="45"/>
      <c r="HL578" s="45"/>
      <c r="HM578" s="45"/>
      <c r="HN578" s="45"/>
      <c r="HO578" s="45"/>
      <c r="HP578" s="45"/>
      <c r="HQ578" s="45"/>
      <c r="HR578" s="45"/>
      <c r="HS578" s="45"/>
      <c r="HT578" s="45"/>
      <c r="HU578" s="45"/>
      <c r="HV578" s="45"/>
      <c r="HW578" s="45"/>
      <c r="HX578" s="45"/>
      <c r="HY578" s="45"/>
      <c r="HZ578" s="45"/>
      <c r="IA578" s="45"/>
      <c r="IB578" s="45"/>
      <c r="IC578" s="45"/>
      <c r="ID578" s="45"/>
      <c r="IE578" s="45"/>
      <c r="IF578" s="45"/>
      <c r="IG578" s="45"/>
      <c r="IH578" s="45"/>
      <c r="II578" s="45"/>
      <c r="IJ578" s="45"/>
      <c r="IK578" s="45"/>
      <c r="IL578" s="45"/>
      <c r="IM578" s="45"/>
      <c r="IN578" s="45"/>
      <c r="IO578" s="45"/>
      <c r="IP578" s="45"/>
      <c r="IQ578" s="45"/>
      <c r="IR578" s="45"/>
      <c r="IS578" s="45"/>
      <c r="IT578" s="45"/>
      <c r="IU578" s="45"/>
      <c r="IV578" s="45"/>
      <c r="IW578" s="45"/>
      <c r="IX578" s="45"/>
      <c r="IY578" s="45"/>
      <c r="IZ578" s="45"/>
      <c r="JA578" s="45"/>
      <c r="JB578" s="45"/>
      <c r="JC578" s="45"/>
      <c r="JD578" s="45"/>
      <c r="JE578" s="45"/>
      <c r="JF578" s="45"/>
      <c r="JG578" s="45"/>
      <c r="JH578" s="45"/>
      <c r="JI578" s="45"/>
      <c r="JJ578" s="45"/>
      <c r="JK578" s="45"/>
      <c r="JL578" s="45"/>
      <c r="JM578" s="45"/>
      <c r="JN578" s="45"/>
      <c r="JO578" s="45"/>
      <c r="JP578" s="45"/>
      <c r="JQ578" s="45"/>
      <c r="JR578" s="45"/>
      <c r="JS578" s="45"/>
      <c r="JT578" s="45"/>
      <c r="JU578" s="45"/>
      <c r="JV578" s="45"/>
      <c r="JW578" s="45"/>
      <c r="JX578" s="45"/>
      <c r="JY578" s="45"/>
      <c r="JZ578" s="45"/>
      <c r="KA578" s="45"/>
      <c r="KB578" s="45"/>
      <c r="KC578" s="45"/>
      <c r="KD578" s="45"/>
      <c r="KE578" s="45"/>
      <c r="KF578" s="45"/>
      <c r="KG578" s="45"/>
      <c r="KH578" s="45"/>
      <c r="KI578" s="45"/>
      <c r="KJ578" s="45"/>
      <c r="KK578" s="45"/>
      <c r="KL578" s="45"/>
      <c r="KM578" s="45"/>
      <c r="KN578" s="45"/>
      <c r="KO578" s="45"/>
      <c r="KP578" s="45"/>
      <c r="KQ578" s="45"/>
      <c r="KR578" s="45"/>
      <c r="KS578" s="45"/>
      <c r="KT578" s="45"/>
      <c r="KU578" s="45"/>
      <c r="KV578" s="45"/>
      <c r="KW578" s="45"/>
      <c r="KX578" s="45"/>
      <c r="KY578" s="45"/>
      <c r="KZ578" s="45"/>
      <c r="LA578" s="45"/>
      <c r="LB578" s="45"/>
      <c r="LC578" s="45"/>
      <c r="LD578" s="45"/>
      <c r="LE578" s="45"/>
      <c r="LF578" s="45"/>
      <c r="LG578" s="45"/>
      <c r="LH578" s="45"/>
      <c r="LI578" s="45"/>
      <c r="LJ578" s="45"/>
      <c r="LK578" s="45"/>
      <c r="LL578" s="45"/>
      <c r="LM578" s="45"/>
      <c r="LN578" s="45"/>
      <c r="LO578" s="45"/>
      <c r="LP578" s="45"/>
      <c r="LQ578" s="45"/>
      <c r="LR578" s="45"/>
      <c r="LS578" s="45"/>
      <c r="LT578" s="45"/>
      <c r="LU578" s="45"/>
      <c r="LV578" s="45"/>
      <c r="LW578" s="45"/>
      <c r="LX578" s="45"/>
      <c r="LY578" s="45"/>
      <c r="LZ578" s="45"/>
      <c r="MA578" s="45"/>
      <c r="MB578" s="45"/>
      <c r="MC578" s="45"/>
      <c r="MD578" s="45"/>
      <c r="ME578" s="45"/>
      <c r="MF578" s="45"/>
      <c r="MG578" s="45"/>
      <c r="MH578" s="45"/>
      <c r="MI578" s="45"/>
      <c r="MJ578" s="45"/>
      <c r="MK578" s="45"/>
      <c r="ML578" s="45"/>
      <c r="MM578" s="45"/>
      <c r="MN578" s="45"/>
      <c r="MO578" s="45"/>
      <c r="MP578" s="45"/>
      <c r="MQ578" s="45"/>
      <c r="MR578" s="45"/>
      <c r="MS578" s="45"/>
      <c r="MT578" s="45"/>
      <c r="MU578" s="45"/>
      <c r="MV578" s="45"/>
      <c r="MW578" s="45"/>
      <c r="MX578" s="45"/>
      <c r="MY578" s="45"/>
      <c r="MZ578" s="45"/>
      <c r="NA578" s="45"/>
      <c r="NB578" s="45"/>
      <c r="NC578" s="45"/>
      <c r="ND578" s="45"/>
      <c r="NE578" s="45"/>
      <c r="NF578" s="45"/>
      <c r="NG578" s="45"/>
      <c r="NH578" s="45"/>
      <c r="NI578" s="45"/>
      <c r="NJ578" s="45"/>
      <c r="NK578" s="45"/>
      <c r="NL578" s="45"/>
      <c r="NM578" s="45"/>
      <c r="NN578" s="45"/>
      <c r="NO578" s="45"/>
      <c r="NP578" s="45"/>
      <c r="NQ578" s="45"/>
      <c r="NR578" s="45"/>
      <c r="NS578" s="45"/>
      <c r="NT578" s="45"/>
      <c r="NU578" s="45"/>
      <c r="NV578" s="45"/>
      <c r="NW578" s="45"/>
      <c r="NX578" s="45"/>
      <c r="NY578" s="45"/>
      <c r="NZ578" s="45"/>
      <c r="OA578" s="45"/>
      <c r="OB578" s="45"/>
      <c r="OC578" s="45"/>
      <c r="OD578" s="45"/>
      <c r="OE578" s="45"/>
      <c r="OF578" s="45"/>
      <c r="OG578" s="45"/>
      <c r="OH578" s="45"/>
      <c r="OI578" s="45"/>
      <c r="OJ578" s="45"/>
      <c r="OK578" s="45"/>
      <c r="OL578" s="45"/>
      <c r="OM578" s="45"/>
      <c r="ON578" s="45"/>
      <c r="OO578" s="45"/>
      <c r="OP578" s="45"/>
      <c r="OQ578" s="45"/>
      <c r="OR578" s="45"/>
      <c r="OS578" s="45"/>
      <c r="OT578" s="45"/>
      <c r="OU578" s="45"/>
      <c r="OV578" s="45"/>
      <c r="OW578" s="45"/>
      <c r="OX578" s="45"/>
      <c r="OY578" s="45"/>
      <c r="OZ578" s="45"/>
      <c r="PA578" s="45"/>
      <c r="PB578" s="45"/>
      <c r="PC578" s="45"/>
      <c r="PD578" s="45"/>
      <c r="PE578" s="45"/>
      <c r="PF578" s="45"/>
      <c r="PG578" s="45"/>
      <c r="PH578" s="45"/>
      <c r="PI578" s="45"/>
      <c r="PJ578" s="45"/>
      <c r="PK578" s="45"/>
      <c r="PL578" s="45"/>
      <c r="PM578" s="45"/>
      <c r="PN578" s="45"/>
      <c r="PO578" s="45"/>
      <c r="PP578" s="45"/>
      <c r="PQ578" s="45"/>
      <c r="PR578" s="45"/>
      <c r="PS578" s="45"/>
      <c r="PT578" s="45"/>
      <c r="PU578" s="45"/>
      <c r="PV578" s="45"/>
      <c r="PW578" s="45"/>
      <c r="PX578" s="45"/>
      <c r="PY578" s="45"/>
      <c r="PZ578" s="45"/>
      <c r="QA578" s="45"/>
      <c r="QB578" s="45"/>
      <c r="QC578" s="45"/>
      <c r="QD578" s="45"/>
      <c r="QE578" s="45"/>
      <c r="QF578" s="45"/>
      <c r="QG578" s="45"/>
      <c r="QH578" s="45"/>
      <c r="QI578" s="45"/>
      <c r="QJ578" s="45"/>
      <c r="QK578" s="45"/>
      <c r="QL578" s="45"/>
      <c r="QM578" s="45"/>
      <c r="QN578" s="45"/>
      <c r="QO578" s="45"/>
      <c r="QP578" s="45"/>
      <c r="QQ578" s="45"/>
      <c r="QR578" s="45"/>
      <c r="QS578" s="45"/>
      <c r="QT578" s="45"/>
      <c r="QU578" s="45"/>
      <c r="QV578" s="45"/>
      <c r="QW578" s="45"/>
      <c r="QX578" s="45"/>
      <c r="QY578" s="45"/>
      <c r="QZ578" s="45"/>
      <c r="RA578" s="45"/>
      <c r="RB578" s="45"/>
      <c r="RC578" s="45"/>
      <c r="RD578" s="45"/>
      <c r="RE578" s="45"/>
      <c r="RF578" s="45"/>
      <c r="RG578" s="45"/>
      <c r="RH578" s="45"/>
      <c r="RI578" s="45"/>
      <c r="RJ578" s="45"/>
      <c r="RK578" s="45"/>
      <c r="RL578" s="45"/>
      <c r="RM578" s="45"/>
      <c r="RN578" s="45"/>
      <c r="RO578" s="45"/>
      <c r="RP578" s="45"/>
      <c r="RQ578" s="45"/>
      <c r="RR578" s="45"/>
      <c r="RS578" s="45"/>
      <c r="RT578" s="45"/>
      <c r="RU578" s="45"/>
      <c r="RV578" s="45"/>
      <c r="RW578" s="45"/>
      <c r="RX578" s="45"/>
      <c r="RY578" s="45"/>
      <c r="RZ578" s="45"/>
      <c r="SA578" s="45"/>
      <c r="SB578" s="45"/>
      <c r="SC578" s="45"/>
      <c r="SD578" s="45"/>
      <c r="SE578" s="45"/>
      <c r="SF578" s="45"/>
      <c r="SG578" s="45"/>
      <c r="SH578" s="45"/>
      <c r="SI578" s="45"/>
      <c r="SJ578" s="45"/>
      <c r="SK578" s="45"/>
      <c r="SL578" s="45"/>
      <c r="SM578" s="45"/>
      <c r="SN578" s="45"/>
      <c r="SO578" s="45"/>
      <c r="SP578" s="45"/>
      <c r="SQ578" s="45"/>
      <c r="SR578" s="45"/>
      <c r="SS578" s="45"/>
      <c r="ST578" s="45"/>
      <c r="SU578" s="45"/>
      <c r="SV578" s="45"/>
      <c r="SW578" s="45"/>
      <c r="SX578" s="45"/>
      <c r="SY578" s="45"/>
      <c r="SZ578" s="45"/>
      <c r="TA578" s="45"/>
      <c r="TB578" s="45"/>
      <c r="TC578" s="45"/>
    </row>
    <row r="579" spans="1:523">
      <c r="A579" s="45">
        <v>90</v>
      </c>
      <c r="B579" s="320" t="s">
        <v>1026</v>
      </c>
      <c r="C579"/>
      <c r="D579"/>
      <c r="E579"/>
      <c r="F579"/>
      <c r="G579"/>
      <c r="H579"/>
      <c r="I579"/>
      <c r="J579"/>
      <c r="K579"/>
      <c r="L579"/>
      <c r="M579"/>
      <c r="N579"/>
      <c r="O579"/>
      <c r="T579"/>
      <c r="U579"/>
      <c r="V579"/>
      <c r="W579"/>
      <c r="X579"/>
      <c r="AA579"/>
      <c r="AB579"/>
      <c r="AC579"/>
      <c r="AD579"/>
      <c r="AE579"/>
      <c r="AF579"/>
      <c r="AG579"/>
      <c r="AH579"/>
      <c r="AI579"/>
      <c r="AJ579"/>
    </row>
    <row r="580" spans="1:523" s="188" customFormat="1">
      <c r="A580" s="72">
        <v>91</v>
      </c>
      <c r="B580" s="320" t="s">
        <v>1025</v>
      </c>
      <c r="C580"/>
      <c r="D580"/>
      <c r="E580"/>
      <c r="F580"/>
      <c r="G580"/>
      <c r="H580"/>
      <c r="I580"/>
      <c r="J580"/>
      <c r="K580"/>
      <c r="L580"/>
      <c r="M580"/>
      <c r="N580"/>
      <c r="O580"/>
      <c r="P580" s="45"/>
      <c r="Q580" s="45"/>
      <c r="R580" s="45"/>
      <c r="S580" s="45"/>
      <c r="T580"/>
      <c r="U580"/>
      <c r="V580"/>
      <c r="W580"/>
      <c r="X580"/>
      <c r="Y580" s="45"/>
      <c r="Z580" s="45"/>
      <c r="AA580"/>
      <c r="AB580"/>
      <c r="AC580"/>
      <c r="AD580"/>
      <c r="AE580"/>
      <c r="AF580"/>
      <c r="AG580"/>
      <c r="AH580"/>
      <c r="AI580"/>
      <c r="AJ580"/>
      <c r="AK580" s="45"/>
      <c r="AL580" s="45"/>
      <c r="AM580" s="45"/>
      <c r="AN580" s="45"/>
      <c r="AO580" s="45"/>
      <c r="AP580" s="45"/>
      <c r="AQ580" s="45"/>
      <c r="AR580" s="45"/>
      <c r="AS580" s="45"/>
      <c r="AT580" s="45"/>
      <c r="AU580" s="45"/>
      <c r="AV580" s="45"/>
      <c r="AW580" s="45"/>
      <c r="AX580" s="45"/>
      <c r="AY580" s="45"/>
      <c r="AZ580" s="45"/>
      <c r="BA580" s="45"/>
      <c r="BB580" s="45"/>
      <c r="BC580" s="45"/>
      <c r="BD580" s="45"/>
      <c r="BE580" s="45"/>
      <c r="BF580" s="45"/>
      <c r="BG580" s="45"/>
      <c r="BH580" s="45"/>
      <c r="BI580" s="45"/>
      <c r="BJ580" s="45"/>
      <c r="BK580" s="45"/>
      <c r="BL580" s="45"/>
      <c r="BM580" s="45"/>
      <c r="BN580" s="45"/>
      <c r="BO580" s="45"/>
      <c r="BP580" s="45"/>
      <c r="BQ580" s="45"/>
      <c r="BR580" s="45"/>
      <c r="BS580" s="45"/>
      <c r="BT580" s="45"/>
      <c r="BU580" s="45"/>
      <c r="BV580" s="45"/>
      <c r="BW580" s="45"/>
      <c r="BX580" s="45"/>
      <c r="BY580" s="45"/>
      <c r="BZ580" s="45"/>
      <c r="CA580" s="45"/>
      <c r="CB580" s="45"/>
      <c r="CC580" s="45"/>
      <c r="CD580" s="45"/>
      <c r="CE580" s="45"/>
      <c r="CF580" s="45"/>
      <c r="CG580" s="45"/>
      <c r="CH580" s="45"/>
      <c r="CI580" s="45"/>
      <c r="CJ580" s="45"/>
      <c r="CK580" s="45"/>
      <c r="CL580" s="45"/>
      <c r="CM580" s="45"/>
      <c r="CN580" s="45"/>
      <c r="CO580" s="45"/>
      <c r="CP580" s="45"/>
      <c r="CQ580" s="45"/>
      <c r="CR580" s="45"/>
      <c r="CS580" s="45"/>
      <c r="CT580" s="45"/>
      <c r="CU580" s="45"/>
      <c r="CV580" s="45"/>
      <c r="CW580" s="45"/>
      <c r="CX580" s="45"/>
      <c r="CY580" s="45"/>
      <c r="CZ580" s="45"/>
      <c r="DA580" s="45"/>
      <c r="DB580" s="45"/>
      <c r="DC580" s="45"/>
      <c r="DD580" s="45"/>
      <c r="DE580" s="45"/>
      <c r="DF580" s="45"/>
      <c r="DG580" s="45"/>
      <c r="DH580" s="45"/>
      <c r="DI580" s="45"/>
      <c r="DJ580" s="45"/>
      <c r="DK580" s="45"/>
      <c r="DL580" s="45"/>
      <c r="DM580" s="45"/>
      <c r="DN580" s="45"/>
      <c r="DO580" s="45"/>
      <c r="DP580" s="45"/>
      <c r="DQ580" s="45"/>
      <c r="DR580" s="45"/>
      <c r="DS580" s="45"/>
      <c r="DT580" s="45"/>
      <c r="DU580" s="45"/>
      <c r="DV580" s="45"/>
      <c r="DW580" s="45"/>
      <c r="DX580" s="45"/>
      <c r="DY580" s="45"/>
      <c r="DZ580" s="45"/>
      <c r="EA580" s="45"/>
      <c r="EB580" s="45"/>
      <c r="EC580" s="45"/>
      <c r="ED580" s="45"/>
      <c r="EE580" s="45"/>
      <c r="EF580" s="45"/>
      <c r="EG580" s="45"/>
      <c r="EH580" s="45"/>
      <c r="EI580" s="45"/>
      <c r="EJ580" s="45"/>
      <c r="EK580" s="45"/>
      <c r="EL580" s="45"/>
      <c r="EM580" s="45"/>
      <c r="EN580" s="45"/>
      <c r="EO580" s="45"/>
      <c r="EP580" s="45"/>
      <c r="EQ580" s="45"/>
      <c r="ER580" s="45"/>
      <c r="ES580" s="45"/>
      <c r="ET580" s="45"/>
      <c r="EU580" s="45"/>
      <c r="EV580" s="45"/>
      <c r="EW580" s="45"/>
      <c r="EX580" s="45"/>
      <c r="EY580" s="45"/>
      <c r="EZ580" s="45"/>
      <c r="FA580" s="45"/>
      <c r="FB580" s="45"/>
      <c r="FC580" s="45"/>
      <c r="FD580" s="45"/>
      <c r="FE580" s="45"/>
      <c r="FF580" s="45"/>
      <c r="FG580" s="45"/>
      <c r="FH580" s="45"/>
      <c r="FI580" s="45"/>
      <c r="FJ580" s="45"/>
      <c r="FK580" s="45"/>
      <c r="FL580" s="45"/>
      <c r="FM580" s="45"/>
      <c r="FN580" s="45"/>
      <c r="FO580" s="45"/>
      <c r="FP580" s="45"/>
      <c r="FQ580" s="45"/>
      <c r="FR580" s="45"/>
      <c r="FS580" s="45"/>
      <c r="FT580" s="45"/>
      <c r="FU580" s="45"/>
      <c r="FV580" s="45"/>
      <c r="FW580" s="45"/>
      <c r="FX580" s="45"/>
      <c r="FY580" s="45"/>
      <c r="FZ580" s="45"/>
      <c r="GA580" s="45"/>
      <c r="GB580" s="45"/>
      <c r="GC580" s="45"/>
      <c r="GD580" s="45"/>
      <c r="GE580" s="45"/>
      <c r="GF580" s="45"/>
      <c r="GG580" s="45"/>
      <c r="GH580" s="45"/>
      <c r="GI580" s="45"/>
      <c r="GJ580" s="45"/>
      <c r="GK580" s="45"/>
      <c r="GL580" s="45"/>
      <c r="GM580" s="45"/>
      <c r="GN580" s="45"/>
      <c r="GO580" s="45"/>
      <c r="GP580" s="45"/>
      <c r="GQ580" s="45"/>
      <c r="GR580" s="45"/>
      <c r="GS580" s="45"/>
      <c r="GT580" s="45"/>
      <c r="GU580" s="45"/>
      <c r="GV580" s="45"/>
      <c r="GW580" s="45"/>
      <c r="GX580" s="45"/>
      <c r="GY580" s="45"/>
      <c r="GZ580" s="45"/>
      <c r="HA580" s="45"/>
      <c r="HB580" s="45"/>
      <c r="HC580" s="45"/>
      <c r="HD580" s="45"/>
      <c r="HE580" s="45"/>
      <c r="HF580" s="45"/>
      <c r="HG580" s="45"/>
      <c r="HH580" s="45"/>
      <c r="HI580" s="45"/>
      <c r="HJ580" s="45"/>
      <c r="HK580" s="45"/>
      <c r="HL580" s="45"/>
      <c r="HM580" s="45"/>
      <c r="HN580" s="45"/>
      <c r="HO580" s="45"/>
      <c r="HP580" s="45"/>
      <c r="HQ580" s="45"/>
      <c r="HR580" s="45"/>
      <c r="HS580" s="45"/>
      <c r="HT580" s="45"/>
      <c r="HU580" s="45"/>
      <c r="HV580" s="45"/>
      <c r="HW580" s="45"/>
      <c r="HX580" s="45"/>
      <c r="HY580" s="45"/>
      <c r="HZ580" s="45"/>
      <c r="IA580" s="45"/>
      <c r="IB580" s="45"/>
      <c r="IC580" s="45"/>
      <c r="ID580" s="45"/>
      <c r="IE580" s="45"/>
      <c r="IF580" s="45"/>
      <c r="IG580" s="45"/>
      <c r="IH580" s="45"/>
      <c r="II580" s="45"/>
      <c r="IJ580" s="45"/>
      <c r="IK580" s="45"/>
      <c r="IL580" s="45"/>
      <c r="IM580" s="45"/>
      <c r="IN580" s="45"/>
      <c r="IO580" s="45"/>
      <c r="IP580" s="45"/>
      <c r="IQ580" s="45"/>
      <c r="IR580" s="45"/>
      <c r="IS580" s="45"/>
      <c r="IT580" s="45"/>
      <c r="IU580" s="45"/>
      <c r="IV580" s="45"/>
      <c r="IW580" s="45"/>
      <c r="IX580" s="45"/>
      <c r="IY580" s="45"/>
      <c r="IZ580" s="45"/>
      <c r="JA580" s="45"/>
      <c r="JB580" s="45"/>
      <c r="JC580" s="45"/>
      <c r="JD580" s="45"/>
      <c r="JE580" s="45"/>
      <c r="JF580" s="45"/>
      <c r="JG580" s="45"/>
      <c r="JH580" s="45"/>
      <c r="JI580" s="45"/>
      <c r="JJ580" s="45"/>
      <c r="JK580" s="45"/>
      <c r="JL580" s="45"/>
      <c r="JM580" s="45"/>
      <c r="JN580" s="45"/>
      <c r="JO580" s="45"/>
      <c r="JP580" s="45"/>
      <c r="JQ580" s="45"/>
      <c r="JR580" s="45"/>
      <c r="JS580" s="45"/>
      <c r="JT580" s="45"/>
      <c r="JU580" s="45"/>
      <c r="JV580" s="45"/>
      <c r="JW580" s="45"/>
      <c r="JX580" s="45"/>
      <c r="JY580" s="45"/>
      <c r="JZ580" s="45"/>
      <c r="KA580" s="45"/>
      <c r="KB580" s="45"/>
      <c r="KC580" s="45"/>
      <c r="KD580" s="45"/>
      <c r="KE580" s="45"/>
      <c r="KF580" s="45"/>
      <c r="KG580" s="45"/>
      <c r="KH580" s="45"/>
      <c r="KI580" s="45"/>
      <c r="KJ580" s="45"/>
      <c r="KK580" s="45"/>
      <c r="KL580" s="45"/>
      <c r="KM580" s="45"/>
      <c r="KN580" s="45"/>
      <c r="KO580" s="45"/>
      <c r="KP580" s="45"/>
      <c r="KQ580" s="45"/>
      <c r="KR580" s="45"/>
      <c r="KS580" s="45"/>
      <c r="KT580" s="45"/>
      <c r="KU580" s="45"/>
      <c r="KV580" s="45"/>
      <c r="KW580" s="45"/>
      <c r="KX580" s="45"/>
      <c r="KY580" s="45"/>
      <c r="KZ580" s="45"/>
      <c r="LA580" s="45"/>
      <c r="LB580" s="45"/>
      <c r="LC580" s="45"/>
      <c r="LD580" s="45"/>
      <c r="LE580" s="45"/>
      <c r="LF580" s="45"/>
      <c r="LG580" s="45"/>
      <c r="LH580" s="45"/>
      <c r="LI580" s="45"/>
      <c r="LJ580" s="45"/>
      <c r="LK580" s="45"/>
      <c r="LL580" s="45"/>
      <c r="LM580" s="45"/>
      <c r="LN580" s="45"/>
      <c r="LO580" s="45"/>
      <c r="LP580" s="45"/>
      <c r="LQ580" s="45"/>
      <c r="LR580" s="45"/>
      <c r="LS580" s="45"/>
      <c r="LT580" s="45"/>
      <c r="LU580" s="45"/>
      <c r="LV580" s="45"/>
      <c r="LW580" s="45"/>
      <c r="LX580" s="45"/>
      <c r="LY580" s="45"/>
      <c r="LZ580" s="45"/>
      <c r="MA580" s="45"/>
      <c r="MB580" s="45"/>
      <c r="MC580" s="45"/>
      <c r="MD580" s="45"/>
      <c r="ME580" s="45"/>
      <c r="MF580" s="45"/>
      <c r="MG580" s="45"/>
      <c r="MH580" s="45"/>
      <c r="MI580" s="45"/>
      <c r="MJ580" s="45"/>
      <c r="MK580" s="45"/>
      <c r="ML580" s="45"/>
      <c r="MM580" s="45"/>
      <c r="MN580" s="45"/>
      <c r="MO580" s="45"/>
      <c r="MP580" s="45"/>
      <c r="MQ580" s="45"/>
      <c r="MR580" s="45"/>
      <c r="MS580" s="45"/>
      <c r="MT580" s="45"/>
      <c r="MU580" s="45"/>
      <c r="MV580" s="45"/>
      <c r="MW580" s="45"/>
      <c r="MX580" s="45"/>
      <c r="MY580" s="45"/>
      <c r="MZ580" s="45"/>
      <c r="NA580" s="45"/>
      <c r="NB580" s="45"/>
      <c r="NC580" s="45"/>
      <c r="ND580" s="45"/>
      <c r="NE580" s="45"/>
      <c r="NF580" s="45"/>
      <c r="NG580" s="45"/>
      <c r="NH580" s="45"/>
      <c r="NI580" s="45"/>
      <c r="NJ580" s="45"/>
      <c r="NK580" s="45"/>
      <c r="NL580" s="45"/>
      <c r="NM580" s="45"/>
      <c r="NN580" s="45"/>
      <c r="NO580" s="45"/>
      <c r="NP580" s="45"/>
      <c r="NQ580" s="45"/>
      <c r="NR580" s="45"/>
      <c r="NS580" s="45"/>
      <c r="NT580" s="45"/>
      <c r="NU580" s="45"/>
      <c r="NV580" s="45"/>
      <c r="NW580" s="45"/>
      <c r="NX580" s="45"/>
      <c r="NY580" s="45"/>
      <c r="NZ580" s="45"/>
      <c r="OA580" s="45"/>
      <c r="OB580" s="45"/>
      <c r="OC580" s="45"/>
      <c r="OD580" s="45"/>
      <c r="OE580" s="45"/>
      <c r="OF580" s="45"/>
      <c r="OG580" s="45"/>
      <c r="OH580" s="45"/>
      <c r="OI580" s="45"/>
      <c r="OJ580" s="45"/>
      <c r="OK580" s="45"/>
      <c r="OL580" s="45"/>
      <c r="OM580" s="45"/>
      <c r="ON580" s="45"/>
      <c r="OO580" s="45"/>
      <c r="OP580" s="45"/>
      <c r="OQ580" s="45"/>
      <c r="OR580" s="45"/>
      <c r="OS580" s="45"/>
      <c r="OT580" s="45"/>
      <c r="OU580" s="45"/>
      <c r="OV580" s="45"/>
      <c r="OW580" s="45"/>
      <c r="OX580" s="45"/>
      <c r="OY580" s="45"/>
      <c r="OZ580" s="45"/>
      <c r="PA580" s="45"/>
      <c r="PB580" s="45"/>
      <c r="PC580" s="45"/>
      <c r="PD580" s="45"/>
      <c r="PE580" s="45"/>
      <c r="PF580" s="45"/>
      <c r="PG580" s="45"/>
      <c r="PH580" s="45"/>
      <c r="PI580" s="45"/>
      <c r="PJ580" s="45"/>
      <c r="PK580" s="45"/>
      <c r="PL580" s="45"/>
      <c r="PM580" s="45"/>
      <c r="PN580" s="45"/>
      <c r="PO580" s="45"/>
      <c r="PP580" s="45"/>
      <c r="PQ580" s="45"/>
      <c r="PR580" s="45"/>
      <c r="PS580" s="45"/>
      <c r="PT580" s="45"/>
      <c r="PU580" s="45"/>
      <c r="PV580" s="45"/>
      <c r="PW580" s="45"/>
      <c r="PX580" s="45"/>
      <c r="PY580" s="45"/>
      <c r="PZ580" s="45"/>
      <c r="QA580" s="45"/>
      <c r="QB580" s="45"/>
      <c r="QC580" s="45"/>
      <c r="QD580" s="45"/>
      <c r="QE580" s="45"/>
      <c r="QF580" s="45"/>
      <c r="QG580" s="45"/>
      <c r="QH580" s="45"/>
      <c r="QI580" s="45"/>
      <c r="QJ580" s="45"/>
      <c r="QK580" s="45"/>
      <c r="QL580" s="45"/>
      <c r="QM580" s="45"/>
      <c r="QN580" s="45"/>
      <c r="QO580" s="45"/>
      <c r="QP580" s="45"/>
      <c r="QQ580" s="45"/>
      <c r="QR580" s="45"/>
      <c r="QS580" s="45"/>
      <c r="QT580" s="45"/>
      <c r="QU580" s="45"/>
      <c r="QV580" s="45"/>
      <c r="QW580" s="45"/>
      <c r="QX580" s="45"/>
      <c r="QY580" s="45"/>
      <c r="QZ580" s="45"/>
      <c r="RA580" s="45"/>
      <c r="RB580" s="45"/>
      <c r="RC580" s="45"/>
      <c r="RD580" s="45"/>
      <c r="RE580" s="45"/>
      <c r="RF580" s="45"/>
      <c r="RG580" s="45"/>
      <c r="RH580" s="45"/>
      <c r="RI580" s="45"/>
      <c r="RJ580" s="45"/>
      <c r="RK580" s="45"/>
      <c r="RL580" s="45"/>
      <c r="RM580" s="45"/>
      <c r="RN580" s="45"/>
      <c r="RO580" s="45"/>
      <c r="RP580" s="45"/>
      <c r="RQ580" s="45"/>
      <c r="RR580" s="45"/>
      <c r="RS580" s="45"/>
      <c r="RT580" s="45"/>
      <c r="RU580" s="45"/>
      <c r="RV580" s="45"/>
      <c r="RW580" s="45"/>
      <c r="RX580" s="45"/>
      <c r="RY580" s="45"/>
      <c r="RZ580" s="45"/>
      <c r="SA580" s="45"/>
      <c r="SB580" s="45"/>
      <c r="SC580" s="45"/>
      <c r="SD580" s="45"/>
      <c r="SE580" s="45"/>
      <c r="SF580" s="45"/>
      <c r="SG580" s="45"/>
      <c r="SH580" s="45"/>
      <c r="SI580" s="45"/>
      <c r="SJ580" s="45"/>
      <c r="SK580" s="45"/>
      <c r="SL580" s="45"/>
      <c r="SM580" s="45"/>
      <c r="SN580" s="45"/>
      <c r="SO580" s="45"/>
      <c r="SP580" s="45"/>
      <c r="SQ580" s="45"/>
      <c r="SR580" s="45"/>
      <c r="SS580" s="45"/>
      <c r="ST580" s="45"/>
      <c r="SU580" s="45"/>
      <c r="SV580" s="45"/>
      <c r="SW580" s="45"/>
      <c r="SX580" s="45"/>
      <c r="SY580" s="45"/>
      <c r="SZ580" s="45"/>
      <c r="TA580" s="45"/>
      <c r="TB580" s="45"/>
      <c r="TC580" s="45"/>
    </row>
    <row r="581" spans="1:523">
      <c r="A581" s="45">
        <v>92</v>
      </c>
      <c r="B581" s="320" t="s">
        <v>1024</v>
      </c>
      <c r="C581"/>
      <c r="D581"/>
      <c r="E581"/>
      <c r="F581"/>
      <c r="G581"/>
      <c r="H581"/>
      <c r="I581"/>
      <c r="J581"/>
      <c r="K581"/>
      <c r="L581"/>
      <c r="M581"/>
      <c r="N581"/>
      <c r="O581"/>
      <c r="T581"/>
      <c r="U581"/>
      <c r="V581"/>
      <c r="W581"/>
      <c r="X581"/>
      <c r="AA581"/>
      <c r="AB581"/>
      <c r="AC581"/>
      <c r="AD581"/>
      <c r="AE581"/>
      <c r="AF581"/>
      <c r="AG581"/>
      <c r="AH581"/>
      <c r="AI581"/>
      <c r="AJ581"/>
    </row>
    <row r="582" spans="1:523">
      <c r="A582" s="45">
        <v>93</v>
      </c>
      <c r="B582" s="320" t="s">
        <v>1023</v>
      </c>
      <c r="C582"/>
      <c r="D582"/>
      <c r="E582"/>
      <c r="F582"/>
      <c r="G582"/>
      <c r="H582"/>
      <c r="I582"/>
      <c r="J582"/>
      <c r="K582"/>
      <c r="L582"/>
      <c r="M582"/>
      <c r="N582"/>
      <c r="O582"/>
      <c r="T582"/>
      <c r="U582"/>
      <c r="V582"/>
      <c r="W582"/>
      <c r="X582"/>
      <c r="AA582"/>
      <c r="AB582"/>
      <c r="AC582"/>
      <c r="AD582"/>
      <c r="AE582"/>
      <c r="AF582"/>
      <c r="AG582"/>
      <c r="AH582"/>
      <c r="AI582"/>
      <c r="AJ582"/>
    </row>
    <row r="583" spans="1:523" s="188" customFormat="1">
      <c r="A583" s="45">
        <v>94</v>
      </c>
      <c r="B583" s="319" t="s">
        <v>731</v>
      </c>
      <c r="C583"/>
      <c r="D583"/>
      <c r="E583"/>
      <c r="F583"/>
      <c r="G583"/>
      <c r="H583"/>
      <c r="I583"/>
      <c r="J583"/>
      <c r="K583"/>
      <c r="L583"/>
      <c r="M583"/>
      <c r="N583"/>
      <c r="O583"/>
      <c r="P583" s="45"/>
      <c r="Q583" s="45"/>
      <c r="R583" s="45"/>
      <c r="S583" s="45"/>
      <c r="T583"/>
      <c r="U583"/>
      <c r="V583"/>
      <c r="W583"/>
      <c r="X583"/>
      <c r="Y583" s="45"/>
      <c r="Z583" s="45"/>
      <c r="AA583"/>
      <c r="AB583"/>
      <c r="AC583"/>
      <c r="AD583"/>
      <c r="AE583"/>
      <c r="AF583"/>
      <c r="AG583"/>
      <c r="AH583"/>
      <c r="AI583"/>
      <c r="AJ583"/>
      <c r="AK583" s="45"/>
      <c r="AL583" s="45"/>
      <c r="AM583" s="45"/>
      <c r="AN583" s="45"/>
      <c r="AO583" s="45"/>
      <c r="AP583" s="45"/>
      <c r="AQ583" s="45"/>
      <c r="AR583" s="45"/>
      <c r="AS583" s="45"/>
      <c r="AT583" s="45"/>
      <c r="AU583" s="45"/>
      <c r="AV583" s="45"/>
      <c r="AW583" s="45"/>
      <c r="AX583" s="45"/>
      <c r="AY583" s="45"/>
      <c r="AZ583" s="45"/>
      <c r="BA583" s="45"/>
      <c r="BB583" s="45"/>
      <c r="BC583" s="45"/>
      <c r="BD583" s="45"/>
      <c r="BE583" s="45"/>
      <c r="BF583" s="45"/>
      <c r="BG583" s="45"/>
      <c r="BH583" s="45"/>
      <c r="BI583" s="45"/>
      <c r="BJ583" s="45"/>
      <c r="BK583" s="45"/>
      <c r="BL583" s="45"/>
      <c r="BM583" s="45"/>
      <c r="BN583" s="45"/>
      <c r="BO583" s="45"/>
      <c r="BP583" s="45"/>
      <c r="BQ583" s="45"/>
      <c r="BR583" s="45"/>
      <c r="BS583" s="45"/>
      <c r="BT583" s="45"/>
      <c r="BU583" s="45"/>
      <c r="BV583" s="45"/>
      <c r="BW583" s="45"/>
      <c r="BX583" s="45"/>
      <c r="BY583" s="45"/>
      <c r="BZ583" s="45"/>
      <c r="CA583" s="45"/>
      <c r="CB583" s="45"/>
      <c r="CC583" s="45"/>
      <c r="CD583" s="45"/>
      <c r="CE583" s="45"/>
      <c r="CF583" s="45"/>
      <c r="CG583" s="45"/>
      <c r="CH583" s="45"/>
      <c r="CI583" s="45"/>
      <c r="CJ583" s="45"/>
      <c r="CK583" s="45"/>
      <c r="CL583" s="45"/>
      <c r="CM583" s="45"/>
      <c r="CN583" s="45"/>
      <c r="CO583" s="45"/>
      <c r="CP583" s="45"/>
      <c r="CQ583" s="45"/>
      <c r="CR583" s="45"/>
      <c r="CS583" s="45"/>
      <c r="CT583" s="45"/>
      <c r="CU583" s="45"/>
      <c r="CV583" s="45"/>
      <c r="CW583" s="45"/>
      <c r="CX583" s="45"/>
      <c r="CY583" s="45"/>
      <c r="CZ583" s="45"/>
      <c r="DA583" s="45"/>
      <c r="DB583" s="45"/>
      <c r="DC583" s="45"/>
      <c r="DD583" s="45"/>
      <c r="DE583" s="45"/>
      <c r="DF583" s="45"/>
      <c r="DG583" s="45"/>
      <c r="DH583" s="45"/>
      <c r="DI583" s="45"/>
      <c r="DJ583" s="45"/>
      <c r="DK583" s="45"/>
      <c r="DL583" s="45"/>
      <c r="DM583" s="45"/>
      <c r="DN583" s="45"/>
      <c r="DO583" s="45"/>
      <c r="DP583" s="45"/>
      <c r="DQ583" s="45"/>
      <c r="DR583" s="45"/>
      <c r="DS583" s="45"/>
      <c r="DT583" s="45"/>
      <c r="DU583" s="45"/>
      <c r="DV583" s="45"/>
      <c r="DW583" s="45"/>
      <c r="DX583" s="45"/>
      <c r="DY583" s="45"/>
      <c r="DZ583" s="45"/>
      <c r="EA583" s="45"/>
      <c r="EB583" s="45"/>
      <c r="EC583" s="45"/>
      <c r="ED583" s="45"/>
      <c r="EE583" s="45"/>
      <c r="EF583" s="45"/>
      <c r="EG583" s="45"/>
      <c r="EH583" s="45"/>
      <c r="EI583" s="45"/>
      <c r="EJ583" s="45"/>
      <c r="EK583" s="45"/>
      <c r="EL583" s="45"/>
      <c r="EM583" s="45"/>
      <c r="EN583" s="45"/>
      <c r="EO583" s="45"/>
      <c r="EP583" s="45"/>
      <c r="EQ583" s="45"/>
      <c r="ER583" s="45"/>
      <c r="ES583" s="45"/>
      <c r="ET583" s="45"/>
      <c r="EU583" s="45"/>
      <c r="EV583" s="45"/>
      <c r="EW583" s="45"/>
      <c r="EX583" s="45"/>
      <c r="EY583" s="45"/>
      <c r="EZ583" s="45"/>
      <c r="FA583" s="45"/>
      <c r="FB583" s="45"/>
      <c r="FC583" s="45"/>
      <c r="FD583" s="45"/>
      <c r="FE583" s="45"/>
      <c r="FF583" s="45"/>
      <c r="FG583" s="45"/>
      <c r="FH583" s="45"/>
      <c r="FI583" s="45"/>
      <c r="FJ583" s="45"/>
      <c r="FK583" s="45"/>
      <c r="FL583" s="45"/>
      <c r="FM583" s="45"/>
      <c r="FN583" s="45"/>
      <c r="FO583" s="45"/>
      <c r="FP583" s="45"/>
      <c r="FQ583" s="45"/>
      <c r="FR583" s="45"/>
      <c r="FS583" s="45"/>
      <c r="FT583" s="45"/>
      <c r="FU583" s="45"/>
      <c r="FV583" s="45"/>
      <c r="FW583" s="45"/>
      <c r="FX583" s="45"/>
      <c r="FY583" s="45"/>
      <c r="FZ583" s="45"/>
      <c r="GA583" s="45"/>
      <c r="GB583" s="45"/>
      <c r="GC583" s="45"/>
      <c r="GD583" s="45"/>
      <c r="GE583" s="45"/>
      <c r="GF583" s="45"/>
      <c r="GG583" s="45"/>
      <c r="GH583" s="45"/>
      <c r="GI583" s="45"/>
      <c r="GJ583" s="45"/>
      <c r="GK583" s="45"/>
      <c r="GL583" s="45"/>
      <c r="GM583" s="45"/>
      <c r="GN583" s="45"/>
      <c r="GO583" s="45"/>
      <c r="GP583" s="45"/>
      <c r="GQ583" s="45"/>
      <c r="GR583" s="45"/>
      <c r="GS583" s="45"/>
      <c r="GT583" s="45"/>
      <c r="GU583" s="45"/>
      <c r="GV583" s="45"/>
      <c r="GW583" s="45"/>
      <c r="GX583" s="45"/>
      <c r="GY583" s="45"/>
      <c r="GZ583" s="45"/>
      <c r="HA583" s="45"/>
      <c r="HB583" s="45"/>
      <c r="HC583" s="45"/>
      <c r="HD583" s="45"/>
      <c r="HE583" s="45"/>
      <c r="HF583" s="45"/>
      <c r="HG583" s="45"/>
      <c r="HH583" s="45"/>
      <c r="HI583" s="45"/>
      <c r="HJ583" s="45"/>
      <c r="HK583" s="45"/>
      <c r="HL583" s="45"/>
      <c r="HM583" s="45"/>
      <c r="HN583" s="45"/>
      <c r="HO583" s="45"/>
      <c r="HP583" s="45"/>
      <c r="HQ583" s="45"/>
      <c r="HR583" s="45"/>
      <c r="HS583" s="45"/>
      <c r="HT583" s="45"/>
      <c r="HU583" s="45"/>
      <c r="HV583" s="45"/>
      <c r="HW583" s="45"/>
      <c r="HX583" s="45"/>
      <c r="HY583" s="45"/>
      <c r="HZ583" s="45"/>
      <c r="IA583" s="45"/>
      <c r="IB583" s="45"/>
      <c r="IC583" s="45"/>
      <c r="ID583" s="45"/>
      <c r="IE583" s="45"/>
      <c r="IF583" s="45"/>
      <c r="IG583" s="45"/>
      <c r="IH583" s="45"/>
      <c r="II583" s="45"/>
      <c r="IJ583" s="45"/>
      <c r="IK583" s="45"/>
      <c r="IL583" s="45"/>
      <c r="IM583" s="45"/>
      <c r="IN583" s="45"/>
      <c r="IO583" s="45"/>
      <c r="IP583" s="45"/>
      <c r="IQ583" s="45"/>
      <c r="IR583" s="45"/>
      <c r="IS583" s="45"/>
      <c r="IT583" s="45"/>
      <c r="IU583" s="45"/>
      <c r="IV583" s="45"/>
      <c r="IW583" s="45"/>
      <c r="IX583" s="45"/>
      <c r="IY583" s="45"/>
      <c r="IZ583" s="45"/>
      <c r="JA583" s="45"/>
      <c r="JB583" s="45"/>
      <c r="JC583" s="45"/>
      <c r="JD583" s="45"/>
      <c r="JE583" s="45"/>
      <c r="JF583" s="45"/>
      <c r="JG583" s="45"/>
      <c r="JH583" s="45"/>
      <c r="JI583" s="45"/>
      <c r="JJ583" s="45"/>
      <c r="JK583" s="45"/>
      <c r="JL583" s="45"/>
      <c r="JM583" s="45"/>
      <c r="JN583" s="45"/>
      <c r="JO583" s="45"/>
      <c r="JP583" s="45"/>
      <c r="JQ583" s="45"/>
      <c r="JR583" s="45"/>
      <c r="JS583" s="45"/>
      <c r="JT583" s="45"/>
      <c r="JU583" s="45"/>
      <c r="JV583" s="45"/>
      <c r="JW583" s="45"/>
      <c r="JX583" s="45"/>
      <c r="JY583" s="45"/>
      <c r="JZ583" s="45"/>
      <c r="KA583" s="45"/>
      <c r="KB583" s="45"/>
      <c r="KC583" s="45"/>
      <c r="KD583" s="45"/>
      <c r="KE583" s="45"/>
      <c r="KF583" s="45"/>
      <c r="KG583" s="45"/>
      <c r="KH583" s="45"/>
      <c r="KI583" s="45"/>
      <c r="KJ583" s="45"/>
      <c r="KK583" s="45"/>
      <c r="KL583" s="45"/>
      <c r="KM583" s="45"/>
      <c r="KN583" s="45"/>
      <c r="KO583" s="45"/>
      <c r="KP583" s="45"/>
      <c r="KQ583" s="45"/>
      <c r="KR583" s="45"/>
      <c r="KS583" s="45"/>
      <c r="KT583" s="45"/>
      <c r="KU583" s="45"/>
      <c r="KV583" s="45"/>
      <c r="KW583" s="45"/>
      <c r="KX583" s="45"/>
      <c r="KY583" s="45"/>
      <c r="KZ583" s="45"/>
      <c r="LA583" s="45"/>
      <c r="LB583" s="45"/>
      <c r="LC583" s="45"/>
      <c r="LD583" s="45"/>
      <c r="LE583" s="45"/>
      <c r="LF583" s="45"/>
      <c r="LG583" s="45"/>
      <c r="LH583" s="45"/>
      <c r="LI583" s="45"/>
      <c r="LJ583" s="45"/>
      <c r="LK583" s="45"/>
      <c r="LL583" s="45"/>
      <c r="LM583" s="45"/>
      <c r="LN583" s="45"/>
      <c r="LO583" s="45"/>
      <c r="LP583" s="45"/>
      <c r="LQ583" s="45"/>
      <c r="LR583" s="45"/>
      <c r="LS583" s="45"/>
      <c r="LT583" s="45"/>
      <c r="LU583" s="45"/>
      <c r="LV583" s="45"/>
      <c r="LW583" s="45"/>
      <c r="LX583" s="45"/>
      <c r="LY583" s="45"/>
      <c r="LZ583" s="45"/>
      <c r="MA583" s="45"/>
      <c r="MB583" s="45"/>
      <c r="MC583" s="45"/>
      <c r="MD583" s="45"/>
      <c r="ME583" s="45"/>
      <c r="MF583" s="45"/>
      <c r="MG583" s="45"/>
      <c r="MH583" s="45"/>
      <c r="MI583" s="45"/>
      <c r="MJ583" s="45"/>
      <c r="MK583" s="45"/>
      <c r="ML583" s="45"/>
      <c r="MM583" s="45"/>
      <c r="MN583" s="45"/>
      <c r="MO583" s="45"/>
      <c r="MP583" s="45"/>
      <c r="MQ583" s="45"/>
      <c r="MR583" s="45"/>
      <c r="MS583" s="45"/>
      <c r="MT583" s="45"/>
      <c r="MU583" s="45"/>
      <c r="MV583" s="45"/>
      <c r="MW583" s="45"/>
      <c r="MX583" s="45"/>
      <c r="MY583" s="45"/>
      <c r="MZ583" s="45"/>
      <c r="NA583" s="45"/>
      <c r="NB583" s="45"/>
      <c r="NC583" s="45"/>
      <c r="ND583" s="45"/>
      <c r="NE583" s="45"/>
      <c r="NF583" s="45"/>
      <c r="NG583" s="45"/>
      <c r="NH583" s="45"/>
      <c r="NI583" s="45"/>
      <c r="NJ583" s="45"/>
      <c r="NK583" s="45"/>
      <c r="NL583" s="45"/>
      <c r="NM583" s="45"/>
      <c r="NN583" s="45"/>
      <c r="NO583" s="45"/>
      <c r="NP583" s="45"/>
      <c r="NQ583" s="45"/>
      <c r="NR583" s="45"/>
      <c r="NS583" s="45"/>
      <c r="NT583" s="45"/>
      <c r="NU583" s="45"/>
      <c r="NV583" s="45"/>
      <c r="NW583" s="45"/>
      <c r="NX583" s="45"/>
      <c r="NY583" s="45"/>
      <c r="NZ583" s="45"/>
      <c r="OA583" s="45"/>
      <c r="OB583" s="45"/>
      <c r="OC583" s="45"/>
      <c r="OD583" s="45"/>
      <c r="OE583" s="45"/>
      <c r="OF583" s="45"/>
      <c r="OG583" s="45"/>
      <c r="OH583" s="45"/>
      <c r="OI583" s="45"/>
      <c r="OJ583" s="45"/>
      <c r="OK583" s="45"/>
      <c r="OL583" s="45"/>
      <c r="OM583" s="45"/>
      <c r="ON583" s="45"/>
      <c r="OO583" s="45"/>
      <c r="OP583" s="45"/>
      <c r="OQ583" s="45"/>
      <c r="OR583" s="45"/>
      <c r="OS583" s="45"/>
      <c r="OT583" s="45"/>
      <c r="OU583" s="45"/>
      <c r="OV583" s="45"/>
      <c r="OW583" s="45"/>
      <c r="OX583" s="45"/>
      <c r="OY583" s="45"/>
      <c r="OZ583" s="45"/>
      <c r="PA583" s="45"/>
      <c r="PB583" s="45"/>
      <c r="PC583" s="45"/>
      <c r="PD583" s="45"/>
      <c r="PE583" s="45"/>
      <c r="PF583" s="45"/>
      <c r="PG583" s="45"/>
      <c r="PH583" s="45"/>
      <c r="PI583" s="45"/>
      <c r="PJ583" s="45"/>
      <c r="PK583" s="45"/>
      <c r="PL583" s="45"/>
      <c r="PM583" s="45"/>
      <c r="PN583" s="45"/>
      <c r="PO583" s="45"/>
      <c r="PP583" s="45"/>
      <c r="PQ583" s="45"/>
      <c r="PR583" s="45"/>
      <c r="PS583" s="45"/>
      <c r="PT583" s="45"/>
      <c r="PU583" s="45"/>
      <c r="PV583" s="45"/>
      <c r="PW583" s="45"/>
      <c r="PX583" s="45"/>
      <c r="PY583" s="45"/>
      <c r="PZ583" s="45"/>
      <c r="QA583" s="45"/>
      <c r="QB583" s="45"/>
      <c r="QC583" s="45"/>
      <c r="QD583" s="45"/>
      <c r="QE583" s="45"/>
      <c r="QF583" s="45"/>
      <c r="QG583" s="45"/>
      <c r="QH583" s="45"/>
      <c r="QI583" s="45"/>
      <c r="QJ583" s="45"/>
      <c r="QK583" s="45"/>
      <c r="QL583" s="45"/>
      <c r="QM583" s="45"/>
      <c r="QN583" s="45"/>
      <c r="QO583" s="45"/>
      <c r="QP583" s="45"/>
      <c r="QQ583" s="45"/>
      <c r="QR583" s="45"/>
      <c r="QS583" s="45"/>
      <c r="QT583" s="45"/>
      <c r="QU583" s="45"/>
      <c r="QV583" s="45"/>
      <c r="QW583" s="45"/>
      <c r="QX583" s="45"/>
      <c r="QY583" s="45"/>
      <c r="QZ583" s="45"/>
      <c r="RA583" s="45"/>
      <c r="RB583" s="45"/>
      <c r="RC583" s="45"/>
      <c r="RD583" s="45"/>
      <c r="RE583" s="45"/>
      <c r="RF583" s="45"/>
      <c r="RG583" s="45"/>
      <c r="RH583" s="45"/>
      <c r="RI583" s="45"/>
      <c r="RJ583" s="45"/>
      <c r="RK583" s="45"/>
      <c r="RL583" s="45"/>
      <c r="RM583" s="45"/>
      <c r="RN583" s="45"/>
      <c r="RO583" s="45"/>
      <c r="RP583" s="45"/>
      <c r="RQ583" s="45"/>
      <c r="RR583" s="45"/>
      <c r="RS583" s="45"/>
      <c r="RT583" s="45"/>
      <c r="RU583" s="45"/>
      <c r="RV583" s="45"/>
      <c r="RW583" s="45"/>
      <c r="RX583" s="45"/>
      <c r="RY583" s="45"/>
      <c r="RZ583" s="45"/>
      <c r="SA583" s="45"/>
      <c r="SB583" s="45"/>
      <c r="SC583" s="45"/>
      <c r="SD583" s="45"/>
      <c r="SE583" s="45"/>
      <c r="SF583" s="45"/>
      <c r="SG583" s="45"/>
      <c r="SH583" s="45"/>
      <c r="SI583" s="45"/>
      <c r="SJ583" s="45"/>
      <c r="SK583" s="45"/>
      <c r="SL583" s="45"/>
      <c r="SM583" s="45"/>
      <c r="SN583" s="45"/>
      <c r="SO583" s="45"/>
      <c r="SP583" s="45"/>
      <c r="SQ583" s="45"/>
      <c r="SR583" s="45"/>
      <c r="SS583" s="45"/>
      <c r="ST583" s="45"/>
      <c r="SU583" s="45"/>
      <c r="SV583" s="45"/>
      <c r="SW583" s="45"/>
      <c r="SX583" s="45"/>
      <c r="SY583" s="45"/>
      <c r="SZ583" s="45"/>
      <c r="TA583" s="45"/>
      <c r="TB583" s="45"/>
      <c r="TC583" s="45"/>
    </row>
    <row r="584" spans="1:523" s="188" customFormat="1">
      <c r="A584" s="72">
        <v>95</v>
      </c>
      <c r="B584" s="320" t="s">
        <v>1022</v>
      </c>
      <c r="C584"/>
      <c r="D584"/>
      <c r="E584"/>
      <c r="F584"/>
      <c r="G584"/>
      <c r="H584"/>
      <c r="I584"/>
      <c r="J584"/>
      <c r="K584"/>
      <c r="L584"/>
      <c r="M584"/>
      <c r="N584"/>
      <c r="O584"/>
      <c r="P584" s="45"/>
      <c r="Q584" s="45"/>
      <c r="R584" s="45"/>
      <c r="S584" s="45"/>
      <c r="T584"/>
      <c r="U584"/>
      <c r="V584"/>
      <c r="W584"/>
      <c r="X584"/>
      <c r="Y584" s="45"/>
      <c r="Z584" s="45"/>
      <c r="AA584"/>
      <c r="AB584"/>
      <c r="AC584"/>
      <c r="AD584"/>
      <c r="AE584"/>
      <c r="AF584"/>
      <c r="AG584"/>
      <c r="AH584"/>
      <c r="AI584"/>
      <c r="AJ584"/>
      <c r="AK584" s="45"/>
      <c r="AL584" s="45"/>
      <c r="AM584" s="45"/>
      <c r="AN584" s="45"/>
      <c r="AO584" s="45"/>
      <c r="AP584" s="45"/>
      <c r="AQ584" s="45"/>
      <c r="AR584" s="45"/>
      <c r="AS584" s="45"/>
      <c r="AT584" s="45"/>
      <c r="AU584" s="45"/>
      <c r="AV584" s="45"/>
      <c r="AW584" s="45"/>
      <c r="AX584" s="45"/>
      <c r="AY584" s="45"/>
      <c r="AZ584" s="45"/>
      <c r="BA584" s="45"/>
      <c r="BB584" s="45"/>
      <c r="BC584" s="45"/>
      <c r="BD584" s="45"/>
      <c r="BE584" s="45"/>
      <c r="BF584" s="45"/>
      <c r="BG584" s="45"/>
      <c r="BH584" s="45"/>
      <c r="BI584" s="45"/>
      <c r="BJ584" s="45"/>
      <c r="BK584" s="45"/>
      <c r="BL584" s="45"/>
      <c r="BM584" s="45"/>
      <c r="BN584" s="45"/>
      <c r="BO584" s="45"/>
      <c r="BP584" s="45"/>
      <c r="BQ584" s="45"/>
      <c r="BR584" s="45"/>
      <c r="BS584" s="45"/>
      <c r="BT584" s="45"/>
      <c r="BU584" s="45"/>
      <c r="BV584" s="45"/>
      <c r="BW584" s="45"/>
      <c r="BX584" s="45"/>
      <c r="BY584" s="45"/>
      <c r="BZ584" s="45"/>
      <c r="CA584" s="45"/>
      <c r="CB584" s="45"/>
      <c r="CC584" s="45"/>
      <c r="CD584" s="45"/>
      <c r="CE584" s="45"/>
      <c r="CF584" s="45"/>
      <c r="CG584" s="45"/>
      <c r="CH584" s="45"/>
      <c r="CI584" s="45"/>
      <c r="CJ584" s="45"/>
      <c r="CK584" s="45"/>
      <c r="CL584" s="45"/>
      <c r="CM584" s="45"/>
      <c r="CN584" s="45"/>
      <c r="CO584" s="45"/>
      <c r="CP584" s="45"/>
      <c r="CQ584" s="45"/>
      <c r="CR584" s="45"/>
      <c r="CS584" s="45"/>
      <c r="CT584" s="45"/>
      <c r="CU584" s="45"/>
      <c r="CV584" s="45"/>
      <c r="CW584" s="45"/>
      <c r="CX584" s="45"/>
      <c r="CY584" s="45"/>
      <c r="CZ584" s="45"/>
      <c r="DA584" s="45"/>
      <c r="DB584" s="45"/>
      <c r="DC584" s="45"/>
      <c r="DD584" s="45"/>
      <c r="DE584" s="45"/>
      <c r="DF584" s="45"/>
      <c r="DG584" s="45"/>
      <c r="DH584" s="45"/>
      <c r="DI584" s="45"/>
      <c r="DJ584" s="45"/>
      <c r="DK584" s="45"/>
      <c r="DL584" s="45"/>
      <c r="DM584" s="45"/>
      <c r="DN584" s="45"/>
      <c r="DO584" s="45"/>
      <c r="DP584" s="45"/>
      <c r="DQ584" s="45"/>
      <c r="DR584" s="45"/>
      <c r="DS584" s="45"/>
      <c r="DT584" s="45"/>
      <c r="DU584" s="45"/>
      <c r="DV584" s="45"/>
      <c r="DW584" s="45"/>
      <c r="DX584" s="45"/>
      <c r="DY584" s="45"/>
      <c r="DZ584" s="45"/>
      <c r="EA584" s="45"/>
      <c r="EB584" s="45"/>
      <c r="EC584" s="45"/>
      <c r="ED584" s="45"/>
      <c r="EE584" s="45"/>
      <c r="EF584" s="45"/>
      <c r="EG584" s="45"/>
      <c r="EH584" s="45"/>
      <c r="EI584" s="45"/>
      <c r="EJ584" s="45"/>
      <c r="EK584" s="45"/>
      <c r="EL584" s="45"/>
      <c r="EM584" s="45"/>
      <c r="EN584" s="45"/>
      <c r="EO584" s="45"/>
      <c r="EP584" s="45"/>
      <c r="EQ584" s="45"/>
      <c r="ER584" s="45"/>
      <c r="ES584" s="45"/>
      <c r="ET584" s="45"/>
      <c r="EU584" s="45"/>
      <c r="EV584" s="45"/>
      <c r="EW584" s="45"/>
      <c r="EX584" s="45"/>
      <c r="EY584" s="45"/>
      <c r="EZ584" s="45"/>
      <c r="FA584" s="45"/>
      <c r="FB584" s="45"/>
      <c r="FC584" s="45"/>
      <c r="FD584" s="45"/>
      <c r="FE584" s="45"/>
      <c r="FF584" s="45"/>
      <c r="FG584" s="45"/>
      <c r="FH584" s="45"/>
      <c r="FI584" s="45"/>
      <c r="FJ584" s="45"/>
      <c r="FK584" s="45"/>
      <c r="FL584" s="45"/>
      <c r="FM584" s="45"/>
      <c r="FN584" s="45"/>
      <c r="FO584" s="45"/>
      <c r="FP584" s="45"/>
      <c r="FQ584" s="45"/>
      <c r="FR584" s="45"/>
      <c r="FS584" s="45"/>
      <c r="FT584" s="45"/>
      <c r="FU584" s="45"/>
      <c r="FV584" s="45"/>
      <c r="FW584" s="45"/>
      <c r="FX584" s="45"/>
      <c r="FY584" s="45"/>
      <c r="FZ584" s="45"/>
      <c r="GA584" s="45"/>
      <c r="GB584" s="45"/>
      <c r="GC584" s="45"/>
      <c r="GD584" s="45"/>
      <c r="GE584" s="45"/>
      <c r="GF584" s="45"/>
      <c r="GG584" s="45"/>
      <c r="GH584" s="45"/>
      <c r="GI584" s="45"/>
      <c r="GJ584" s="45"/>
      <c r="GK584" s="45"/>
      <c r="GL584" s="45"/>
      <c r="GM584" s="45"/>
      <c r="GN584" s="45"/>
      <c r="GO584" s="45"/>
      <c r="GP584" s="45"/>
      <c r="GQ584" s="45"/>
      <c r="GR584" s="45"/>
      <c r="GS584" s="45"/>
      <c r="GT584" s="45"/>
      <c r="GU584" s="45"/>
      <c r="GV584" s="45"/>
      <c r="GW584" s="45"/>
      <c r="GX584" s="45"/>
      <c r="GY584" s="45"/>
      <c r="GZ584" s="45"/>
      <c r="HA584" s="45"/>
      <c r="HB584" s="45"/>
      <c r="HC584" s="45"/>
      <c r="HD584" s="45"/>
      <c r="HE584" s="45"/>
      <c r="HF584" s="45"/>
      <c r="HG584" s="45"/>
      <c r="HH584" s="45"/>
      <c r="HI584" s="45"/>
      <c r="HJ584" s="45"/>
      <c r="HK584" s="45"/>
      <c r="HL584" s="45"/>
      <c r="HM584" s="45"/>
      <c r="HN584" s="45"/>
      <c r="HO584" s="45"/>
      <c r="HP584" s="45"/>
      <c r="HQ584" s="45"/>
      <c r="HR584" s="45"/>
      <c r="HS584" s="45"/>
      <c r="HT584" s="45"/>
      <c r="HU584" s="45"/>
      <c r="HV584" s="45"/>
      <c r="HW584" s="45"/>
      <c r="HX584" s="45"/>
      <c r="HY584" s="45"/>
      <c r="HZ584" s="45"/>
      <c r="IA584" s="45"/>
      <c r="IB584" s="45"/>
      <c r="IC584" s="45"/>
      <c r="ID584" s="45"/>
      <c r="IE584" s="45"/>
      <c r="IF584" s="45"/>
      <c r="IG584" s="45"/>
      <c r="IH584" s="45"/>
      <c r="II584" s="45"/>
      <c r="IJ584" s="45"/>
      <c r="IK584" s="45"/>
      <c r="IL584" s="45"/>
      <c r="IM584" s="45"/>
      <c r="IN584" s="45"/>
      <c r="IO584" s="45"/>
      <c r="IP584" s="45"/>
      <c r="IQ584" s="45"/>
      <c r="IR584" s="45"/>
      <c r="IS584" s="45"/>
      <c r="IT584" s="45"/>
      <c r="IU584" s="45"/>
      <c r="IV584" s="45"/>
      <c r="IW584" s="45"/>
      <c r="IX584" s="45"/>
      <c r="IY584" s="45"/>
      <c r="IZ584" s="45"/>
      <c r="JA584" s="45"/>
      <c r="JB584" s="45"/>
      <c r="JC584" s="45"/>
      <c r="JD584" s="45"/>
      <c r="JE584" s="45"/>
      <c r="JF584" s="45"/>
      <c r="JG584" s="45"/>
      <c r="JH584" s="45"/>
      <c r="JI584" s="45"/>
      <c r="JJ584" s="45"/>
      <c r="JK584" s="45"/>
      <c r="JL584" s="45"/>
      <c r="JM584" s="45"/>
      <c r="JN584" s="45"/>
      <c r="JO584" s="45"/>
      <c r="JP584" s="45"/>
      <c r="JQ584" s="45"/>
      <c r="JR584" s="45"/>
      <c r="JS584" s="45"/>
      <c r="JT584" s="45"/>
      <c r="JU584" s="45"/>
      <c r="JV584" s="45"/>
      <c r="JW584" s="45"/>
      <c r="JX584" s="45"/>
      <c r="JY584" s="45"/>
      <c r="JZ584" s="45"/>
      <c r="KA584" s="45"/>
      <c r="KB584" s="45"/>
      <c r="KC584" s="45"/>
      <c r="KD584" s="45"/>
      <c r="KE584" s="45"/>
      <c r="KF584" s="45"/>
      <c r="KG584" s="45"/>
      <c r="KH584" s="45"/>
      <c r="KI584" s="45"/>
      <c r="KJ584" s="45"/>
      <c r="KK584" s="45"/>
      <c r="KL584" s="45"/>
      <c r="KM584" s="45"/>
      <c r="KN584" s="45"/>
      <c r="KO584" s="45"/>
      <c r="KP584" s="45"/>
      <c r="KQ584" s="45"/>
      <c r="KR584" s="45"/>
      <c r="KS584" s="45"/>
      <c r="KT584" s="45"/>
      <c r="KU584" s="45"/>
      <c r="KV584" s="45"/>
      <c r="KW584" s="45"/>
      <c r="KX584" s="45"/>
      <c r="KY584" s="45"/>
      <c r="KZ584" s="45"/>
      <c r="LA584" s="45"/>
      <c r="LB584" s="45"/>
      <c r="LC584" s="45"/>
      <c r="LD584" s="45"/>
      <c r="LE584" s="45"/>
      <c r="LF584" s="45"/>
      <c r="LG584" s="45"/>
      <c r="LH584" s="45"/>
      <c r="LI584" s="45"/>
      <c r="LJ584" s="45"/>
      <c r="LK584" s="45"/>
      <c r="LL584" s="45"/>
      <c r="LM584" s="45"/>
      <c r="LN584" s="45"/>
      <c r="LO584" s="45"/>
      <c r="LP584" s="45"/>
      <c r="LQ584" s="45"/>
      <c r="LR584" s="45"/>
      <c r="LS584" s="45"/>
      <c r="LT584" s="45"/>
      <c r="LU584" s="45"/>
      <c r="LV584" s="45"/>
      <c r="LW584" s="45"/>
      <c r="LX584" s="45"/>
      <c r="LY584" s="45"/>
      <c r="LZ584" s="45"/>
      <c r="MA584" s="45"/>
      <c r="MB584" s="45"/>
      <c r="MC584" s="45"/>
      <c r="MD584" s="45"/>
      <c r="ME584" s="45"/>
      <c r="MF584" s="45"/>
      <c r="MG584" s="45"/>
      <c r="MH584" s="45"/>
      <c r="MI584" s="45"/>
      <c r="MJ584" s="45"/>
      <c r="MK584" s="45"/>
      <c r="ML584" s="45"/>
      <c r="MM584" s="45"/>
      <c r="MN584" s="45"/>
      <c r="MO584" s="45"/>
      <c r="MP584" s="45"/>
      <c r="MQ584" s="45"/>
      <c r="MR584" s="45"/>
      <c r="MS584" s="45"/>
      <c r="MT584" s="45"/>
      <c r="MU584" s="45"/>
      <c r="MV584" s="45"/>
      <c r="MW584" s="45"/>
      <c r="MX584" s="45"/>
      <c r="MY584" s="45"/>
      <c r="MZ584" s="45"/>
      <c r="NA584" s="45"/>
      <c r="NB584" s="45"/>
      <c r="NC584" s="45"/>
      <c r="ND584" s="45"/>
      <c r="NE584" s="45"/>
      <c r="NF584" s="45"/>
      <c r="NG584" s="45"/>
      <c r="NH584" s="45"/>
      <c r="NI584" s="45"/>
      <c r="NJ584" s="45"/>
      <c r="NK584" s="45"/>
      <c r="NL584" s="45"/>
      <c r="NM584" s="45"/>
      <c r="NN584" s="45"/>
      <c r="NO584" s="45"/>
      <c r="NP584" s="45"/>
      <c r="NQ584" s="45"/>
      <c r="NR584" s="45"/>
      <c r="NS584" s="45"/>
      <c r="NT584" s="45"/>
      <c r="NU584" s="45"/>
      <c r="NV584" s="45"/>
      <c r="NW584" s="45"/>
      <c r="NX584" s="45"/>
      <c r="NY584" s="45"/>
      <c r="NZ584" s="45"/>
      <c r="OA584" s="45"/>
      <c r="OB584" s="45"/>
      <c r="OC584" s="45"/>
      <c r="OD584" s="45"/>
      <c r="OE584" s="45"/>
      <c r="OF584" s="45"/>
      <c r="OG584" s="45"/>
      <c r="OH584" s="45"/>
      <c r="OI584" s="45"/>
      <c r="OJ584" s="45"/>
      <c r="OK584" s="45"/>
      <c r="OL584" s="45"/>
      <c r="OM584" s="45"/>
      <c r="ON584" s="45"/>
      <c r="OO584" s="45"/>
      <c r="OP584" s="45"/>
      <c r="OQ584" s="45"/>
      <c r="OR584" s="45"/>
      <c r="OS584" s="45"/>
      <c r="OT584" s="45"/>
      <c r="OU584" s="45"/>
      <c r="OV584" s="45"/>
      <c r="OW584" s="45"/>
      <c r="OX584" s="45"/>
      <c r="OY584" s="45"/>
      <c r="OZ584" s="45"/>
      <c r="PA584" s="45"/>
      <c r="PB584" s="45"/>
      <c r="PC584" s="45"/>
      <c r="PD584" s="45"/>
      <c r="PE584" s="45"/>
      <c r="PF584" s="45"/>
      <c r="PG584" s="45"/>
      <c r="PH584" s="45"/>
      <c r="PI584" s="45"/>
      <c r="PJ584" s="45"/>
      <c r="PK584" s="45"/>
      <c r="PL584" s="45"/>
      <c r="PM584" s="45"/>
      <c r="PN584" s="45"/>
      <c r="PO584" s="45"/>
      <c r="PP584" s="45"/>
      <c r="PQ584" s="45"/>
      <c r="PR584" s="45"/>
      <c r="PS584" s="45"/>
      <c r="PT584" s="45"/>
      <c r="PU584" s="45"/>
      <c r="PV584" s="45"/>
      <c r="PW584" s="45"/>
      <c r="PX584" s="45"/>
      <c r="PY584" s="45"/>
      <c r="PZ584" s="45"/>
      <c r="QA584" s="45"/>
      <c r="QB584" s="45"/>
      <c r="QC584" s="45"/>
      <c r="QD584" s="45"/>
      <c r="QE584" s="45"/>
      <c r="QF584" s="45"/>
      <c r="QG584" s="45"/>
      <c r="QH584" s="45"/>
      <c r="QI584" s="45"/>
      <c r="QJ584" s="45"/>
      <c r="QK584" s="45"/>
      <c r="QL584" s="45"/>
      <c r="QM584" s="45"/>
      <c r="QN584" s="45"/>
      <c r="QO584" s="45"/>
      <c r="QP584" s="45"/>
      <c r="QQ584" s="45"/>
      <c r="QR584" s="45"/>
      <c r="QS584" s="45"/>
      <c r="QT584" s="45"/>
      <c r="QU584" s="45"/>
      <c r="QV584" s="45"/>
      <c r="QW584" s="45"/>
      <c r="QX584" s="45"/>
      <c r="QY584" s="45"/>
      <c r="QZ584" s="45"/>
      <c r="RA584" s="45"/>
      <c r="RB584" s="45"/>
      <c r="RC584" s="45"/>
      <c r="RD584" s="45"/>
      <c r="RE584" s="45"/>
      <c r="RF584" s="45"/>
      <c r="RG584" s="45"/>
      <c r="RH584" s="45"/>
      <c r="RI584" s="45"/>
      <c r="RJ584" s="45"/>
      <c r="RK584" s="45"/>
      <c r="RL584" s="45"/>
      <c r="RM584" s="45"/>
      <c r="RN584" s="45"/>
      <c r="RO584" s="45"/>
      <c r="RP584" s="45"/>
      <c r="RQ584" s="45"/>
      <c r="RR584" s="45"/>
      <c r="RS584" s="45"/>
      <c r="RT584" s="45"/>
      <c r="RU584" s="45"/>
      <c r="RV584" s="45"/>
      <c r="RW584" s="45"/>
      <c r="RX584" s="45"/>
      <c r="RY584" s="45"/>
      <c r="RZ584" s="45"/>
      <c r="SA584" s="45"/>
      <c r="SB584" s="45"/>
      <c r="SC584" s="45"/>
      <c r="SD584" s="45"/>
      <c r="SE584" s="45"/>
      <c r="SF584" s="45"/>
      <c r="SG584" s="45"/>
      <c r="SH584" s="45"/>
      <c r="SI584" s="45"/>
      <c r="SJ584" s="45"/>
      <c r="SK584" s="45"/>
      <c r="SL584" s="45"/>
      <c r="SM584" s="45"/>
      <c r="SN584" s="45"/>
      <c r="SO584" s="45"/>
      <c r="SP584" s="45"/>
      <c r="SQ584" s="45"/>
      <c r="SR584" s="45"/>
      <c r="SS584" s="45"/>
      <c r="ST584" s="45"/>
      <c r="SU584" s="45"/>
      <c r="SV584" s="45"/>
      <c r="SW584" s="45"/>
      <c r="SX584" s="45"/>
      <c r="SY584" s="45"/>
      <c r="SZ584" s="45"/>
      <c r="TA584" s="45"/>
      <c r="TB584" s="45"/>
      <c r="TC584" s="45"/>
    </row>
    <row r="585" spans="1:523">
      <c r="A585" s="45">
        <v>96</v>
      </c>
      <c r="B585" s="319" t="s">
        <v>843</v>
      </c>
      <c r="C585"/>
      <c r="D585"/>
      <c r="E585"/>
      <c r="F585"/>
      <c r="G585"/>
      <c r="H585"/>
      <c r="I585"/>
      <c r="J585"/>
      <c r="K585"/>
      <c r="L585"/>
      <c r="M585"/>
      <c r="N585"/>
      <c r="O585"/>
      <c r="T585"/>
      <c r="U585"/>
      <c r="V585"/>
      <c r="W585"/>
      <c r="X585"/>
      <c r="AA585"/>
      <c r="AB585"/>
      <c r="AC585"/>
      <c r="AD585"/>
      <c r="AE585"/>
      <c r="AF585"/>
      <c r="AG585"/>
      <c r="AH585"/>
      <c r="AI585"/>
      <c r="AJ585"/>
    </row>
    <row r="586" spans="1:523">
      <c r="A586" s="45">
        <v>97</v>
      </c>
      <c r="B586" s="320" t="s">
        <v>1021</v>
      </c>
      <c r="C586"/>
      <c r="D586"/>
      <c r="E586"/>
      <c r="F586"/>
      <c r="G586"/>
      <c r="H586"/>
      <c r="I586"/>
      <c r="J586"/>
      <c r="K586"/>
      <c r="L586"/>
      <c r="M586"/>
      <c r="N586"/>
      <c r="O586"/>
      <c r="T586"/>
      <c r="U586"/>
      <c r="V586"/>
      <c r="W586"/>
      <c r="X586"/>
      <c r="AA586"/>
      <c r="AB586"/>
      <c r="AC586"/>
      <c r="AD586"/>
      <c r="AE586"/>
      <c r="AF586"/>
      <c r="AG586"/>
      <c r="AH586"/>
      <c r="AI586"/>
      <c r="AJ586"/>
    </row>
    <row r="587" spans="1:523" s="188" customFormat="1">
      <c r="A587" s="45">
        <v>98</v>
      </c>
      <c r="B587" s="319" t="s">
        <v>842</v>
      </c>
      <c r="C587"/>
      <c r="D587"/>
      <c r="E587"/>
      <c r="F587"/>
      <c r="G587"/>
      <c r="H587"/>
      <c r="I587"/>
      <c r="J587"/>
      <c r="K587"/>
      <c r="L587"/>
      <c r="M587"/>
      <c r="N587"/>
      <c r="O587"/>
      <c r="P587" s="45"/>
      <c r="Q587" s="45"/>
      <c r="R587" s="45"/>
      <c r="S587" s="45"/>
      <c r="T587"/>
      <c r="U587"/>
      <c r="V587"/>
      <c r="W587"/>
      <c r="X587"/>
      <c r="Y587" s="45"/>
      <c r="Z587" s="45"/>
      <c r="AA587"/>
      <c r="AB587"/>
      <c r="AC587"/>
      <c r="AD587"/>
      <c r="AE587"/>
      <c r="AF587"/>
      <c r="AG587"/>
      <c r="AH587"/>
      <c r="AI587"/>
      <c r="AJ587"/>
      <c r="AK587" s="45"/>
      <c r="AL587" s="45"/>
      <c r="AM587" s="45"/>
      <c r="AN587" s="45"/>
      <c r="AO587" s="45"/>
      <c r="AP587" s="45"/>
      <c r="AQ587" s="45"/>
      <c r="AR587" s="45"/>
      <c r="AS587" s="45"/>
      <c r="AT587" s="45"/>
      <c r="AU587" s="45"/>
      <c r="AV587" s="45"/>
      <c r="AW587" s="45"/>
      <c r="AX587" s="45"/>
      <c r="AY587" s="45"/>
      <c r="AZ587" s="45"/>
      <c r="BA587" s="45"/>
      <c r="BB587" s="45"/>
      <c r="BC587" s="45"/>
      <c r="BD587" s="45"/>
      <c r="BE587" s="45"/>
      <c r="BF587" s="45"/>
      <c r="BG587" s="45"/>
      <c r="BH587" s="45"/>
      <c r="BI587" s="45"/>
      <c r="BJ587" s="45"/>
      <c r="BK587" s="45"/>
      <c r="BL587" s="45"/>
      <c r="BM587" s="45"/>
      <c r="BN587" s="45"/>
      <c r="BO587" s="45"/>
      <c r="BP587" s="45"/>
      <c r="BQ587" s="45"/>
      <c r="BR587" s="45"/>
      <c r="BS587" s="45"/>
      <c r="BT587" s="45"/>
      <c r="BU587" s="45"/>
      <c r="BV587" s="45"/>
      <c r="BW587" s="45"/>
      <c r="BX587" s="45"/>
      <c r="BY587" s="45"/>
      <c r="BZ587" s="45"/>
      <c r="CA587" s="45"/>
      <c r="CB587" s="45"/>
      <c r="CC587" s="45"/>
      <c r="CD587" s="45"/>
      <c r="CE587" s="45"/>
      <c r="CF587" s="45"/>
      <c r="CG587" s="45"/>
      <c r="CH587" s="45"/>
      <c r="CI587" s="45"/>
      <c r="CJ587" s="45"/>
      <c r="CK587" s="45"/>
      <c r="CL587" s="45"/>
      <c r="CM587" s="45"/>
      <c r="CN587" s="45"/>
      <c r="CO587" s="45"/>
      <c r="CP587" s="45"/>
      <c r="CQ587" s="45"/>
      <c r="CR587" s="45"/>
      <c r="CS587" s="45"/>
      <c r="CT587" s="45"/>
      <c r="CU587" s="45"/>
      <c r="CV587" s="45"/>
      <c r="CW587" s="45"/>
      <c r="CX587" s="45"/>
      <c r="CY587" s="45"/>
      <c r="CZ587" s="45"/>
      <c r="DA587" s="45"/>
      <c r="DB587" s="45"/>
      <c r="DC587" s="45"/>
      <c r="DD587" s="45"/>
      <c r="DE587" s="45"/>
      <c r="DF587" s="45"/>
      <c r="DG587" s="45"/>
      <c r="DH587" s="45"/>
      <c r="DI587" s="45"/>
      <c r="DJ587" s="45"/>
      <c r="DK587" s="45"/>
      <c r="DL587" s="45"/>
      <c r="DM587" s="45"/>
      <c r="DN587" s="45"/>
      <c r="DO587" s="45"/>
      <c r="DP587" s="45"/>
      <c r="DQ587" s="45"/>
      <c r="DR587" s="45"/>
      <c r="DS587" s="45"/>
      <c r="DT587" s="45"/>
      <c r="DU587" s="45"/>
      <c r="DV587" s="45"/>
      <c r="DW587" s="45"/>
      <c r="DX587" s="45"/>
      <c r="DY587" s="45"/>
      <c r="DZ587" s="45"/>
      <c r="EA587" s="45"/>
      <c r="EB587" s="45"/>
      <c r="EC587" s="45"/>
      <c r="ED587" s="45"/>
      <c r="EE587" s="45"/>
      <c r="EF587" s="45"/>
      <c r="EG587" s="45"/>
      <c r="EH587" s="45"/>
      <c r="EI587" s="45"/>
      <c r="EJ587" s="45"/>
      <c r="EK587" s="45"/>
      <c r="EL587" s="45"/>
      <c r="EM587" s="45"/>
      <c r="EN587" s="45"/>
      <c r="EO587" s="45"/>
      <c r="EP587" s="45"/>
      <c r="EQ587" s="45"/>
      <c r="ER587" s="45"/>
      <c r="ES587" s="45"/>
      <c r="ET587" s="45"/>
      <c r="EU587" s="45"/>
      <c r="EV587" s="45"/>
      <c r="EW587" s="45"/>
      <c r="EX587" s="45"/>
      <c r="EY587" s="45"/>
      <c r="EZ587" s="45"/>
      <c r="FA587" s="45"/>
      <c r="FB587" s="45"/>
      <c r="FC587" s="45"/>
      <c r="FD587" s="45"/>
      <c r="FE587" s="45"/>
      <c r="FF587" s="45"/>
      <c r="FG587" s="45"/>
      <c r="FH587" s="45"/>
      <c r="FI587" s="45"/>
      <c r="FJ587" s="45"/>
      <c r="FK587" s="45"/>
      <c r="FL587" s="45"/>
      <c r="FM587" s="45"/>
      <c r="FN587" s="45"/>
      <c r="FO587" s="45"/>
      <c r="FP587" s="45"/>
      <c r="FQ587" s="45"/>
      <c r="FR587" s="45"/>
      <c r="FS587" s="45"/>
      <c r="FT587" s="45"/>
      <c r="FU587" s="45"/>
      <c r="FV587" s="45"/>
      <c r="FW587" s="45"/>
      <c r="FX587" s="45"/>
      <c r="FY587" s="45"/>
      <c r="FZ587" s="45"/>
      <c r="GA587" s="45"/>
      <c r="GB587" s="45"/>
      <c r="GC587" s="45"/>
      <c r="GD587" s="45"/>
      <c r="GE587" s="45"/>
      <c r="GF587" s="45"/>
      <c r="GG587" s="45"/>
      <c r="GH587" s="45"/>
      <c r="GI587" s="45"/>
      <c r="GJ587" s="45"/>
      <c r="GK587" s="45"/>
      <c r="GL587" s="45"/>
      <c r="GM587" s="45"/>
      <c r="GN587" s="45"/>
      <c r="GO587" s="45"/>
      <c r="GP587" s="45"/>
      <c r="GQ587" s="45"/>
      <c r="GR587" s="45"/>
      <c r="GS587" s="45"/>
      <c r="GT587" s="45"/>
      <c r="GU587" s="45"/>
      <c r="GV587" s="45"/>
      <c r="GW587" s="45"/>
      <c r="GX587" s="45"/>
      <c r="GY587" s="45"/>
      <c r="GZ587" s="45"/>
      <c r="HA587" s="45"/>
      <c r="HB587" s="45"/>
      <c r="HC587" s="45"/>
      <c r="HD587" s="45"/>
      <c r="HE587" s="45"/>
      <c r="HF587" s="45"/>
      <c r="HG587" s="45"/>
      <c r="HH587" s="45"/>
      <c r="HI587" s="45"/>
      <c r="HJ587" s="45"/>
      <c r="HK587" s="45"/>
      <c r="HL587" s="45"/>
      <c r="HM587" s="45"/>
      <c r="HN587" s="45"/>
      <c r="HO587" s="45"/>
      <c r="HP587" s="45"/>
      <c r="HQ587" s="45"/>
      <c r="HR587" s="45"/>
      <c r="HS587" s="45"/>
      <c r="HT587" s="45"/>
      <c r="HU587" s="45"/>
      <c r="HV587" s="45"/>
      <c r="HW587" s="45"/>
      <c r="HX587" s="45"/>
      <c r="HY587" s="45"/>
      <c r="HZ587" s="45"/>
      <c r="IA587" s="45"/>
      <c r="IB587" s="45"/>
      <c r="IC587" s="45"/>
      <c r="ID587" s="45"/>
      <c r="IE587" s="45"/>
      <c r="IF587" s="45"/>
      <c r="IG587" s="45"/>
      <c r="IH587" s="45"/>
      <c r="II587" s="45"/>
      <c r="IJ587" s="45"/>
      <c r="IK587" s="45"/>
      <c r="IL587" s="45"/>
      <c r="IM587" s="45"/>
      <c r="IN587" s="45"/>
      <c r="IO587" s="45"/>
      <c r="IP587" s="45"/>
      <c r="IQ587" s="45"/>
      <c r="IR587" s="45"/>
      <c r="IS587" s="45"/>
      <c r="IT587" s="45"/>
      <c r="IU587" s="45"/>
      <c r="IV587" s="45"/>
      <c r="IW587" s="45"/>
      <c r="IX587" s="45"/>
      <c r="IY587" s="45"/>
      <c r="IZ587" s="45"/>
      <c r="JA587" s="45"/>
      <c r="JB587" s="45"/>
      <c r="JC587" s="45"/>
      <c r="JD587" s="45"/>
      <c r="JE587" s="45"/>
      <c r="JF587" s="45"/>
      <c r="JG587" s="45"/>
      <c r="JH587" s="45"/>
      <c r="JI587" s="45"/>
      <c r="JJ587" s="45"/>
      <c r="JK587" s="45"/>
      <c r="JL587" s="45"/>
      <c r="JM587" s="45"/>
      <c r="JN587" s="45"/>
      <c r="JO587" s="45"/>
      <c r="JP587" s="45"/>
      <c r="JQ587" s="45"/>
      <c r="JR587" s="45"/>
      <c r="JS587" s="45"/>
      <c r="JT587" s="45"/>
      <c r="JU587" s="45"/>
      <c r="JV587" s="45"/>
      <c r="JW587" s="45"/>
      <c r="JX587" s="45"/>
      <c r="JY587" s="45"/>
      <c r="JZ587" s="45"/>
      <c r="KA587" s="45"/>
      <c r="KB587" s="45"/>
      <c r="KC587" s="45"/>
      <c r="KD587" s="45"/>
      <c r="KE587" s="45"/>
      <c r="KF587" s="45"/>
      <c r="KG587" s="45"/>
      <c r="KH587" s="45"/>
      <c r="KI587" s="45"/>
      <c r="KJ587" s="45"/>
      <c r="KK587" s="45"/>
      <c r="KL587" s="45"/>
      <c r="KM587" s="45"/>
      <c r="KN587" s="45"/>
      <c r="KO587" s="45"/>
      <c r="KP587" s="45"/>
      <c r="KQ587" s="45"/>
      <c r="KR587" s="45"/>
      <c r="KS587" s="45"/>
      <c r="KT587" s="45"/>
      <c r="KU587" s="45"/>
      <c r="KV587" s="45"/>
      <c r="KW587" s="45"/>
      <c r="KX587" s="45"/>
      <c r="KY587" s="45"/>
      <c r="KZ587" s="45"/>
      <c r="LA587" s="45"/>
      <c r="LB587" s="45"/>
      <c r="LC587" s="45"/>
      <c r="LD587" s="45"/>
      <c r="LE587" s="45"/>
      <c r="LF587" s="45"/>
      <c r="LG587" s="45"/>
      <c r="LH587" s="45"/>
      <c r="LI587" s="45"/>
      <c r="LJ587" s="45"/>
      <c r="LK587" s="45"/>
      <c r="LL587" s="45"/>
      <c r="LM587" s="45"/>
      <c r="LN587" s="45"/>
      <c r="LO587" s="45"/>
      <c r="LP587" s="45"/>
      <c r="LQ587" s="45"/>
      <c r="LR587" s="45"/>
      <c r="LS587" s="45"/>
      <c r="LT587" s="45"/>
      <c r="LU587" s="45"/>
      <c r="LV587" s="45"/>
      <c r="LW587" s="45"/>
      <c r="LX587" s="45"/>
      <c r="LY587" s="45"/>
      <c r="LZ587" s="45"/>
      <c r="MA587" s="45"/>
      <c r="MB587" s="45"/>
      <c r="MC587" s="45"/>
      <c r="MD587" s="45"/>
      <c r="ME587" s="45"/>
      <c r="MF587" s="45"/>
      <c r="MG587" s="45"/>
      <c r="MH587" s="45"/>
      <c r="MI587" s="45"/>
      <c r="MJ587" s="45"/>
      <c r="MK587" s="45"/>
      <c r="ML587" s="45"/>
      <c r="MM587" s="45"/>
      <c r="MN587" s="45"/>
      <c r="MO587" s="45"/>
      <c r="MP587" s="45"/>
      <c r="MQ587" s="45"/>
      <c r="MR587" s="45"/>
      <c r="MS587" s="45"/>
      <c r="MT587" s="45"/>
      <c r="MU587" s="45"/>
      <c r="MV587" s="45"/>
      <c r="MW587" s="45"/>
      <c r="MX587" s="45"/>
      <c r="MY587" s="45"/>
      <c r="MZ587" s="45"/>
      <c r="NA587" s="45"/>
      <c r="NB587" s="45"/>
      <c r="NC587" s="45"/>
      <c r="ND587" s="45"/>
      <c r="NE587" s="45"/>
      <c r="NF587" s="45"/>
      <c r="NG587" s="45"/>
      <c r="NH587" s="45"/>
      <c r="NI587" s="45"/>
      <c r="NJ587" s="45"/>
      <c r="NK587" s="45"/>
      <c r="NL587" s="45"/>
      <c r="NM587" s="45"/>
      <c r="NN587" s="45"/>
      <c r="NO587" s="45"/>
      <c r="NP587" s="45"/>
      <c r="NQ587" s="45"/>
      <c r="NR587" s="45"/>
      <c r="NS587" s="45"/>
      <c r="NT587" s="45"/>
      <c r="NU587" s="45"/>
      <c r="NV587" s="45"/>
      <c r="NW587" s="45"/>
      <c r="NX587" s="45"/>
      <c r="NY587" s="45"/>
      <c r="NZ587" s="45"/>
      <c r="OA587" s="45"/>
      <c r="OB587" s="45"/>
      <c r="OC587" s="45"/>
      <c r="OD587" s="45"/>
      <c r="OE587" s="45"/>
      <c r="OF587" s="45"/>
      <c r="OG587" s="45"/>
      <c r="OH587" s="45"/>
      <c r="OI587" s="45"/>
      <c r="OJ587" s="45"/>
      <c r="OK587" s="45"/>
      <c r="OL587" s="45"/>
      <c r="OM587" s="45"/>
      <c r="ON587" s="45"/>
      <c r="OO587" s="45"/>
      <c r="OP587" s="45"/>
      <c r="OQ587" s="45"/>
      <c r="OR587" s="45"/>
      <c r="OS587" s="45"/>
      <c r="OT587" s="45"/>
      <c r="OU587" s="45"/>
      <c r="OV587" s="45"/>
      <c r="OW587" s="45"/>
      <c r="OX587" s="45"/>
      <c r="OY587" s="45"/>
      <c r="OZ587" s="45"/>
      <c r="PA587" s="45"/>
      <c r="PB587" s="45"/>
      <c r="PC587" s="45"/>
      <c r="PD587" s="45"/>
      <c r="PE587" s="45"/>
      <c r="PF587" s="45"/>
      <c r="PG587" s="45"/>
      <c r="PH587" s="45"/>
      <c r="PI587" s="45"/>
      <c r="PJ587" s="45"/>
      <c r="PK587" s="45"/>
      <c r="PL587" s="45"/>
      <c r="PM587" s="45"/>
      <c r="PN587" s="45"/>
      <c r="PO587" s="45"/>
      <c r="PP587" s="45"/>
      <c r="PQ587" s="45"/>
      <c r="PR587" s="45"/>
      <c r="PS587" s="45"/>
      <c r="PT587" s="45"/>
      <c r="PU587" s="45"/>
      <c r="PV587" s="45"/>
      <c r="PW587" s="45"/>
      <c r="PX587" s="45"/>
      <c r="PY587" s="45"/>
      <c r="PZ587" s="45"/>
      <c r="QA587" s="45"/>
      <c r="QB587" s="45"/>
      <c r="QC587" s="45"/>
      <c r="QD587" s="45"/>
      <c r="QE587" s="45"/>
      <c r="QF587" s="45"/>
      <c r="QG587" s="45"/>
      <c r="QH587" s="45"/>
      <c r="QI587" s="45"/>
      <c r="QJ587" s="45"/>
      <c r="QK587" s="45"/>
      <c r="QL587" s="45"/>
      <c r="QM587" s="45"/>
      <c r="QN587" s="45"/>
      <c r="QO587" s="45"/>
      <c r="QP587" s="45"/>
      <c r="QQ587" s="45"/>
      <c r="QR587" s="45"/>
      <c r="QS587" s="45"/>
      <c r="QT587" s="45"/>
      <c r="QU587" s="45"/>
      <c r="QV587" s="45"/>
      <c r="QW587" s="45"/>
      <c r="QX587" s="45"/>
      <c r="QY587" s="45"/>
      <c r="QZ587" s="45"/>
      <c r="RA587" s="45"/>
      <c r="RB587" s="45"/>
      <c r="RC587" s="45"/>
      <c r="RD587" s="45"/>
      <c r="RE587" s="45"/>
      <c r="RF587" s="45"/>
      <c r="RG587" s="45"/>
      <c r="RH587" s="45"/>
      <c r="RI587" s="45"/>
      <c r="RJ587" s="45"/>
      <c r="RK587" s="45"/>
      <c r="RL587" s="45"/>
      <c r="RM587" s="45"/>
      <c r="RN587" s="45"/>
      <c r="RO587" s="45"/>
      <c r="RP587" s="45"/>
      <c r="RQ587" s="45"/>
      <c r="RR587" s="45"/>
      <c r="RS587" s="45"/>
      <c r="RT587" s="45"/>
      <c r="RU587" s="45"/>
      <c r="RV587" s="45"/>
      <c r="RW587" s="45"/>
      <c r="RX587" s="45"/>
      <c r="RY587" s="45"/>
      <c r="RZ587" s="45"/>
      <c r="SA587" s="45"/>
      <c r="SB587" s="45"/>
      <c r="SC587" s="45"/>
      <c r="SD587" s="45"/>
      <c r="SE587" s="45"/>
      <c r="SF587" s="45"/>
      <c r="SG587" s="45"/>
      <c r="SH587" s="45"/>
      <c r="SI587" s="45"/>
      <c r="SJ587" s="45"/>
      <c r="SK587" s="45"/>
      <c r="SL587" s="45"/>
      <c r="SM587" s="45"/>
      <c r="SN587" s="45"/>
      <c r="SO587" s="45"/>
      <c r="SP587" s="45"/>
      <c r="SQ587" s="45"/>
      <c r="SR587" s="45"/>
      <c r="SS587" s="45"/>
      <c r="ST587" s="45"/>
      <c r="SU587" s="45"/>
      <c r="SV587" s="45"/>
      <c r="SW587" s="45"/>
      <c r="SX587" s="45"/>
      <c r="SY587" s="45"/>
      <c r="SZ587" s="45"/>
      <c r="TA587" s="45"/>
      <c r="TB587" s="45"/>
      <c r="TC587" s="45"/>
    </row>
    <row r="588" spans="1:523" s="188" customFormat="1">
      <c r="A588" s="72">
        <v>99</v>
      </c>
      <c r="B588" s="319" t="s">
        <v>841</v>
      </c>
      <c r="C588"/>
      <c r="D588"/>
      <c r="E588"/>
      <c r="F588"/>
      <c r="G588"/>
      <c r="H588"/>
      <c r="I588"/>
      <c r="J588"/>
      <c r="K588"/>
      <c r="L588"/>
      <c r="M588"/>
      <c r="N588"/>
      <c r="O588"/>
      <c r="P588" s="45"/>
      <c r="Q588" s="45"/>
      <c r="R588" s="45"/>
      <c r="S588" s="45"/>
      <c r="T588"/>
      <c r="U588"/>
      <c r="V588"/>
      <c r="W588"/>
      <c r="X588"/>
      <c r="Y588" s="45"/>
      <c r="Z588" s="45"/>
      <c r="AA588"/>
      <c r="AB588"/>
      <c r="AC588"/>
      <c r="AD588"/>
      <c r="AE588"/>
      <c r="AF588"/>
      <c r="AG588"/>
      <c r="AH588"/>
      <c r="AI588"/>
      <c r="AJ588"/>
      <c r="AK588" s="45"/>
      <c r="AL588" s="45"/>
      <c r="AM588" s="45"/>
      <c r="AN588" s="45"/>
      <c r="AO588" s="45"/>
      <c r="AP588" s="45"/>
      <c r="AQ588" s="45"/>
      <c r="AR588" s="45"/>
      <c r="AS588" s="45"/>
      <c r="AT588" s="45"/>
      <c r="AU588" s="45"/>
      <c r="AV588" s="45"/>
      <c r="AW588" s="45"/>
      <c r="AX588" s="45"/>
      <c r="AY588" s="45"/>
      <c r="AZ588" s="45"/>
      <c r="BA588" s="45"/>
      <c r="BB588" s="45"/>
      <c r="BC588" s="45"/>
      <c r="BD588" s="45"/>
      <c r="BE588" s="45"/>
      <c r="BF588" s="45"/>
      <c r="BG588" s="45"/>
      <c r="BH588" s="45"/>
      <c r="BI588" s="45"/>
      <c r="BJ588" s="45"/>
      <c r="BK588" s="45"/>
      <c r="BL588" s="45"/>
      <c r="BM588" s="45"/>
      <c r="BN588" s="45"/>
      <c r="BO588" s="45"/>
      <c r="BP588" s="45"/>
      <c r="BQ588" s="45"/>
      <c r="BR588" s="45"/>
      <c r="BS588" s="45"/>
      <c r="BT588" s="45"/>
      <c r="BU588" s="45"/>
      <c r="BV588" s="45"/>
      <c r="BW588" s="45"/>
      <c r="BX588" s="45"/>
      <c r="BY588" s="45"/>
      <c r="BZ588" s="45"/>
      <c r="CA588" s="45"/>
      <c r="CB588" s="45"/>
      <c r="CC588" s="45"/>
      <c r="CD588" s="45"/>
      <c r="CE588" s="45"/>
      <c r="CF588" s="45"/>
      <c r="CG588" s="45"/>
      <c r="CH588" s="45"/>
      <c r="CI588" s="45"/>
      <c r="CJ588" s="45"/>
      <c r="CK588" s="45"/>
      <c r="CL588" s="45"/>
      <c r="CM588" s="45"/>
      <c r="CN588" s="45"/>
      <c r="CO588" s="45"/>
      <c r="CP588" s="45"/>
      <c r="CQ588" s="45"/>
      <c r="CR588" s="45"/>
      <c r="CS588" s="45"/>
      <c r="CT588" s="45"/>
      <c r="CU588" s="45"/>
      <c r="CV588" s="45"/>
      <c r="CW588" s="45"/>
      <c r="CX588" s="45"/>
      <c r="CY588" s="45"/>
      <c r="CZ588" s="45"/>
      <c r="DA588" s="45"/>
      <c r="DB588" s="45"/>
      <c r="DC588" s="45"/>
      <c r="DD588" s="45"/>
      <c r="DE588" s="45"/>
      <c r="DF588" s="45"/>
      <c r="DG588" s="45"/>
      <c r="DH588" s="45"/>
      <c r="DI588" s="45"/>
      <c r="DJ588" s="45"/>
      <c r="DK588" s="45"/>
      <c r="DL588" s="45"/>
      <c r="DM588" s="45"/>
      <c r="DN588" s="45"/>
      <c r="DO588" s="45"/>
      <c r="DP588" s="45"/>
      <c r="DQ588" s="45"/>
      <c r="DR588" s="45"/>
      <c r="DS588" s="45"/>
      <c r="DT588" s="45"/>
      <c r="DU588" s="45"/>
      <c r="DV588" s="45"/>
      <c r="DW588" s="45"/>
      <c r="DX588" s="45"/>
      <c r="DY588" s="45"/>
      <c r="DZ588" s="45"/>
      <c r="EA588" s="45"/>
      <c r="EB588" s="45"/>
      <c r="EC588" s="45"/>
      <c r="ED588" s="45"/>
      <c r="EE588" s="45"/>
      <c r="EF588" s="45"/>
      <c r="EG588" s="45"/>
      <c r="EH588" s="45"/>
      <c r="EI588" s="45"/>
      <c r="EJ588" s="45"/>
      <c r="EK588" s="45"/>
      <c r="EL588" s="45"/>
      <c r="EM588" s="45"/>
      <c r="EN588" s="45"/>
      <c r="EO588" s="45"/>
      <c r="EP588" s="45"/>
      <c r="EQ588" s="45"/>
      <c r="ER588" s="45"/>
      <c r="ES588" s="45"/>
      <c r="ET588" s="45"/>
      <c r="EU588" s="45"/>
      <c r="EV588" s="45"/>
      <c r="EW588" s="45"/>
      <c r="EX588" s="45"/>
      <c r="EY588" s="45"/>
      <c r="EZ588" s="45"/>
      <c r="FA588" s="45"/>
      <c r="FB588" s="45"/>
      <c r="FC588" s="45"/>
      <c r="FD588" s="45"/>
      <c r="FE588" s="45"/>
      <c r="FF588" s="45"/>
      <c r="FG588" s="45"/>
      <c r="FH588" s="45"/>
      <c r="FI588" s="45"/>
      <c r="FJ588" s="45"/>
      <c r="FK588" s="45"/>
      <c r="FL588" s="45"/>
      <c r="FM588" s="45"/>
      <c r="FN588" s="45"/>
      <c r="FO588" s="45"/>
      <c r="FP588" s="45"/>
      <c r="FQ588" s="45"/>
      <c r="FR588" s="45"/>
      <c r="FS588" s="45"/>
      <c r="FT588" s="45"/>
      <c r="FU588" s="45"/>
      <c r="FV588" s="45"/>
      <c r="FW588" s="45"/>
      <c r="FX588" s="45"/>
      <c r="FY588" s="45"/>
      <c r="FZ588" s="45"/>
      <c r="GA588" s="45"/>
      <c r="GB588" s="45"/>
      <c r="GC588" s="45"/>
      <c r="GD588" s="45"/>
      <c r="GE588" s="45"/>
      <c r="GF588" s="45"/>
      <c r="GG588" s="45"/>
      <c r="GH588" s="45"/>
      <c r="GI588" s="45"/>
      <c r="GJ588" s="45"/>
      <c r="GK588" s="45"/>
      <c r="GL588" s="45"/>
      <c r="GM588" s="45"/>
      <c r="GN588" s="45"/>
      <c r="GO588" s="45"/>
      <c r="GP588" s="45"/>
      <c r="GQ588" s="45"/>
      <c r="GR588" s="45"/>
      <c r="GS588" s="45"/>
      <c r="GT588" s="45"/>
      <c r="GU588" s="45"/>
      <c r="GV588" s="45"/>
      <c r="GW588" s="45"/>
      <c r="GX588" s="45"/>
      <c r="GY588" s="45"/>
      <c r="GZ588" s="45"/>
      <c r="HA588" s="45"/>
      <c r="HB588" s="45"/>
      <c r="HC588" s="45"/>
      <c r="HD588" s="45"/>
      <c r="HE588" s="45"/>
      <c r="HF588" s="45"/>
      <c r="HG588" s="45"/>
      <c r="HH588" s="45"/>
      <c r="HI588" s="45"/>
      <c r="HJ588" s="45"/>
      <c r="HK588" s="45"/>
      <c r="HL588" s="45"/>
      <c r="HM588" s="45"/>
      <c r="HN588" s="45"/>
      <c r="HO588" s="45"/>
      <c r="HP588" s="45"/>
      <c r="HQ588" s="45"/>
      <c r="HR588" s="45"/>
      <c r="HS588" s="45"/>
      <c r="HT588" s="45"/>
      <c r="HU588" s="45"/>
      <c r="HV588" s="45"/>
      <c r="HW588" s="45"/>
      <c r="HX588" s="45"/>
      <c r="HY588" s="45"/>
      <c r="HZ588" s="45"/>
      <c r="IA588" s="45"/>
      <c r="IB588" s="45"/>
      <c r="IC588" s="45"/>
      <c r="ID588" s="45"/>
      <c r="IE588" s="45"/>
      <c r="IF588" s="45"/>
      <c r="IG588" s="45"/>
      <c r="IH588" s="45"/>
      <c r="II588" s="45"/>
      <c r="IJ588" s="45"/>
      <c r="IK588" s="45"/>
      <c r="IL588" s="45"/>
      <c r="IM588" s="45"/>
      <c r="IN588" s="45"/>
      <c r="IO588" s="45"/>
      <c r="IP588" s="45"/>
      <c r="IQ588" s="45"/>
      <c r="IR588" s="45"/>
      <c r="IS588" s="45"/>
      <c r="IT588" s="45"/>
      <c r="IU588" s="45"/>
      <c r="IV588" s="45"/>
      <c r="IW588" s="45"/>
      <c r="IX588" s="45"/>
      <c r="IY588" s="45"/>
      <c r="IZ588" s="45"/>
      <c r="JA588" s="45"/>
      <c r="JB588" s="45"/>
      <c r="JC588" s="45"/>
      <c r="JD588" s="45"/>
      <c r="JE588" s="45"/>
      <c r="JF588" s="45"/>
      <c r="JG588" s="45"/>
      <c r="JH588" s="45"/>
      <c r="JI588" s="45"/>
      <c r="JJ588" s="45"/>
      <c r="JK588" s="45"/>
      <c r="JL588" s="45"/>
      <c r="JM588" s="45"/>
      <c r="JN588" s="45"/>
      <c r="JO588" s="45"/>
      <c r="JP588" s="45"/>
      <c r="JQ588" s="45"/>
      <c r="JR588" s="45"/>
      <c r="JS588" s="45"/>
      <c r="JT588" s="45"/>
      <c r="JU588" s="45"/>
      <c r="JV588" s="45"/>
      <c r="JW588" s="45"/>
      <c r="JX588" s="45"/>
      <c r="JY588" s="45"/>
      <c r="JZ588" s="45"/>
      <c r="KA588" s="45"/>
      <c r="KB588" s="45"/>
      <c r="KC588" s="45"/>
      <c r="KD588" s="45"/>
      <c r="KE588" s="45"/>
      <c r="KF588" s="45"/>
      <c r="KG588" s="45"/>
      <c r="KH588" s="45"/>
      <c r="KI588" s="45"/>
      <c r="KJ588" s="45"/>
      <c r="KK588" s="45"/>
      <c r="KL588" s="45"/>
      <c r="KM588" s="45"/>
      <c r="KN588" s="45"/>
      <c r="KO588" s="45"/>
      <c r="KP588" s="45"/>
      <c r="KQ588" s="45"/>
      <c r="KR588" s="45"/>
      <c r="KS588" s="45"/>
      <c r="KT588" s="45"/>
      <c r="KU588" s="45"/>
      <c r="KV588" s="45"/>
      <c r="KW588" s="45"/>
      <c r="KX588" s="45"/>
      <c r="KY588" s="45"/>
      <c r="KZ588" s="45"/>
      <c r="LA588" s="45"/>
      <c r="LB588" s="45"/>
      <c r="LC588" s="45"/>
      <c r="LD588" s="45"/>
      <c r="LE588" s="45"/>
      <c r="LF588" s="45"/>
      <c r="LG588" s="45"/>
      <c r="LH588" s="45"/>
      <c r="LI588" s="45"/>
      <c r="LJ588" s="45"/>
      <c r="LK588" s="45"/>
      <c r="LL588" s="45"/>
      <c r="LM588" s="45"/>
      <c r="LN588" s="45"/>
      <c r="LO588" s="45"/>
      <c r="LP588" s="45"/>
      <c r="LQ588" s="45"/>
      <c r="LR588" s="45"/>
      <c r="LS588" s="45"/>
      <c r="LT588" s="45"/>
      <c r="LU588" s="45"/>
      <c r="LV588" s="45"/>
      <c r="LW588" s="45"/>
      <c r="LX588" s="45"/>
      <c r="LY588" s="45"/>
      <c r="LZ588" s="45"/>
      <c r="MA588" s="45"/>
      <c r="MB588" s="45"/>
      <c r="MC588" s="45"/>
      <c r="MD588" s="45"/>
      <c r="ME588" s="45"/>
      <c r="MF588" s="45"/>
      <c r="MG588" s="45"/>
      <c r="MH588" s="45"/>
      <c r="MI588" s="45"/>
      <c r="MJ588" s="45"/>
      <c r="MK588" s="45"/>
      <c r="ML588" s="45"/>
      <c r="MM588" s="45"/>
      <c r="MN588" s="45"/>
      <c r="MO588" s="45"/>
      <c r="MP588" s="45"/>
      <c r="MQ588" s="45"/>
      <c r="MR588" s="45"/>
      <c r="MS588" s="45"/>
      <c r="MT588" s="45"/>
      <c r="MU588" s="45"/>
      <c r="MV588" s="45"/>
      <c r="MW588" s="45"/>
      <c r="MX588" s="45"/>
      <c r="MY588" s="45"/>
      <c r="MZ588" s="45"/>
      <c r="NA588" s="45"/>
      <c r="NB588" s="45"/>
      <c r="NC588" s="45"/>
      <c r="ND588" s="45"/>
      <c r="NE588" s="45"/>
      <c r="NF588" s="45"/>
      <c r="NG588" s="45"/>
      <c r="NH588" s="45"/>
      <c r="NI588" s="45"/>
      <c r="NJ588" s="45"/>
      <c r="NK588" s="45"/>
      <c r="NL588" s="45"/>
      <c r="NM588" s="45"/>
      <c r="NN588" s="45"/>
      <c r="NO588" s="45"/>
      <c r="NP588" s="45"/>
      <c r="NQ588" s="45"/>
      <c r="NR588" s="45"/>
      <c r="NS588" s="45"/>
      <c r="NT588" s="45"/>
      <c r="NU588" s="45"/>
      <c r="NV588" s="45"/>
      <c r="NW588" s="45"/>
      <c r="NX588" s="45"/>
      <c r="NY588" s="45"/>
      <c r="NZ588" s="45"/>
      <c r="OA588" s="45"/>
      <c r="OB588" s="45"/>
      <c r="OC588" s="45"/>
      <c r="OD588" s="45"/>
      <c r="OE588" s="45"/>
      <c r="OF588" s="45"/>
      <c r="OG588" s="45"/>
      <c r="OH588" s="45"/>
      <c r="OI588" s="45"/>
      <c r="OJ588" s="45"/>
      <c r="OK588" s="45"/>
      <c r="OL588" s="45"/>
      <c r="OM588" s="45"/>
      <c r="ON588" s="45"/>
      <c r="OO588" s="45"/>
      <c r="OP588" s="45"/>
      <c r="OQ588" s="45"/>
      <c r="OR588" s="45"/>
      <c r="OS588" s="45"/>
      <c r="OT588" s="45"/>
      <c r="OU588" s="45"/>
      <c r="OV588" s="45"/>
      <c r="OW588" s="45"/>
      <c r="OX588" s="45"/>
      <c r="OY588" s="45"/>
      <c r="OZ588" s="45"/>
      <c r="PA588" s="45"/>
      <c r="PB588" s="45"/>
      <c r="PC588" s="45"/>
      <c r="PD588" s="45"/>
      <c r="PE588" s="45"/>
      <c r="PF588" s="45"/>
      <c r="PG588" s="45"/>
      <c r="PH588" s="45"/>
      <c r="PI588" s="45"/>
      <c r="PJ588" s="45"/>
      <c r="PK588" s="45"/>
      <c r="PL588" s="45"/>
      <c r="PM588" s="45"/>
      <c r="PN588" s="45"/>
      <c r="PO588" s="45"/>
      <c r="PP588" s="45"/>
      <c r="PQ588" s="45"/>
      <c r="PR588" s="45"/>
      <c r="PS588" s="45"/>
      <c r="PT588" s="45"/>
      <c r="PU588" s="45"/>
      <c r="PV588" s="45"/>
      <c r="PW588" s="45"/>
      <c r="PX588" s="45"/>
      <c r="PY588" s="45"/>
      <c r="PZ588" s="45"/>
      <c r="QA588" s="45"/>
      <c r="QB588" s="45"/>
      <c r="QC588" s="45"/>
      <c r="QD588" s="45"/>
      <c r="QE588" s="45"/>
      <c r="QF588" s="45"/>
      <c r="QG588" s="45"/>
      <c r="QH588" s="45"/>
      <c r="QI588" s="45"/>
      <c r="QJ588" s="45"/>
      <c r="QK588" s="45"/>
      <c r="QL588" s="45"/>
      <c r="QM588" s="45"/>
      <c r="QN588" s="45"/>
      <c r="QO588" s="45"/>
      <c r="QP588" s="45"/>
      <c r="QQ588" s="45"/>
      <c r="QR588" s="45"/>
      <c r="QS588" s="45"/>
      <c r="QT588" s="45"/>
      <c r="QU588" s="45"/>
      <c r="QV588" s="45"/>
      <c r="QW588" s="45"/>
      <c r="QX588" s="45"/>
      <c r="QY588" s="45"/>
      <c r="QZ588" s="45"/>
      <c r="RA588" s="45"/>
      <c r="RB588" s="45"/>
      <c r="RC588" s="45"/>
      <c r="RD588" s="45"/>
      <c r="RE588" s="45"/>
      <c r="RF588" s="45"/>
      <c r="RG588" s="45"/>
      <c r="RH588" s="45"/>
      <c r="RI588" s="45"/>
      <c r="RJ588" s="45"/>
      <c r="RK588" s="45"/>
      <c r="RL588" s="45"/>
      <c r="RM588" s="45"/>
      <c r="RN588" s="45"/>
      <c r="RO588" s="45"/>
      <c r="RP588" s="45"/>
      <c r="RQ588" s="45"/>
      <c r="RR588" s="45"/>
      <c r="RS588" s="45"/>
      <c r="RT588" s="45"/>
      <c r="RU588" s="45"/>
      <c r="RV588" s="45"/>
      <c r="RW588" s="45"/>
      <c r="RX588" s="45"/>
      <c r="RY588" s="45"/>
      <c r="RZ588" s="45"/>
      <c r="SA588" s="45"/>
      <c r="SB588" s="45"/>
      <c r="SC588" s="45"/>
      <c r="SD588" s="45"/>
      <c r="SE588" s="45"/>
      <c r="SF588" s="45"/>
      <c r="SG588" s="45"/>
      <c r="SH588" s="45"/>
      <c r="SI588" s="45"/>
      <c r="SJ588" s="45"/>
      <c r="SK588" s="45"/>
      <c r="SL588" s="45"/>
      <c r="SM588" s="45"/>
      <c r="SN588" s="45"/>
      <c r="SO588" s="45"/>
      <c r="SP588" s="45"/>
      <c r="SQ588" s="45"/>
      <c r="SR588" s="45"/>
      <c r="SS588" s="45"/>
      <c r="ST588" s="45"/>
      <c r="SU588" s="45"/>
      <c r="SV588" s="45"/>
      <c r="SW588" s="45"/>
      <c r="SX588" s="45"/>
      <c r="SY588" s="45"/>
      <c r="SZ588" s="45"/>
      <c r="TA588" s="45"/>
      <c r="TB588" s="45"/>
      <c r="TC588" s="45"/>
    </row>
    <row r="589" spans="1:523">
      <c r="A589" s="45">
        <v>100</v>
      </c>
      <c r="B589" s="319" t="s">
        <v>840</v>
      </c>
      <c r="C589"/>
      <c r="D589"/>
      <c r="E589"/>
      <c r="F589"/>
      <c r="G589"/>
      <c r="H589"/>
      <c r="I589"/>
      <c r="J589"/>
      <c r="K589"/>
      <c r="L589"/>
      <c r="M589"/>
      <c r="N589"/>
      <c r="O589"/>
      <c r="T589"/>
      <c r="U589"/>
      <c r="V589"/>
      <c r="W589"/>
      <c r="X589"/>
      <c r="AA589"/>
      <c r="AB589"/>
      <c r="AC589"/>
      <c r="AD589"/>
      <c r="AE589"/>
      <c r="AF589"/>
      <c r="AG589"/>
      <c r="AH589"/>
      <c r="AI589"/>
      <c r="AJ589"/>
    </row>
    <row r="590" spans="1:523">
      <c r="A590" s="45">
        <v>101</v>
      </c>
      <c r="B590" s="320" t="s">
        <v>1020</v>
      </c>
      <c r="C590"/>
      <c r="D590"/>
      <c r="E590"/>
      <c r="F590"/>
      <c r="G590"/>
      <c r="H590"/>
      <c r="I590"/>
      <c r="J590"/>
      <c r="K590"/>
      <c r="L590"/>
      <c r="M590"/>
      <c r="N590"/>
      <c r="O590"/>
      <c r="T590"/>
      <c r="U590"/>
      <c r="V590"/>
      <c r="W590"/>
      <c r="X590"/>
      <c r="AA590"/>
      <c r="AB590"/>
      <c r="AC590"/>
      <c r="AD590"/>
      <c r="AE590"/>
      <c r="AF590"/>
      <c r="AG590"/>
      <c r="AH590"/>
      <c r="AI590"/>
      <c r="AJ590"/>
    </row>
    <row r="591" spans="1:523" s="188" customFormat="1">
      <c r="A591" s="45">
        <v>102</v>
      </c>
      <c r="B591" s="319" t="s">
        <v>907</v>
      </c>
      <c r="C591"/>
      <c r="D591"/>
      <c r="E591"/>
      <c r="F591"/>
      <c r="G591"/>
      <c r="H591"/>
      <c r="I591"/>
      <c r="J591"/>
      <c r="K591"/>
      <c r="L591"/>
      <c r="M591"/>
      <c r="N591"/>
      <c r="O591"/>
      <c r="P591" s="45"/>
      <c r="Q591" s="45"/>
      <c r="R591" s="45"/>
      <c r="S591" s="45"/>
      <c r="T591"/>
      <c r="U591"/>
      <c r="V591"/>
      <c r="W591"/>
      <c r="X591"/>
      <c r="Y591" s="45"/>
      <c r="Z591" s="45"/>
      <c r="AA591"/>
      <c r="AB591"/>
      <c r="AC591"/>
      <c r="AD591"/>
      <c r="AE591"/>
      <c r="AF591"/>
      <c r="AG591"/>
      <c r="AH591"/>
      <c r="AI591"/>
      <c r="AJ591"/>
      <c r="AK591" s="45"/>
      <c r="AL591" s="45"/>
      <c r="AM591" s="45"/>
      <c r="AN591" s="45"/>
      <c r="AO591" s="45"/>
      <c r="AP591" s="45"/>
      <c r="AQ591" s="45"/>
      <c r="AR591" s="45"/>
      <c r="AS591" s="45"/>
      <c r="AT591" s="45"/>
      <c r="AU591" s="45"/>
      <c r="AV591" s="45"/>
      <c r="AW591" s="45"/>
      <c r="AX591" s="45"/>
      <c r="AY591" s="45"/>
      <c r="AZ591" s="45"/>
      <c r="BA591" s="45"/>
      <c r="BB591" s="45"/>
      <c r="BC591" s="45"/>
      <c r="BD591" s="45"/>
      <c r="BE591" s="45"/>
      <c r="BF591" s="45"/>
      <c r="BG591" s="45"/>
      <c r="BH591" s="45"/>
      <c r="BI591" s="45"/>
      <c r="BJ591" s="45"/>
      <c r="BK591" s="45"/>
      <c r="BL591" s="45"/>
      <c r="BM591" s="45"/>
      <c r="BN591" s="45"/>
      <c r="BO591" s="45"/>
      <c r="BP591" s="45"/>
      <c r="BQ591" s="45"/>
      <c r="BR591" s="45"/>
      <c r="BS591" s="45"/>
      <c r="BT591" s="45"/>
      <c r="BU591" s="45"/>
      <c r="BV591" s="45"/>
      <c r="BW591" s="45"/>
      <c r="BX591" s="45"/>
      <c r="BY591" s="45"/>
      <c r="BZ591" s="45"/>
      <c r="CA591" s="45"/>
      <c r="CB591" s="45"/>
      <c r="CC591" s="45"/>
      <c r="CD591" s="45"/>
      <c r="CE591" s="45"/>
      <c r="CF591" s="45"/>
      <c r="CG591" s="45"/>
      <c r="CH591" s="45"/>
      <c r="CI591" s="45"/>
      <c r="CJ591" s="45"/>
      <c r="CK591" s="45"/>
      <c r="CL591" s="45"/>
      <c r="CM591" s="45"/>
      <c r="CN591" s="45"/>
      <c r="CO591" s="45"/>
      <c r="CP591" s="45"/>
      <c r="CQ591" s="45"/>
      <c r="CR591" s="45"/>
      <c r="CS591" s="45"/>
      <c r="CT591" s="45"/>
      <c r="CU591" s="45"/>
      <c r="CV591" s="45"/>
      <c r="CW591" s="45"/>
      <c r="CX591" s="45"/>
      <c r="CY591" s="45"/>
      <c r="CZ591" s="45"/>
      <c r="DA591" s="45"/>
      <c r="DB591" s="45"/>
      <c r="DC591" s="45"/>
      <c r="DD591" s="45"/>
      <c r="DE591" s="45"/>
      <c r="DF591" s="45"/>
      <c r="DG591" s="45"/>
      <c r="DH591" s="45"/>
      <c r="DI591" s="45"/>
      <c r="DJ591" s="45"/>
      <c r="DK591" s="45"/>
      <c r="DL591" s="45"/>
      <c r="DM591" s="45"/>
      <c r="DN591" s="45"/>
      <c r="DO591" s="45"/>
      <c r="DP591" s="45"/>
      <c r="DQ591" s="45"/>
      <c r="DR591" s="45"/>
      <c r="DS591" s="45"/>
      <c r="DT591" s="45"/>
      <c r="DU591" s="45"/>
      <c r="DV591" s="45"/>
      <c r="DW591" s="45"/>
      <c r="DX591" s="45"/>
      <c r="DY591" s="45"/>
      <c r="DZ591" s="45"/>
      <c r="EA591" s="45"/>
      <c r="EB591" s="45"/>
      <c r="EC591" s="45"/>
      <c r="ED591" s="45"/>
      <c r="EE591" s="45"/>
      <c r="EF591" s="45"/>
      <c r="EG591" s="45"/>
      <c r="EH591" s="45"/>
      <c r="EI591" s="45"/>
      <c r="EJ591" s="45"/>
      <c r="EK591" s="45"/>
      <c r="EL591" s="45"/>
      <c r="EM591" s="45"/>
      <c r="EN591" s="45"/>
      <c r="EO591" s="45"/>
      <c r="EP591" s="45"/>
      <c r="EQ591" s="45"/>
      <c r="ER591" s="45"/>
      <c r="ES591" s="45"/>
      <c r="ET591" s="45"/>
      <c r="EU591" s="45"/>
      <c r="EV591" s="45"/>
      <c r="EW591" s="45"/>
      <c r="EX591" s="45"/>
      <c r="EY591" s="45"/>
      <c r="EZ591" s="45"/>
      <c r="FA591" s="45"/>
      <c r="FB591" s="45"/>
      <c r="FC591" s="45"/>
      <c r="FD591" s="45"/>
      <c r="FE591" s="45"/>
      <c r="FF591" s="45"/>
      <c r="FG591" s="45"/>
      <c r="FH591" s="45"/>
      <c r="FI591" s="45"/>
      <c r="FJ591" s="45"/>
      <c r="FK591" s="45"/>
      <c r="FL591" s="45"/>
      <c r="FM591" s="45"/>
      <c r="FN591" s="45"/>
      <c r="FO591" s="45"/>
      <c r="FP591" s="45"/>
      <c r="FQ591" s="45"/>
      <c r="FR591" s="45"/>
      <c r="FS591" s="45"/>
      <c r="FT591" s="45"/>
      <c r="FU591" s="45"/>
      <c r="FV591" s="45"/>
      <c r="FW591" s="45"/>
      <c r="FX591" s="45"/>
      <c r="FY591" s="45"/>
      <c r="FZ591" s="45"/>
      <c r="GA591" s="45"/>
      <c r="GB591" s="45"/>
      <c r="GC591" s="45"/>
      <c r="GD591" s="45"/>
      <c r="GE591" s="45"/>
      <c r="GF591" s="45"/>
      <c r="GG591" s="45"/>
      <c r="GH591" s="45"/>
      <c r="GI591" s="45"/>
      <c r="GJ591" s="45"/>
      <c r="GK591" s="45"/>
      <c r="GL591" s="45"/>
      <c r="GM591" s="45"/>
      <c r="GN591" s="45"/>
      <c r="GO591" s="45"/>
      <c r="GP591" s="45"/>
      <c r="GQ591" s="45"/>
      <c r="GR591" s="45"/>
      <c r="GS591" s="45"/>
      <c r="GT591" s="45"/>
      <c r="GU591" s="45"/>
      <c r="GV591" s="45"/>
      <c r="GW591" s="45"/>
      <c r="GX591" s="45"/>
      <c r="GY591" s="45"/>
      <c r="GZ591" s="45"/>
      <c r="HA591" s="45"/>
      <c r="HB591" s="45"/>
      <c r="HC591" s="45"/>
      <c r="HD591" s="45"/>
      <c r="HE591" s="45"/>
      <c r="HF591" s="45"/>
      <c r="HG591" s="45"/>
      <c r="HH591" s="45"/>
      <c r="HI591" s="45"/>
      <c r="HJ591" s="45"/>
      <c r="HK591" s="45"/>
      <c r="HL591" s="45"/>
      <c r="HM591" s="45"/>
      <c r="HN591" s="45"/>
      <c r="HO591" s="45"/>
      <c r="HP591" s="45"/>
      <c r="HQ591" s="45"/>
      <c r="HR591" s="45"/>
      <c r="HS591" s="45"/>
      <c r="HT591" s="45"/>
      <c r="HU591" s="45"/>
      <c r="HV591" s="45"/>
      <c r="HW591" s="45"/>
      <c r="HX591" s="45"/>
      <c r="HY591" s="45"/>
      <c r="HZ591" s="45"/>
      <c r="IA591" s="45"/>
      <c r="IB591" s="45"/>
      <c r="IC591" s="45"/>
      <c r="ID591" s="45"/>
      <c r="IE591" s="45"/>
      <c r="IF591" s="45"/>
      <c r="IG591" s="45"/>
      <c r="IH591" s="45"/>
      <c r="II591" s="45"/>
      <c r="IJ591" s="45"/>
      <c r="IK591" s="45"/>
      <c r="IL591" s="45"/>
      <c r="IM591" s="45"/>
      <c r="IN591" s="45"/>
      <c r="IO591" s="45"/>
      <c r="IP591" s="45"/>
      <c r="IQ591" s="45"/>
      <c r="IR591" s="45"/>
      <c r="IS591" s="45"/>
      <c r="IT591" s="45"/>
      <c r="IU591" s="45"/>
      <c r="IV591" s="45"/>
      <c r="IW591" s="45"/>
      <c r="IX591" s="45"/>
      <c r="IY591" s="45"/>
      <c r="IZ591" s="45"/>
      <c r="JA591" s="45"/>
      <c r="JB591" s="45"/>
      <c r="JC591" s="45"/>
      <c r="JD591" s="45"/>
      <c r="JE591" s="45"/>
      <c r="JF591" s="45"/>
      <c r="JG591" s="45"/>
      <c r="JH591" s="45"/>
      <c r="JI591" s="45"/>
      <c r="JJ591" s="45"/>
      <c r="JK591" s="45"/>
      <c r="JL591" s="45"/>
      <c r="JM591" s="45"/>
      <c r="JN591" s="45"/>
      <c r="JO591" s="45"/>
      <c r="JP591" s="45"/>
      <c r="JQ591" s="45"/>
      <c r="JR591" s="45"/>
      <c r="JS591" s="45"/>
      <c r="JT591" s="45"/>
      <c r="JU591" s="45"/>
      <c r="JV591" s="45"/>
      <c r="JW591" s="45"/>
      <c r="JX591" s="45"/>
      <c r="JY591" s="45"/>
      <c r="JZ591" s="45"/>
      <c r="KA591" s="45"/>
      <c r="KB591" s="45"/>
      <c r="KC591" s="45"/>
      <c r="KD591" s="45"/>
      <c r="KE591" s="45"/>
      <c r="KF591" s="45"/>
      <c r="KG591" s="45"/>
      <c r="KH591" s="45"/>
      <c r="KI591" s="45"/>
      <c r="KJ591" s="45"/>
      <c r="KK591" s="45"/>
      <c r="KL591" s="45"/>
      <c r="KM591" s="45"/>
      <c r="KN591" s="45"/>
      <c r="KO591" s="45"/>
      <c r="KP591" s="45"/>
      <c r="KQ591" s="45"/>
      <c r="KR591" s="45"/>
      <c r="KS591" s="45"/>
      <c r="KT591" s="45"/>
      <c r="KU591" s="45"/>
      <c r="KV591" s="45"/>
      <c r="KW591" s="45"/>
      <c r="KX591" s="45"/>
      <c r="KY591" s="45"/>
      <c r="KZ591" s="45"/>
      <c r="LA591" s="45"/>
      <c r="LB591" s="45"/>
      <c r="LC591" s="45"/>
      <c r="LD591" s="45"/>
      <c r="LE591" s="45"/>
      <c r="LF591" s="45"/>
      <c r="LG591" s="45"/>
      <c r="LH591" s="45"/>
      <c r="LI591" s="45"/>
      <c r="LJ591" s="45"/>
      <c r="LK591" s="45"/>
      <c r="LL591" s="45"/>
      <c r="LM591" s="45"/>
      <c r="LN591" s="45"/>
      <c r="LO591" s="45"/>
      <c r="LP591" s="45"/>
      <c r="LQ591" s="45"/>
      <c r="LR591" s="45"/>
      <c r="LS591" s="45"/>
      <c r="LT591" s="45"/>
      <c r="LU591" s="45"/>
      <c r="LV591" s="45"/>
      <c r="LW591" s="45"/>
      <c r="LX591" s="45"/>
      <c r="LY591" s="45"/>
      <c r="LZ591" s="45"/>
      <c r="MA591" s="45"/>
      <c r="MB591" s="45"/>
      <c r="MC591" s="45"/>
      <c r="MD591" s="45"/>
      <c r="ME591" s="45"/>
      <c r="MF591" s="45"/>
      <c r="MG591" s="45"/>
      <c r="MH591" s="45"/>
      <c r="MI591" s="45"/>
      <c r="MJ591" s="45"/>
      <c r="MK591" s="45"/>
      <c r="ML591" s="45"/>
      <c r="MM591" s="45"/>
      <c r="MN591" s="45"/>
      <c r="MO591" s="45"/>
      <c r="MP591" s="45"/>
      <c r="MQ591" s="45"/>
      <c r="MR591" s="45"/>
      <c r="MS591" s="45"/>
      <c r="MT591" s="45"/>
      <c r="MU591" s="45"/>
      <c r="MV591" s="45"/>
      <c r="MW591" s="45"/>
      <c r="MX591" s="45"/>
      <c r="MY591" s="45"/>
      <c r="MZ591" s="45"/>
      <c r="NA591" s="45"/>
      <c r="NB591" s="45"/>
      <c r="NC591" s="45"/>
      <c r="ND591" s="45"/>
      <c r="NE591" s="45"/>
      <c r="NF591" s="45"/>
      <c r="NG591" s="45"/>
      <c r="NH591" s="45"/>
      <c r="NI591" s="45"/>
      <c r="NJ591" s="45"/>
      <c r="NK591" s="45"/>
      <c r="NL591" s="45"/>
      <c r="NM591" s="45"/>
      <c r="NN591" s="45"/>
      <c r="NO591" s="45"/>
      <c r="NP591" s="45"/>
      <c r="NQ591" s="45"/>
      <c r="NR591" s="45"/>
      <c r="NS591" s="45"/>
      <c r="NT591" s="45"/>
      <c r="NU591" s="45"/>
      <c r="NV591" s="45"/>
      <c r="NW591" s="45"/>
      <c r="NX591" s="45"/>
      <c r="NY591" s="45"/>
      <c r="NZ591" s="45"/>
      <c r="OA591" s="45"/>
      <c r="OB591" s="45"/>
      <c r="OC591" s="45"/>
      <c r="OD591" s="45"/>
      <c r="OE591" s="45"/>
      <c r="OF591" s="45"/>
      <c r="OG591" s="45"/>
      <c r="OH591" s="45"/>
      <c r="OI591" s="45"/>
      <c r="OJ591" s="45"/>
      <c r="OK591" s="45"/>
      <c r="OL591" s="45"/>
      <c r="OM591" s="45"/>
      <c r="ON591" s="45"/>
      <c r="OO591" s="45"/>
      <c r="OP591" s="45"/>
      <c r="OQ591" s="45"/>
      <c r="OR591" s="45"/>
      <c r="OS591" s="45"/>
      <c r="OT591" s="45"/>
      <c r="OU591" s="45"/>
      <c r="OV591" s="45"/>
      <c r="OW591" s="45"/>
      <c r="OX591" s="45"/>
      <c r="OY591" s="45"/>
      <c r="OZ591" s="45"/>
      <c r="PA591" s="45"/>
      <c r="PB591" s="45"/>
      <c r="PC591" s="45"/>
      <c r="PD591" s="45"/>
      <c r="PE591" s="45"/>
      <c r="PF591" s="45"/>
      <c r="PG591" s="45"/>
      <c r="PH591" s="45"/>
      <c r="PI591" s="45"/>
      <c r="PJ591" s="45"/>
      <c r="PK591" s="45"/>
      <c r="PL591" s="45"/>
      <c r="PM591" s="45"/>
      <c r="PN591" s="45"/>
      <c r="PO591" s="45"/>
      <c r="PP591" s="45"/>
      <c r="PQ591" s="45"/>
      <c r="PR591" s="45"/>
      <c r="PS591" s="45"/>
      <c r="PT591" s="45"/>
      <c r="PU591" s="45"/>
      <c r="PV591" s="45"/>
      <c r="PW591" s="45"/>
      <c r="PX591" s="45"/>
      <c r="PY591" s="45"/>
      <c r="PZ591" s="45"/>
      <c r="QA591" s="45"/>
      <c r="QB591" s="45"/>
      <c r="QC591" s="45"/>
      <c r="QD591" s="45"/>
      <c r="QE591" s="45"/>
      <c r="QF591" s="45"/>
      <c r="QG591" s="45"/>
      <c r="QH591" s="45"/>
      <c r="QI591" s="45"/>
      <c r="QJ591" s="45"/>
      <c r="QK591" s="45"/>
      <c r="QL591" s="45"/>
      <c r="QM591" s="45"/>
      <c r="QN591" s="45"/>
      <c r="QO591" s="45"/>
      <c r="QP591" s="45"/>
      <c r="QQ591" s="45"/>
      <c r="QR591" s="45"/>
      <c r="QS591" s="45"/>
      <c r="QT591" s="45"/>
      <c r="QU591" s="45"/>
      <c r="QV591" s="45"/>
      <c r="QW591" s="45"/>
      <c r="QX591" s="45"/>
      <c r="QY591" s="45"/>
      <c r="QZ591" s="45"/>
      <c r="RA591" s="45"/>
      <c r="RB591" s="45"/>
      <c r="RC591" s="45"/>
      <c r="RD591" s="45"/>
      <c r="RE591" s="45"/>
      <c r="RF591" s="45"/>
      <c r="RG591" s="45"/>
      <c r="RH591" s="45"/>
      <c r="RI591" s="45"/>
      <c r="RJ591" s="45"/>
      <c r="RK591" s="45"/>
      <c r="RL591" s="45"/>
      <c r="RM591" s="45"/>
      <c r="RN591" s="45"/>
      <c r="RO591" s="45"/>
      <c r="RP591" s="45"/>
      <c r="RQ591" s="45"/>
      <c r="RR591" s="45"/>
      <c r="RS591" s="45"/>
      <c r="RT591" s="45"/>
      <c r="RU591" s="45"/>
      <c r="RV591" s="45"/>
      <c r="RW591" s="45"/>
      <c r="RX591" s="45"/>
      <c r="RY591" s="45"/>
      <c r="RZ591" s="45"/>
      <c r="SA591" s="45"/>
      <c r="SB591" s="45"/>
      <c r="SC591" s="45"/>
      <c r="SD591" s="45"/>
      <c r="SE591" s="45"/>
      <c r="SF591" s="45"/>
      <c r="SG591" s="45"/>
      <c r="SH591" s="45"/>
      <c r="SI591" s="45"/>
      <c r="SJ591" s="45"/>
      <c r="SK591" s="45"/>
      <c r="SL591" s="45"/>
      <c r="SM591" s="45"/>
      <c r="SN591" s="45"/>
      <c r="SO591" s="45"/>
      <c r="SP591" s="45"/>
      <c r="SQ591" s="45"/>
      <c r="SR591" s="45"/>
      <c r="SS591" s="45"/>
      <c r="ST591" s="45"/>
      <c r="SU591" s="45"/>
      <c r="SV591" s="45"/>
      <c r="SW591" s="45"/>
      <c r="SX591" s="45"/>
      <c r="SY591" s="45"/>
      <c r="SZ591" s="45"/>
      <c r="TA591" s="45"/>
      <c r="TB591" s="45"/>
      <c r="TC591" s="45"/>
    </row>
    <row r="592" spans="1:523">
      <c r="A592" s="72">
        <v>103</v>
      </c>
      <c r="B592" s="319" t="s">
        <v>906</v>
      </c>
      <c r="C592"/>
      <c r="D592"/>
      <c r="E592"/>
      <c r="F592"/>
      <c r="G592"/>
      <c r="H592"/>
      <c r="I592"/>
      <c r="J592"/>
      <c r="K592"/>
      <c r="L592"/>
      <c r="M592"/>
      <c r="N592"/>
      <c r="O592"/>
      <c r="T592"/>
      <c r="U592"/>
      <c r="V592"/>
      <c r="W592"/>
      <c r="X592"/>
      <c r="AA592"/>
      <c r="AB592"/>
      <c r="AC592"/>
      <c r="AD592"/>
      <c r="AE592"/>
      <c r="AF592"/>
      <c r="AG592"/>
      <c r="AH592"/>
      <c r="AI592"/>
      <c r="AJ592"/>
    </row>
    <row r="593" spans="1:523" s="188" customFormat="1">
      <c r="A593" s="45">
        <v>104</v>
      </c>
      <c r="B593" s="319" t="s">
        <v>678</v>
      </c>
      <c r="C593"/>
      <c r="D593"/>
      <c r="E593"/>
      <c r="F593"/>
      <c r="G593"/>
      <c r="H593"/>
      <c r="I593"/>
      <c r="J593"/>
      <c r="K593"/>
      <c r="L593"/>
      <c r="M593"/>
      <c r="N593"/>
      <c r="O593"/>
      <c r="P593" s="45"/>
      <c r="Q593" s="45"/>
      <c r="R593" s="45"/>
      <c r="S593" s="45"/>
      <c r="T593"/>
      <c r="U593"/>
      <c r="V593"/>
      <c r="W593"/>
      <c r="X593"/>
      <c r="Y593" s="45"/>
      <c r="Z593" s="45"/>
      <c r="AA593"/>
      <c r="AB593"/>
      <c r="AC593"/>
      <c r="AD593"/>
      <c r="AE593"/>
      <c r="AF593"/>
      <c r="AG593"/>
      <c r="AH593"/>
      <c r="AI593"/>
      <c r="AJ593"/>
      <c r="AK593" s="45"/>
      <c r="AL593" s="45"/>
      <c r="AM593" s="45"/>
      <c r="AN593" s="45"/>
      <c r="AO593" s="45"/>
      <c r="AP593" s="45"/>
      <c r="AQ593" s="45"/>
      <c r="AR593" s="45"/>
      <c r="AS593" s="45"/>
      <c r="AT593" s="45"/>
      <c r="AU593" s="45"/>
      <c r="AV593" s="45"/>
      <c r="AW593" s="45"/>
      <c r="AX593" s="45"/>
      <c r="AY593" s="45"/>
      <c r="AZ593" s="45"/>
      <c r="BA593" s="45"/>
      <c r="BB593" s="45"/>
      <c r="BC593" s="45"/>
      <c r="BD593" s="45"/>
      <c r="BE593" s="45"/>
      <c r="BF593" s="45"/>
      <c r="BG593" s="45"/>
      <c r="BH593" s="45"/>
      <c r="BI593" s="45"/>
      <c r="BJ593" s="45"/>
      <c r="BK593" s="45"/>
      <c r="BL593" s="45"/>
      <c r="BM593" s="45"/>
      <c r="BN593" s="45"/>
      <c r="BO593" s="45"/>
      <c r="BP593" s="45"/>
      <c r="BQ593" s="45"/>
      <c r="BR593" s="45"/>
      <c r="BS593" s="45"/>
      <c r="BT593" s="45"/>
      <c r="BU593" s="45"/>
      <c r="BV593" s="45"/>
      <c r="BW593" s="45"/>
      <c r="BX593" s="45"/>
      <c r="BY593" s="45"/>
      <c r="BZ593" s="45"/>
      <c r="CA593" s="45"/>
      <c r="CB593" s="45"/>
      <c r="CC593" s="45"/>
      <c r="CD593" s="45"/>
      <c r="CE593" s="45"/>
      <c r="CF593" s="45"/>
      <c r="CG593" s="45"/>
      <c r="CH593" s="45"/>
      <c r="CI593" s="45"/>
      <c r="CJ593" s="45"/>
      <c r="CK593" s="45"/>
      <c r="CL593" s="45"/>
      <c r="CM593" s="45"/>
      <c r="CN593" s="45"/>
      <c r="CO593" s="45"/>
      <c r="CP593" s="45"/>
      <c r="CQ593" s="45"/>
      <c r="CR593" s="45"/>
      <c r="CS593" s="45"/>
      <c r="CT593" s="45"/>
      <c r="CU593" s="45"/>
      <c r="CV593" s="45"/>
      <c r="CW593" s="45"/>
      <c r="CX593" s="45"/>
      <c r="CY593" s="45"/>
      <c r="CZ593" s="45"/>
      <c r="DA593" s="45"/>
      <c r="DB593" s="45"/>
      <c r="DC593" s="45"/>
      <c r="DD593" s="45"/>
      <c r="DE593" s="45"/>
      <c r="DF593" s="45"/>
      <c r="DG593" s="45"/>
      <c r="DH593" s="45"/>
      <c r="DI593" s="45"/>
      <c r="DJ593" s="45"/>
      <c r="DK593" s="45"/>
      <c r="DL593" s="45"/>
      <c r="DM593" s="45"/>
      <c r="DN593" s="45"/>
      <c r="DO593" s="45"/>
      <c r="DP593" s="45"/>
      <c r="DQ593" s="45"/>
      <c r="DR593" s="45"/>
      <c r="DS593" s="45"/>
      <c r="DT593" s="45"/>
      <c r="DU593" s="45"/>
      <c r="DV593" s="45"/>
      <c r="DW593" s="45"/>
      <c r="DX593" s="45"/>
      <c r="DY593" s="45"/>
      <c r="DZ593" s="45"/>
      <c r="EA593" s="45"/>
      <c r="EB593" s="45"/>
      <c r="EC593" s="45"/>
      <c r="ED593" s="45"/>
      <c r="EE593" s="45"/>
      <c r="EF593" s="45"/>
      <c r="EG593" s="45"/>
      <c r="EH593" s="45"/>
      <c r="EI593" s="45"/>
      <c r="EJ593" s="45"/>
      <c r="EK593" s="45"/>
      <c r="EL593" s="45"/>
      <c r="EM593" s="45"/>
      <c r="EN593" s="45"/>
      <c r="EO593" s="45"/>
      <c r="EP593" s="45"/>
      <c r="EQ593" s="45"/>
      <c r="ER593" s="45"/>
      <c r="ES593" s="45"/>
      <c r="ET593" s="45"/>
      <c r="EU593" s="45"/>
      <c r="EV593" s="45"/>
      <c r="EW593" s="45"/>
      <c r="EX593" s="45"/>
      <c r="EY593" s="45"/>
      <c r="EZ593" s="45"/>
      <c r="FA593" s="45"/>
      <c r="FB593" s="45"/>
      <c r="FC593" s="45"/>
      <c r="FD593" s="45"/>
      <c r="FE593" s="45"/>
      <c r="FF593" s="45"/>
      <c r="FG593" s="45"/>
      <c r="FH593" s="45"/>
      <c r="FI593" s="45"/>
      <c r="FJ593" s="45"/>
      <c r="FK593" s="45"/>
      <c r="FL593" s="45"/>
      <c r="FM593" s="45"/>
      <c r="FN593" s="45"/>
      <c r="FO593" s="45"/>
      <c r="FP593" s="45"/>
      <c r="FQ593" s="45"/>
      <c r="FR593" s="45"/>
      <c r="FS593" s="45"/>
      <c r="FT593" s="45"/>
      <c r="FU593" s="45"/>
      <c r="FV593" s="45"/>
      <c r="FW593" s="45"/>
      <c r="FX593" s="45"/>
      <c r="FY593" s="45"/>
      <c r="FZ593" s="45"/>
      <c r="GA593" s="45"/>
      <c r="GB593" s="45"/>
      <c r="GC593" s="45"/>
      <c r="GD593" s="45"/>
      <c r="GE593" s="45"/>
      <c r="GF593" s="45"/>
      <c r="GG593" s="45"/>
      <c r="GH593" s="45"/>
      <c r="GI593" s="45"/>
      <c r="GJ593" s="45"/>
      <c r="GK593" s="45"/>
      <c r="GL593" s="45"/>
      <c r="GM593" s="45"/>
      <c r="GN593" s="45"/>
      <c r="GO593" s="45"/>
      <c r="GP593" s="45"/>
      <c r="GQ593" s="45"/>
      <c r="GR593" s="45"/>
      <c r="GS593" s="45"/>
      <c r="GT593" s="45"/>
      <c r="GU593" s="45"/>
      <c r="GV593" s="45"/>
      <c r="GW593" s="45"/>
      <c r="GX593" s="45"/>
      <c r="GY593" s="45"/>
      <c r="GZ593" s="45"/>
      <c r="HA593" s="45"/>
      <c r="HB593" s="45"/>
      <c r="HC593" s="45"/>
      <c r="HD593" s="45"/>
      <c r="HE593" s="45"/>
      <c r="HF593" s="45"/>
      <c r="HG593" s="45"/>
      <c r="HH593" s="45"/>
      <c r="HI593" s="45"/>
      <c r="HJ593" s="45"/>
      <c r="HK593" s="45"/>
      <c r="HL593" s="45"/>
      <c r="HM593" s="45"/>
      <c r="HN593" s="45"/>
      <c r="HO593" s="45"/>
      <c r="HP593" s="45"/>
      <c r="HQ593" s="45"/>
      <c r="HR593" s="45"/>
      <c r="HS593" s="45"/>
      <c r="HT593" s="45"/>
      <c r="HU593" s="45"/>
      <c r="HV593" s="45"/>
      <c r="HW593" s="45"/>
      <c r="HX593" s="45"/>
      <c r="HY593" s="45"/>
      <c r="HZ593" s="45"/>
      <c r="IA593" s="45"/>
      <c r="IB593" s="45"/>
      <c r="IC593" s="45"/>
      <c r="ID593" s="45"/>
      <c r="IE593" s="45"/>
      <c r="IF593" s="45"/>
      <c r="IG593" s="45"/>
      <c r="IH593" s="45"/>
      <c r="II593" s="45"/>
      <c r="IJ593" s="45"/>
      <c r="IK593" s="45"/>
      <c r="IL593" s="45"/>
      <c r="IM593" s="45"/>
      <c r="IN593" s="45"/>
      <c r="IO593" s="45"/>
      <c r="IP593" s="45"/>
      <c r="IQ593" s="45"/>
      <c r="IR593" s="45"/>
      <c r="IS593" s="45"/>
      <c r="IT593" s="45"/>
      <c r="IU593" s="45"/>
      <c r="IV593" s="45"/>
      <c r="IW593" s="45"/>
      <c r="IX593" s="45"/>
      <c r="IY593" s="45"/>
      <c r="IZ593" s="45"/>
      <c r="JA593" s="45"/>
      <c r="JB593" s="45"/>
      <c r="JC593" s="45"/>
      <c r="JD593" s="45"/>
      <c r="JE593" s="45"/>
      <c r="JF593" s="45"/>
      <c r="JG593" s="45"/>
      <c r="JH593" s="45"/>
      <c r="JI593" s="45"/>
      <c r="JJ593" s="45"/>
      <c r="JK593" s="45"/>
      <c r="JL593" s="45"/>
      <c r="JM593" s="45"/>
      <c r="JN593" s="45"/>
      <c r="JO593" s="45"/>
      <c r="JP593" s="45"/>
      <c r="JQ593" s="45"/>
      <c r="JR593" s="45"/>
      <c r="JS593" s="45"/>
      <c r="JT593" s="45"/>
      <c r="JU593" s="45"/>
      <c r="JV593" s="45"/>
      <c r="JW593" s="45"/>
      <c r="JX593" s="45"/>
      <c r="JY593" s="45"/>
      <c r="JZ593" s="45"/>
      <c r="KA593" s="45"/>
      <c r="KB593" s="45"/>
      <c r="KC593" s="45"/>
      <c r="KD593" s="45"/>
      <c r="KE593" s="45"/>
      <c r="KF593" s="45"/>
      <c r="KG593" s="45"/>
      <c r="KH593" s="45"/>
      <c r="KI593" s="45"/>
      <c r="KJ593" s="45"/>
      <c r="KK593" s="45"/>
      <c r="KL593" s="45"/>
      <c r="KM593" s="45"/>
      <c r="KN593" s="45"/>
      <c r="KO593" s="45"/>
      <c r="KP593" s="45"/>
      <c r="KQ593" s="45"/>
      <c r="KR593" s="45"/>
      <c r="KS593" s="45"/>
      <c r="KT593" s="45"/>
      <c r="KU593" s="45"/>
      <c r="KV593" s="45"/>
      <c r="KW593" s="45"/>
      <c r="KX593" s="45"/>
      <c r="KY593" s="45"/>
      <c r="KZ593" s="45"/>
      <c r="LA593" s="45"/>
      <c r="LB593" s="45"/>
      <c r="LC593" s="45"/>
      <c r="LD593" s="45"/>
      <c r="LE593" s="45"/>
      <c r="LF593" s="45"/>
      <c r="LG593" s="45"/>
      <c r="LH593" s="45"/>
      <c r="LI593" s="45"/>
      <c r="LJ593" s="45"/>
      <c r="LK593" s="45"/>
      <c r="LL593" s="45"/>
      <c r="LM593" s="45"/>
      <c r="LN593" s="45"/>
      <c r="LO593" s="45"/>
      <c r="LP593" s="45"/>
      <c r="LQ593" s="45"/>
      <c r="LR593" s="45"/>
      <c r="LS593" s="45"/>
      <c r="LT593" s="45"/>
      <c r="LU593" s="45"/>
      <c r="LV593" s="45"/>
      <c r="LW593" s="45"/>
      <c r="LX593" s="45"/>
      <c r="LY593" s="45"/>
      <c r="LZ593" s="45"/>
      <c r="MA593" s="45"/>
      <c r="MB593" s="45"/>
      <c r="MC593" s="45"/>
      <c r="MD593" s="45"/>
      <c r="ME593" s="45"/>
      <c r="MF593" s="45"/>
      <c r="MG593" s="45"/>
      <c r="MH593" s="45"/>
      <c r="MI593" s="45"/>
      <c r="MJ593" s="45"/>
      <c r="MK593" s="45"/>
      <c r="ML593" s="45"/>
      <c r="MM593" s="45"/>
      <c r="MN593" s="45"/>
      <c r="MO593" s="45"/>
      <c r="MP593" s="45"/>
      <c r="MQ593" s="45"/>
      <c r="MR593" s="45"/>
      <c r="MS593" s="45"/>
      <c r="MT593" s="45"/>
      <c r="MU593" s="45"/>
      <c r="MV593" s="45"/>
      <c r="MW593" s="45"/>
      <c r="MX593" s="45"/>
      <c r="MY593" s="45"/>
      <c r="MZ593" s="45"/>
      <c r="NA593" s="45"/>
      <c r="NB593" s="45"/>
      <c r="NC593" s="45"/>
      <c r="ND593" s="45"/>
      <c r="NE593" s="45"/>
      <c r="NF593" s="45"/>
      <c r="NG593" s="45"/>
      <c r="NH593" s="45"/>
      <c r="NI593" s="45"/>
      <c r="NJ593" s="45"/>
      <c r="NK593" s="45"/>
      <c r="NL593" s="45"/>
      <c r="NM593" s="45"/>
      <c r="NN593" s="45"/>
      <c r="NO593" s="45"/>
      <c r="NP593" s="45"/>
      <c r="NQ593" s="45"/>
      <c r="NR593" s="45"/>
      <c r="NS593" s="45"/>
      <c r="NT593" s="45"/>
      <c r="NU593" s="45"/>
      <c r="NV593" s="45"/>
      <c r="NW593" s="45"/>
      <c r="NX593" s="45"/>
      <c r="NY593" s="45"/>
      <c r="NZ593" s="45"/>
      <c r="OA593" s="45"/>
      <c r="OB593" s="45"/>
      <c r="OC593" s="45"/>
      <c r="OD593" s="45"/>
      <c r="OE593" s="45"/>
      <c r="OF593" s="45"/>
      <c r="OG593" s="45"/>
      <c r="OH593" s="45"/>
      <c r="OI593" s="45"/>
      <c r="OJ593" s="45"/>
      <c r="OK593" s="45"/>
      <c r="OL593" s="45"/>
      <c r="OM593" s="45"/>
      <c r="ON593" s="45"/>
      <c r="OO593" s="45"/>
      <c r="OP593" s="45"/>
      <c r="OQ593" s="45"/>
      <c r="OR593" s="45"/>
      <c r="OS593" s="45"/>
      <c r="OT593" s="45"/>
      <c r="OU593" s="45"/>
      <c r="OV593" s="45"/>
      <c r="OW593" s="45"/>
      <c r="OX593" s="45"/>
      <c r="OY593" s="45"/>
      <c r="OZ593" s="45"/>
      <c r="PA593" s="45"/>
      <c r="PB593" s="45"/>
      <c r="PC593" s="45"/>
      <c r="PD593" s="45"/>
      <c r="PE593" s="45"/>
      <c r="PF593" s="45"/>
      <c r="PG593" s="45"/>
      <c r="PH593" s="45"/>
      <c r="PI593" s="45"/>
      <c r="PJ593" s="45"/>
      <c r="PK593" s="45"/>
      <c r="PL593" s="45"/>
      <c r="PM593" s="45"/>
      <c r="PN593" s="45"/>
      <c r="PO593" s="45"/>
      <c r="PP593" s="45"/>
      <c r="PQ593" s="45"/>
      <c r="PR593" s="45"/>
      <c r="PS593" s="45"/>
      <c r="PT593" s="45"/>
      <c r="PU593" s="45"/>
      <c r="PV593" s="45"/>
      <c r="PW593" s="45"/>
      <c r="PX593" s="45"/>
      <c r="PY593" s="45"/>
      <c r="PZ593" s="45"/>
      <c r="QA593" s="45"/>
      <c r="QB593" s="45"/>
      <c r="QC593" s="45"/>
      <c r="QD593" s="45"/>
      <c r="QE593" s="45"/>
      <c r="QF593" s="45"/>
      <c r="QG593" s="45"/>
      <c r="QH593" s="45"/>
      <c r="QI593" s="45"/>
      <c r="QJ593" s="45"/>
      <c r="QK593" s="45"/>
      <c r="QL593" s="45"/>
      <c r="QM593" s="45"/>
      <c r="QN593" s="45"/>
      <c r="QO593" s="45"/>
      <c r="QP593" s="45"/>
      <c r="QQ593" s="45"/>
      <c r="QR593" s="45"/>
      <c r="QS593" s="45"/>
      <c r="QT593" s="45"/>
      <c r="QU593" s="45"/>
      <c r="QV593" s="45"/>
      <c r="QW593" s="45"/>
      <c r="QX593" s="45"/>
      <c r="QY593" s="45"/>
      <c r="QZ593" s="45"/>
      <c r="RA593" s="45"/>
      <c r="RB593" s="45"/>
      <c r="RC593" s="45"/>
      <c r="RD593" s="45"/>
      <c r="RE593" s="45"/>
      <c r="RF593" s="45"/>
      <c r="RG593" s="45"/>
      <c r="RH593" s="45"/>
      <c r="RI593" s="45"/>
      <c r="RJ593" s="45"/>
      <c r="RK593" s="45"/>
      <c r="RL593" s="45"/>
      <c r="RM593" s="45"/>
      <c r="RN593" s="45"/>
      <c r="RO593" s="45"/>
      <c r="RP593" s="45"/>
      <c r="RQ593" s="45"/>
      <c r="RR593" s="45"/>
      <c r="RS593" s="45"/>
      <c r="RT593" s="45"/>
      <c r="RU593" s="45"/>
      <c r="RV593" s="45"/>
      <c r="RW593" s="45"/>
      <c r="RX593" s="45"/>
      <c r="RY593" s="45"/>
      <c r="RZ593" s="45"/>
      <c r="SA593" s="45"/>
      <c r="SB593" s="45"/>
      <c r="SC593" s="45"/>
      <c r="SD593" s="45"/>
      <c r="SE593" s="45"/>
      <c r="SF593" s="45"/>
      <c r="SG593" s="45"/>
      <c r="SH593" s="45"/>
      <c r="SI593" s="45"/>
      <c r="SJ593" s="45"/>
      <c r="SK593" s="45"/>
      <c r="SL593" s="45"/>
      <c r="SM593" s="45"/>
      <c r="SN593" s="45"/>
      <c r="SO593" s="45"/>
      <c r="SP593" s="45"/>
      <c r="SQ593" s="45"/>
      <c r="SR593" s="45"/>
      <c r="SS593" s="45"/>
      <c r="ST593" s="45"/>
      <c r="SU593" s="45"/>
      <c r="SV593" s="45"/>
      <c r="SW593" s="45"/>
      <c r="SX593" s="45"/>
      <c r="SY593" s="45"/>
      <c r="SZ593" s="45"/>
      <c r="TA593" s="45"/>
      <c r="TB593" s="45"/>
      <c r="TC593" s="45"/>
    </row>
    <row r="594" spans="1:523" s="188" customFormat="1">
      <c r="A594" s="45">
        <v>105</v>
      </c>
      <c r="B594" s="319" t="s">
        <v>551</v>
      </c>
      <c r="C594"/>
      <c r="D594"/>
      <c r="E594"/>
      <c r="F594"/>
      <c r="G594"/>
      <c r="H594"/>
      <c r="I594"/>
      <c r="J594"/>
      <c r="K594"/>
      <c r="L594"/>
      <c r="M594"/>
      <c r="N594"/>
      <c r="O594"/>
      <c r="P594" s="45"/>
      <c r="Q594" s="45"/>
      <c r="R594" s="45"/>
      <c r="S594" s="45"/>
      <c r="T594"/>
      <c r="U594"/>
      <c r="V594"/>
      <c r="W594"/>
      <c r="X594"/>
      <c r="Y594" s="45"/>
      <c r="Z594" s="45"/>
      <c r="AA594"/>
      <c r="AB594"/>
      <c r="AC594"/>
      <c r="AD594"/>
      <c r="AE594"/>
      <c r="AF594"/>
      <c r="AG594"/>
      <c r="AH594"/>
      <c r="AI594"/>
      <c r="AJ594"/>
      <c r="AK594" s="45"/>
      <c r="AL594" s="45"/>
      <c r="AM594" s="45"/>
      <c r="AN594" s="45"/>
      <c r="AO594" s="45"/>
      <c r="AP594" s="45"/>
      <c r="AQ594" s="45"/>
      <c r="AR594" s="45"/>
      <c r="AS594" s="45"/>
      <c r="AT594" s="45"/>
      <c r="AU594" s="45"/>
      <c r="AV594" s="45"/>
      <c r="AW594" s="45"/>
      <c r="AX594" s="45"/>
      <c r="AY594" s="45"/>
      <c r="AZ594" s="45"/>
      <c r="BA594" s="45"/>
      <c r="BB594" s="45"/>
      <c r="BC594" s="45"/>
      <c r="BD594" s="45"/>
      <c r="BE594" s="45"/>
      <c r="BF594" s="45"/>
      <c r="BG594" s="45"/>
      <c r="BH594" s="45"/>
      <c r="BI594" s="45"/>
      <c r="BJ594" s="45"/>
      <c r="BK594" s="45"/>
      <c r="BL594" s="45"/>
      <c r="BM594" s="45"/>
      <c r="BN594" s="45"/>
      <c r="BO594" s="45"/>
      <c r="BP594" s="45"/>
      <c r="BQ594" s="45"/>
      <c r="BR594" s="45"/>
      <c r="BS594" s="45"/>
      <c r="BT594" s="45"/>
      <c r="BU594" s="45"/>
      <c r="BV594" s="45"/>
      <c r="BW594" s="45"/>
      <c r="BX594" s="45"/>
      <c r="BY594" s="45"/>
      <c r="BZ594" s="45"/>
      <c r="CA594" s="45"/>
      <c r="CB594" s="45"/>
      <c r="CC594" s="45"/>
      <c r="CD594" s="45"/>
      <c r="CE594" s="45"/>
      <c r="CF594" s="45"/>
      <c r="CG594" s="45"/>
      <c r="CH594" s="45"/>
      <c r="CI594" s="45"/>
      <c r="CJ594" s="45"/>
      <c r="CK594" s="45"/>
      <c r="CL594" s="45"/>
      <c r="CM594" s="45"/>
      <c r="CN594" s="45"/>
      <c r="CO594" s="45"/>
      <c r="CP594" s="45"/>
      <c r="CQ594" s="45"/>
      <c r="CR594" s="45"/>
      <c r="CS594" s="45"/>
      <c r="CT594" s="45"/>
      <c r="CU594" s="45"/>
      <c r="CV594" s="45"/>
      <c r="CW594" s="45"/>
      <c r="CX594" s="45"/>
      <c r="CY594" s="45"/>
      <c r="CZ594" s="45"/>
      <c r="DA594" s="45"/>
      <c r="DB594" s="45"/>
      <c r="DC594" s="45"/>
      <c r="DD594" s="45"/>
      <c r="DE594" s="45"/>
      <c r="DF594" s="45"/>
      <c r="DG594" s="45"/>
      <c r="DH594" s="45"/>
      <c r="DI594" s="45"/>
      <c r="DJ594" s="45"/>
      <c r="DK594" s="45"/>
      <c r="DL594" s="45"/>
      <c r="DM594" s="45"/>
      <c r="DN594" s="45"/>
      <c r="DO594" s="45"/>
      <c r="DP594" s="45"/>
      <c r="DQ594" s="45"/>
      <c r="DR594" s="45"/>
      <c r="DS594" s="45"/>
      <c r="DT594" s="45"/>
      <c r="DU594" s="45"/>
      <c r="DV594" s="45"/>
      <c r="DW594" s="45"/>
      <c r="DX594" s="45"/>
      <c r="DY594" s="45"/>
      <c r="DZ594" s="45"/>
      <c r="EA594" s="45"/>
      <c r="EB594" s="45"/>
      <c r="EC594" s="45"/>
      <c r="ED594" s="45"/>
      <c r="EE594" s="45"/>
      <c r="EF594" s="45"/>
      <c r="EG594" s="45"/>
      <c r="EH594" s="45"/>
      <c r="EI594" s="45"/>
      <c r="EJ594" s="45"/>
      <c r="EK594" s="45"/>
      <c r="EL594" s="45"/>
      <c r="EM594" s="45"/>
      <c r="EN594" s="45"/>
      <c r="EO594" s="45"/>
      <c r="EP594" s="45"/>
      <c r="EQ594" s="45"/>
      <c r="ER594" s="45"/>
      <c r="ES594" s="45"/>
      <c r="ET594" s="45"/>
      <c r="EU594" s="45"/>
      <c r="EV594" s="45"/>
      <c r="EW594" s="45"/>
      <c r="EX594" s="45"/>
      <c r="EY594" s="45"/>
      <c r="EZ594" s="45"/>
      <c r="FA594" s="45"/>
      <c r="FB594" s="45"/>
      <c r="FC594" s="45"/>
      <c r="FD594" s="45"/>
      <c r="FE594" s="45"/>
      <c r="FF594" s="45"/>
      <c r="FG594" s="45"/>
      <c r="FH594" s="45"/>
      <c r="FI594" s="45"/>
      <c r="FJ594" s="45"/>
      <c r="FK594" s="45"/>
      <c r="FL594" s="45"/>
      <c r="FM594" s="45"/>
      <c r="FN594" s="45"/>
      <c r="FO594" s="45"/>
      <c r="FP594" s="45"/>
      <c r="FQ594" s="45"/>
      <c r="FR594" s="45"/>
      <c r="FS594" s="45"/>
      <c r="FT594" s="45"/>
      <c r="FU594" s="45"/>
      <c r="FV594" s="45"/>
      <c r="FW594" s="45"/>
      <c r="FX594" s="45"/>
      <c r="FY594" s="45"/>
      <c r="FZ594" s="45"/>
      <c r="GA594" s="45"/>
      <c r="GB594" s="45"/>
      <c r="GC594" s="45"/>
      <c r="GD594" s="45"/>
      <c r="GE594" s="45"/>
      <c r="GF594" s="45"/>
      <c r="GG594" s="45"/>
      <c r="GH594" s="45"/>
      <c r="GI594" s="45"/>
      <c r="GJ594" s="45"/>
      <c r="GK594" s="45"/>
      <c r="GL594" s="45"/>
      <c r="GM594" s="45"/>
      <c r="GN594" s="45"/>
      <c r="GO594" s="45"/>
      <c r="GP594" s="45"/>
      <c r="GQ594" s="45"/>
      <c r="GR594" s="45"/>
      <c r="GS594" s="45"/>
      <c r="GT594" s="45"/>
      <c r="GU594" s="45"/>
      <c r="GV594" s="45"/>
      <c r="GW594" s="45"/>
      <c r="GX594" s="45"/>
      <c r="GY594" s="45"/>
      <c r="GZ594" s="45"/>
      <c r="HA594" s="45"/>
      <c r="HB594" s="45"/>
      <c r="HC594" s="45"/>
      <c r="HD594" s="45"/>
      <c r="HE594" s="45"/>
      <c r="HF594" s="45"/>
      <c r="HG594" s="45"/>
      <c r="HH594" s="45"/>
      <c r="HI594" s="45"/>
      <c r="HJ594" s="45"/>
      <c r="HK594" s="45"/>
      <c r="HL594" s="45"/>
      <c r="HM594" s="45"/>
      <c r="HN594" s="45"/>
      <c r="HO594" s="45"/>
      <c r="HP594" s="45"/>
      <c r="HQ594" s="45"/>
      <c r="HR594" s="45"/>
      <c r="HS594" s="45"/>
      <c r="HT594" s="45"/>
      <c r="HU594" s="45"/>
      <c r="HV594" s="45"/>
      <c r="HW594" s="45"/>
      <c r="HX594" s="45"/>
      <c r="HY594" s="45"/>
      <c r="HZ594" s="45"/>
      <c r="IA594" s="45"/>
      <c r="IB594" s="45"/>
      <c r="IC594" s="45"/>
      <c r="ID594" s="45"/>
      <c r="IE594" s="45"/>
      <c r="IF594" s="45"/>
      <c r="IG594" s="45"/>
      <c r="IH594" s="45"/>
      <c r="II594" s="45"/>
      <c r="IJ594" s="45"/>
      <c r="IK594" s="45"/>
      <c r="IL594" s="45"/>
      <c r="IM594" s="45"/>
      <c r="IN594" s="45"/>
      <c r="IO594" s="45"/>
      <c r="IP594" s="45"/>
      <c r="IQ594" s="45"/>
      <c r="IR594" s="45"/>
      <c r="IS594" s="45"/>
      <c r="IT594" s="45"/>
      <c r="IU594" s="45"/>
      <c r="IV594" s="45"/>
      <c r="IW594" s="45"/>
      <c r="IX594" s="45"/>
      <c r="IY594" s="45"/>
      <c r="IZ594" s="45"/>
      <c r="JA594" s="45"/>
      <c r="JB594" s="45"/>
      <c r="JC594" s="45"/>
      <c r="JD594" s="45"/>
      <c r="JE594" s="45"/>
      <c r="JF594" s="45"/>
      <c r="JG594" s="45"/>
      <c r="JH594" s="45"/>
      <c r="JI594" s="45"/>
      <c r="JJ594" s="45"/>
      <c r="JK594" s="45"/>
      <c r="JL594" s="45"/>
      <c r="JM594" s="45"/>
      <c r="JN594" s="45"/>
      <c r="JO594" s="45"/>
      <c r="JP594" s="45"/>
      <c r="JQ594" s="45"/>
      <c r="JR594" s="45"/>
      <c r="JS594" s="45"/>
      <c r="JT594" s="45"/>
      <c r="JU594" s="45"/>
      <c r="JV594" s="45"/>
      <c r="JW594" s="45"/>
      <c r="JX594" s="45"/>
      <c r="JY594" s="45"/>
      <c r="JZ594" s="45"/>
      <c r="KA594" s="45"/>
      <c r="KB594" s="45"/>
      <c r="KC594" s="45"/>
      <c r="KD594" s="45"/>
      <c r="KE594" s="45"/>
      <c r="KF594" s="45"/>
      <c r="KG594" s="45"/>
      <c r="KH594" s="45"/>
      <c r="KI594" s="45"/>
      <c r="KJ594" s="45"/>
      <c r="KK594" s="45"/>
      <c r="KL594" s="45"/>
      <c r="KM594" s="45"/>
      <c r="KN594" s="45"/>
      <c r="KO594" s="45"/>
      <c r="KP594" s="45"/>
      <c r="KQ594" s="45"/>
      <c r="KR594" s="45"/>
      <c r="KS594" s="45"/>
      <c r="KT594" s="45"/>
      <c r="KU594" s="45"/>
      <c r="KV594" s="45"/>
      <c r="KW594" s="45"/>
      <c r="KX594" s="45"/>
      <c r="KY594" s="45"/>
      <c r="KZ594" s="45"/>
      <c r="LA594" s="45"/>
      <c r="LB594" s="45"/>
      <c r="LC594" s="45"/>
      <c r="LD594" s="45"/>
      <c r="LE594" s="45"/>
      <c r="LF594" s="45"/>
      <c r="LG594" s="45"/>
      <c r="LH594" s="45"/>
      <c r="LI594" s="45"/>
      <c r="LJ594" s="45"/>
      <c r="LK594" s="45"/>
      <c r="LL594" s="45"/>
      <c r="LM594" s="45"/>
      <c r="LN594" s="45"/>
      <c r="LO594" s="45"/>
      <c r="LP594" s="45"/>
      <c r="LQ594" s="45"/>
      <c r="LR594" s="45"/>
      <c r="LS594" s="45"/>
      <c r="LT594" s="45"/>
      <c r="LU594" s="45"/>
      <c r="LV594" s="45"/>
      <c r="LW594" s="45"/>
      <c r="LX594" s="45"/>
      <c r="LY594" s="45"/>
      <c r="LZ594" s="45"/>
      <c r="MA594" s="45"/>
      <c r="MB594" s="45"/>
      <c r="MC594" s="45"/>
      <c r="MD594" s="45"/>
      <c r="ME594" s="45"/>
      <c r="MF594" s="45"/>
      <c r="MG594" s="45"/>
      <c r="MH594" s="45"/>
      <c r="MI594" s="45"/>
      <c r="MJ594" s="45"/>
      <c r="MK594" s="45"/>
      <c r="ML594" s="45"/>
      <c r="MM594" s="45"/>
      <c r="MN594" s="45"/>
      <c r="MO594" s="45"/>
      <c r="MP594" s="45"/>
      <c r="MQ594" s="45"/>
      <c r="MR594" s="45"/>
      <c r="MS594" s="45"/>
      <c r="MT594" s="45"/>
      <c r="MU594" s="45"/>
      <c r="MV594" s="45"/>
      <c r="MW594" s="45"/>
      <c r="MX594" s="45"/>
      <c r="MY594" s="45"/>
      <c r="MZ594" s="45"/>
      <c r="NA594" s="45"/>
      <c r="NB594" s="45"/>
      <c r="NC594" s="45"/>
      <c r="ND594" s="45"/>
      <c r="NE594" s="45"/>
      <c r="NF594" s="45"/>
      <c r="NG594" s="45"/>
      <c r="NH594" s="45"/>
      <c r="NI594" s="45"/>
      <c r="NJ594" s="45"/>
      <c r="NK594" s="45"/>
      <c r="NL594" s="45"/>
      <c r="NM594" s="45"/>
      <c r="NN594" s="45"/>
      <c r="NO594" s="45"/>
      <c r="NP594" s="45"/>
      <c r="NQ594" s="45"/>
      <c r="NR594" s="45"/>
      <c r="NS594" s="45"/>
      <c r="NT594" s="45"/>
      <c r="NU594" s="45"/>
      <c r="NV594" s="45"/>
      <c r="NW594" s="45"/>
      <c r="NX594" s="45"/>
      <c r="NY594" s="45"/>
      <c r="NZ594" s="45"/>
      <c r="OA594" s="45"/>
      <c r="OB594" s="45"/>
      <c r="OC594" s="45"/>
      <c r="OD594" s="45"/>
      <c r="OE594" s="45"/>
      <c r="OF594" s="45"/>
      <c r="OG594" s="45"/>
      <c r="OH594" s="45"/>
      <c r="OI594" s="45"/>
      <c r="OJ594" s="45"/>
      <c r="OK594" s="45"/>
      <c r="OL594" s="45"/>
      <c r="OM594" s="45"/>
      <c r="ON594" s="45"/>
      <c r="OO594" s="45"/>
      <c r="OP594" s="45"/>
      <c r="OQ594" s="45"/>
      <c r="OR594" s="45"/>
      <c r="OS594" s="45"/>
      <c r="OT594" s="45"/>
      <c r="OU594" s="45"/>
      <c r="OV594" s="45"/>
      <c r="OW594" s="45"/>
      <c r="OX594" s="45"/>
      <c r="OY594" s="45"/>
      <c r="OZ594" s="45"/>
      <c r="PA594" s="45"/>
      <c r="PB594" s="45"/>
      <c r="PC594" s="45"/>
      <c r="PD594" s="45"/>
      <c r="PE594" s="45"/>
      <c r="PF594" s="45"/>
      <c r="PG594" s="45"/>
      <c r="PH594" s="45"/>
      <c r="PI594" s="45"/>
      <c r="PJ594" s="45"/>
      <c r="PK594" s="45"/>
      <c r="PL594" s="45"/>
      <c r="PM594" s="45"/>
      <c r="PN594" s="45"/>
      <c r="PO594" s="45"/>
      <c r="PP594" s="45"/>
      <c r="PQ594" s="45"/>
      <c r="PR594" s="45"/>
      <c r="PS594" s="45"/>
      <c r="PT594" s="45"/>
      <c r="PU594" s="45"/>
      <c r="PV594" s="45"/>
      <c r="PW594" s="45"/>
      <c r="PX594" s="45"/>
      <c r="PY594" s="45"/>
      <c r="PZ594" s="45"/>
      <c r="QA594" s="45"/>
      <c r="QB594" s="45"/>
      <c r="QC594" s="45"/>
      <c r="QD594" s="45"/>
      <c r="QE594" s="45"/>
      <c r="QF594" s="45"/>
      <c r="QG594" s="45"/>
      <c r="QH594" s="45"/>
      <c r="QI594" s="45"/>
      <c r="QJ594" s="45"/>
      <c r="QK594" s="45"/>
      <c r="QL594" s="45"/>
      <c r="QM594" s="45"/>
      <c r="QN594" s="45"/>
      <c r="QO594" s="45"/>
      <c r="QP594" s="45"/>
      <c r="QQ594" s="45"/>
      <c r="QR594" s="45"/>
      <c r="QS594" s="45"/>
      <c r="QT594" s="45"/>
      <c r="QU594" s="45"/>
      <c r="QV594" s="45"/>
      <c r="QW594" s="45"/>
      <c r="QX594" s="45"/>
      <c r="QY594" s="45"/>
      <c r="QZ594" s="45"/>
      <c r="RA594" s="45"/>
      <c r="RB594" s="45"/>
      <c r="RC594" s="45"/>
      <c r="RD594" s="45"/>
      <c r="RE594" s="45"/>
      <c r="RF594" s="45"/>
      <c r="RG594" s="45"/>
      <c r="RH594" s="45"/>
      <c r="RI594" s="45"/>
      <c r="RJ594" s="45"/>
      <c r="RK594" s="45"/>
      <c r="RL594" s="45"/>
      <c r="RM594" s="45"/>
      <c r="RN594" s="45"/>
      <c r="RO594" s="45"/>
      <c r="RP594" s="45"/>
      <c r="RQ594" s="45"/>
      <c r="RR594" s="45"/>
      <c r="RS594" s="45"/>
      <c r="RT594" s="45"/>
      <c r="RU594" s="45"/>
      <c r="RV594" s="45"/>
      <c r="RW594" s="45"/>
      <c r="RX594" s="45"/>
      <c r="RY594" s="45"/>
      <c r="RZ594" s="45"/>
      <c r="SA594" s="45"/>
      <c r="SB594" s="45"/>
      <c r="SC594" s="45"/>
      <c r="SD594" s="45"/>
      <c r="SE594" s="45"/>
      <c r="SF594" s="45"/>
      <c r="SG594" s="45"/>
      <c r="SH594" s="45"/>
      <c r="SI594" s="45"/>
      <c r="SJ594" s="45"/>
      <c r="SK594" s="45"/>
      <c r="SL594" s="45"/>
      <c r="SM594" s="45"/>
      <c r="SN594" s="45"/>
      <c r="SO594" s="45"/>
      <c r="SP594" s="45"/>
      <c r="SQ594" s="45"/>
      <c r="SR594" s="45"/>
      <c r="SS594" s="45"/>
      <c r="ST594" s="45"/>
      <c r="SU594" s="45"/>
      <c r="SV594" s="45"/>
      <c r="SW594" s="45"/>
      <c r="SX594" s="45"/>
      <c r="SY594" s="45"/>
      <c r="SZ594" s="45"/>
      <c r="TA594" s="45"/>
      <c r="TB594" s="45"/>
      <c r="TC594" s="45"/>
    </row>
    <row r="595" spans="1:523">
      <c r="A595" s="45">
        <v>106</v>
      </c>
      <c r="B595" s="319" t="s">
        <v>676</v>
      </c>
      <c r="C595"/>
      <c r="D595"/>
      <c r="E595"/>
      <c r="F595"/>
      <c r="G595"/>
      <c r="H595"/>
      <c r="I595"/>
      <c r="J595"/>
      <c r="K595"/>
      <c r="L595"/>
      <c r="M595"/>
      <c r="N595"/>
      <c r="O595"/>
      <c r="T595"/>
      <c r="U595"/>
      <c r="V595"/>
      <c r="W595"/>
      <c r="X595"/>
      <c r="AA595"/>
      <c r="AB595"/>
      <c r="AC595"/>
      <c r="AD595"/>
      <c r="AE595"/>
      <c r="AF595"/>
      <c r="AG595"/>
      <c r="AH595"/>
      <c r="AI595"/>
      <c r="AJ595"/>
    </row>
    <row r="596" spans="1:523" s="188" customFormat="1">
      <c r="A596" s="72">
        <v>107</v>
      </c>
      <c r="B596" s="319" t="s">
        <v>905</v>
      </c>
      <c r="C596"/>
      <c r="D596"/>
      <c r="E596"/>
      <c r="F596"/>
      <c r="G596"/>
      <c r="H596"/>
      <c r="I596"/>
      <c r="J596"/>
      <c r="K596"/>
      <c r="L596"/>
      <c r="M596"/>
      <c r="N596"/>
      <c r="O596"/>
      <c r="P596" s="45"/>
      <c r="Q596" s="45"/>
      <c r="R596" s="45"/>
      <c r="S596" s="45"/>
      <c r="T596"/>
      <c r="U596"/>
      <c r="V596"/>
      <c r="W596"/>
      <c r="X596"/>
      <c r="Y596" s="45"/>
      <c r="Z596" s="45"/>
      <c r="AA596"/>
      <c r="AB596"/>
      <c r="AC596"/>
      <c r="AD596"/>
      <c r="AE596"/>
      <c r="AF596"/>
      <c r="AG596"/>
      <c r="AH596"/>
      <c r="AI596"/>
      <c r="AJ596"/>
      <c r="AK596" s="45"/>
      <c r="AL596" s="45"/>
      <c r="AM596" s="45"/>
      <c r="AN596" s="45"/>
      <c r="AO596" s="45"/>
      <c r="AP596" s="45"/>
      <c r="AQ596" s="45"/>
      <c r="AR596" s="45"/>
      <c r="AS596" s="45"/>
      <c r="AT596" s="45"/>
      <c r="AU596" s="45"/>
      <c r="AV596" s="45"/>
      <c r="AW596" s="45"/>
      <c r="AX596" s="45"/>
      <c r="AY596" s="45"/>
      <c r="AZ596" s="45"/>
      <c r="BA596" s="45"/>
      <c r="BB596" s="45"/>
      <c r="BC596" s="45"/>
      <c r="BD596" s="45"/>
      <c r="BE596" s="45"/>
      <c r="BF596" s="45"/>
      <c r="BG596" s="45"/>
      <c r="BH596" s="45"/>
      <c r="BI596" s="45"/>
      <c r="BJ596" s="45"/>
      <c r="BK596" s="45"/>
      <c r="BL596" s="45"/>
      <c r="BM596" s="45"/>
      <c r="BN596" s="45"/>
      <c r="BO596" s="45"/>
      <c r="BP596" s="45"/>
      <c r="BQ596" s="45"/>
      <c r="BR596" s="45"/>
      <c r="BS596" s="45"/>
      <c r="BT596" s="45"/>
      <c r="BU596" s="45"/>
      <c r="BV596" s="45"/>
      <c r="BW596" s="45"/>
      <c r="BX596" s="45"/>
      <c r="BY596" s="45"/>
      <c r="BZ596" s="45"/>
      <c r="CA596" s="45"/>
      <c r="CB596" s="45"/>
      <c r="CC596" s="45"/>
      <c r="CD596" s="45"/>
      <c r="CE596" s="45"/>
      <c r="CF596" s="45"/>
      <c r="CG596" s="45"/>
      <c r="CH596" s="45"/>
      <c r="CI596" s="45"/>
      <c r="CJ596" s="45"/>
      <c r="CK596" s="45"/>
      <c r="CL596" s="45"/>
      <c r="CM596" s="45"/>
      <c r="CN596" s="45"/>
      <c r="CO596" s="45"/>
      <c r="CP596" s="45"/>
      <c r="CQ596" s="45"/>
      <c r="CR596" s="45"/>
      <c r="CS596" s="45"/>
      <c r="CT596" s="45"/>
      <c r="CU596" s="45"/>
      <c r="CV596" s="45"/>
      <c r="CW596" s="45"/>
      <c r="CX596" s="45"/>
      <c r="CY596" s="45"/>
      <c r="CZ596" s="45"/>
      <c r="DA596" s="45"/>
      <c r="DB596" s="45"/>
      <c r="DC596" s="45"/>
      <c r="DD596" s="45"/>
      <c r="DE596" s="45"/>
      <c r="DF596" s="45"/>
      <c r="DG596" s="45"/>
      <c r="DH596" s="45"/>
      <c r="DI596" s="45"/>
      <c r="DJ596" s="45"/>
      <c r="DK596" s="45"/>
      <c r="DL596" s="45"/>
      <c r="DM596" s="45"/>
      <c r="DN596" s="45"/>
      <c r="DO596" s="45"/>
      <c r="DP596" s="45"/>
      <c r="DQ596" s="45"/>
      <c r="DR596" s="45"/>
      <c r="DS596" s="45"/>
      <c r="DT596" s="45"/>
      <c r="DU596" s="45"/>
      <c r="DV596" s="45"/>
      <c r="DW596" s="45"/>
      <c r="DX596" s="45"/>
      <c r="DY596" s="45"/>
      <c r="DZ596" s="45"/>
      <c r="EA596" s="45"/>
      <c r="EB596" s="45"/>
      <c r="EC596" s="45"/>
      <c r="ED596" s="45"/>
      <c r="EE596" s="45"/>
      <c r="EF596" s="45"/>
      <c r="EG596" s="45"/>
      <c r="EH596" s="45"/>
      <c r="EI596" s="45"/>
      <c r="EJ596" s="45"/>
      <c r="EK596" s="45"/>
      <c r="EL596" s="45"/>
      <c r="EM596" s="45"/>
      <c r="EN596" s="45"/>
      <c r="EO596" s="45"/>
      <c r="EP596" s="45"/>
      <c r="EQ596" s="45"/>
      <c r="ER596" s="45"/>
      <c r="ES596" s="45"/>
      <c r="ET596" s="45"/>
      <c r="EU596" s="45"/>
      <c r="EV596" s="45"/>
      <c r="EW596" s="45"/>
      <c r="EX596" s="45"/>
      <c r="EY596" s="45"/>
      <c r="EZ596" s="45"/>
      <c r="FA596" s="45"/>
      <c r="FB596" s="45"/>
      <c r="FC596" s="45"/>
      <c r="FD596" s="45"/>
      <c r="FE596" s="45"/>
      <c r="FF596" s="45"/>
      <c r="FG596" s="45"/>
      <c r="FH596" s="45"/>
      <c r="FI596" s="45"/>
      <c r="FJ596" s="45"/>
      <c r="FK596" s="45"/>
      <c r="FL596" s="45"/>
      <c r="FM596" s="45"/>
      <c r="FN596" s="45"/>
      <c r="FO596" s="45"/>
      <c r="FP596" s="45"/>
      <c r="FQ596" s="45"/>
      <c r="FR596" s="45"/>
      <c r="FS596" s="45"/>
      <c r="FT596" s="45"/>
      <c r="FU596" s="45"/>
      <c r="FV596" s="45"/>
      <c r="FW596" s="45"/>
      <c r="FX596" s="45"/>
      <c r="FY596" s="45"/>
      <c r="FZ596" s="45"/>
      <c r="GA596" s="45"/>
      <c r="GB596" s="45"/>
      <c r="GC596" s="45"/>
      <c r="GD596" s="45"/>
      <c r="GE596" s="45"/>
      <c r="GF596" s="45"/>
      <c r="GG596" s="45"/>
      <c r="GH596" s="45"/>
      <c r="GI596" s="45"/>
      <c r="GJ596" s="45"/>
      <c r="GK596" s="45"/>
      <c r="GL596" s="45"/>
      <c r="GM596" s="45"/>
      <c r="GN596" s="45"/>
      <c r="GO596" s="45"/>
      <c r="GP596" s="45"/>
      <c r="GQ596" s="45"/>
      <c r="GR596" s="45"/>
      <c r="GS596" s="45"/>
      <c r="GT596" s="45"/>
      <c r="GU596" s="45"/>
      <c r="GV596" s="45"/>
      <c r="GW596" s="45"/>
      <c r="GX596" s="45"/>
      <c r="GY596" s="45"/>
      <c r="GZ596" s="45"/>
      <c r="HA596" s="45"/>
      <c r="HB596" s="45"/>
      <c r="HC596" s="45"/>
      <c r="HD596" s="45"/>
      <c r="HE596" s="45"/>
      <c r="HF596" s="45"/>
      <c r="HG596" s="45"/>
      <c r="HH596" s="45"/>
      <c r="HI596" s="45"/>
      <c r="HJ596" s="45"/>
      <c r="HK596" s="45"/>
      <c r="HL596" s="45"/>
      <c r="HM596" s="45"/>
      <c r="HN596" s="45"/>
      <c r="HO596" s="45"/>
      <c r="HP596" s="45"/>
      <c r="HQ596" s="45"/>
      <c r="HR596" s="45"/>
      <c r="HS596" s="45"/>
      <c r="HT596" s="45"/>
      <c r="HU596" s="45"/>
      <c r="HV596" s="45"/>
      <c r="HW596" s="45"/>
      <c r="HX596" s="45"/>
      <c r="HY596" s="45"/>
      <c r="HZ596" s="45"/>
      <c r="IA596" s="45"/>
      <c r="IB596" s="45"/>
      <c r="IC596" s="45"/>
      <c r="ID596" s="45"/>
      <c r="IE596" s="45"/>
      <c r="IF596" s="45"/>
      <c r="IG596" s="45"/>
      <c r="IH596" s="45"/>
      <c r="II596" s="45"/>
      <c r="IJ596" s="45"/>
      <c r="IK596" s="45"/>
      <c r="IL596" s="45"/>
      <c r="IM596" s="45"/>
      <c r="IN596" s="45"/>
      <c r="IO596" s="45"/>
      <c r="IP596" s="45"/>
      <c r="IQ596" s="45"/>
      <c r="IR596" s="45"/>
      <c r="IS596" s="45"/>
      <c r="IT596" s="45"/>
      <c r="IU596" s="45"/>
      <c r="IV596" s="45"/>
      <c r="IW596" s="45"/>
      <c r="IX596" s="45"/>
      <c r="IY596" s="45"/>
      <c r="IZ596" s="45"/>
      <c r="JA596" s="45"/>
      <c r="JB596" s="45"/>
      <c r="JC596" s="45"/>
      <c r="JD596" s="45"/>
      <c r="JE596" s="45"/>
      <c r="JF596" s="45"/>
      <c r="JG596" s="45"/>
      <c r="JH596" s="45"/>
      <c r="JI596" s="45"/>
      <c r="JJ596" s="45"/>
      <c r="JK596" s="45"/>
      <c r="JL596" s="45"/>
      <c r="JM596" s="45"/>
      <c r="JN596" s="45"/>
      <c r="JO596" s="45"/>
      <c r="JP596" s="45"/>
      <c r="JQ596" s="45"/>
      <c r="JR596" s="45"/>
      <c r="JS596" s="45"/>
      <c r="JT596" s="45"/>
      <c r="JU596" s="45"/>
      <c r="JV596" s="45"/>
      <c r="JW596" s="45"/>
      <c r="JX596" s="45"/>
      <c r="JY596" s="45"/>
      <c r="JZ596" s="45"/>
      <c r="KA596" s="45"/>
      <c r="KB596" s="45"/>
      <c r="KC596" s="45"/>
      <c r="KD596" s="45"/>
      <c r="KE596" s="45"/>
      <c r="KF596" s="45"/>
      <c r="KG596" s="45"/>
      <c r="KH596" s="45"/>
      <c r="KI596" s="45"/>
      <c r="KJ596" s="45"/>
      <c r="KK596" s="45"/>
      <c r="KL596" s="45"/>
      <c r="KM596" s="45"/>
      <c r="KN596" s="45"/>
      <c r="KO596" s="45"/>
      <c r="KP596" s="45"/>
      <c r="KQ596" s="45"/>
      <c r="KR596" s="45"/>
      <c r="KS596" s="45"/>
      <c r="KT596" s="45"/>
      <c r="KU596" s="45"/>
      <c r="KV596" s="45"/>
      <c r="KW596" s="45"/>
      <c r="KX596" s="45"/>
      <c r="KY596" s="45"/>
      <c r="KZ596" s="45"/>
      <c r="LA596" s="45"/>
      <c r="LB596" s="45"/>
      <c r="LC596" s="45"/>
      <c r="LD596" s="45"/>
      <c r="LE596" s="45"/>
      <c r="LF596" s="45"/>
      <c r="LG596" s="45"/>
      <c r="LH596" s="45"/>
      <c r="LI596" s="45"/>
      <c r="LJ596" s="45"/>
      <c r="LK596" s="45"/>
      <c r="LL596" s="45"/>
      <c r="LM596" s="45"/>
      <c r="LN596" s="45"/>
      <c r="LO596" s="45"/>
      <c r="LP596" s="45"/>
      <c r="LQ596" s="45"/>
      <c r="LR596" s="45"/>
      <c r="LS596" s="45"/>
      <c r="LT596" s="45"/>
      <c r="LU596" s="45"/>
      <c r="LV596" s="45"/>
      <c r="LW596" s="45"/>
      <c r="LX596" s="45"/>
      <c r="LY596" s="45"/>
      <c r="LZ596" s="45"/>
      <c r="MA596" s="45"/>
      <c r="MB596" s="45"/>
      <c r="MC596" s="45"/>
      <c r="MD596" s="45"/>
      <c r="ME596" s="45"/>
      <c r="MF596" s="45"/>
      <c r="MG596" s="45"/>
      <c r="MH596" s="45"/>
      <c r="MI596" s="45"/>
      <c r="MJ596" s="45"/>
      <c r="MK596" s="45"/>
      <c r="ML596" s="45"/>
      <c r="MM596" s="45"/>
      <c r="MN596" s="45"/>
      <c r="MO596" s="45"/>
      <c r="MP596" s="45"/>
      <c r="MQ596" s="45"/>
      <c r="MR596" s="45"/>
      <c r="MS596" s="45"/>
      <c r="MT596" s="45"/>
      <c r="MU596" s="45"/>
      <c r="MV596" s="45"/>
      <c r="MW596" s="45"/>
      <c r="MX596" s="45"/>
      <c r="MY596" s="45"/>
      <c r="MZ596" s="45"/>
      <c r="NA596" s="45"/>
      <c r="NB596" s="45"/>
      <c r="NC596" s="45"/>
      <c r="ND596" s="45"/>
      <c r="NE596" s="45"/>
      <c r="NF596" s="45"/>
      <c r="NG596" s="45"/>
      <c r="NH596" s="45"/>
      <c r="NI596" s="45"/>
      <c r="NJ596" s="45"/>
      <c r="NK596" s="45"/>
      <c r="NL596" s="45"/>
      <c r="NM596" s="45"/>
      <c r="NN596" s="45"/>
      <c r="NO596" s="45"/>
      <c r="NP596" s="45"/>
      <c r="NQ596" s="45"/>
      <c r="NR596" s="45"/>
      <c r="NS596" s="45"/>
      <c r="NT596" s="45"/>
      <c r="NU596" s="45"/>
      <c r="NV596" s="45"/>
      <c r="NW596" s="45"/>
      <c r="NX596" s="45"/>
      <c r="NY596" s="45"/>
      <c r="NZ596" s="45"/>
      <c r="OA596" s="45"/>
      <c r="OB596" s="45"/>
      <c r="OC596" s="45"/>
      <c r="OD596" s="45"/>
      <c r="OE596" s="45"/>
      <c r="OF596" s="45"/>
      <c r="OG596" s="45"/>
      <c r="OH596" s="45"/>
      <c r="OI596" s="45"/>
      <c r="OJ596" s="45"/>
      <c r="OK596" s="45"/>
      <c r="OL596" s="45"/>
      <c r="OM596" s="45"/>
      <c r="ON596" s="45"/>
      <c r="OO596" s="45"/>
      <c r="OP596" s="45"/>
      <c r="OQ596" s="45"/>
      <c r="OR596" s="45"/>
      <c r="OS596" s="45"/>
      <c r="OT596" s="45"/>
      <c r="OU596" s="45"/>
      <c r="OV596" s="45"/>
      <c r="OW596" s="45"/>
      <c r="OX596" s="45"/>
      <c r="OY596" s="45"/>
      <c r="OZ596" s="45"/>
      <c r="PA596" s="45"/>
      <c r="PB596" s="45"/>
      <c r="PC596" s="45"/>
      <c r="PD596" s="45"/>
      <c r="PE596" s="45"/>
      <c r="PF596" s="45"/>
      <c r="PG596" s="45"/>
      <c r="PH596" s="45"/>
      <c r="PI596" s="45"/>
      <c r="PJ596" s="45"/>
      <c r="PK596" s="45"/>
      <c r="PL596" s="45"/>
      <c r="PM596" s="45"/>
      <c r="PN596" s="45"/>
      <c r="PO596" s="45"/>
      <c r="PP596" s="45"/>
      <c r="PQ596" s="45"/>
      <c r="PR596" s="45"/>
      <c r="PS596" s="45"/>
      <c r="PT596" s="45"/>
      <c r="PU596" s="45"/>
      <c r="PV596" s="45"/>
      <c r="PW596" s="45"/>
      <c r="PX596" s="45"/>
      <c r="PY596" s="45"/>
      <c r="PZ596" s="45"/>
      <c r="QA596" s="45"/>
      <c r="QB596" s="45"/>
      <c r="QC596" s="45"/>
      <c r="QD596" s="45"/>
      <c r="QE596" s="45"/>
      <c r="QF596" s="45"/>
      <c r="QG596" s="45"/>
      <c r="QH596" s="45"/>
      <c r="QI596" s="45"/>
      <c r="QJ596" s="45"/>
      <c r="QK596" s="45"/>
      <c r="QL596" s="45"/>
      <c r="QM596" s="45"/>
      <c r="QN596" s="45"/>
      <c r="QO596" s="45"/>
      <c r="QP596" s="45"/>
      <c r="QQ596" s="45"/>
      <c r="QR596" s="45"/>
      <c r="QS596" s="45"/>
      <c r="QT596" s="45"/>
      <c r="QU596" s="45"/>
      <c r="QV596" s="45"/>
      <c r="QW596" s="45"/>
      <c r="QX596" s="45"/>
      <c r="QY596" s="45"/>
      <c r="QZ596" s="45"/>
      <c r="RA596" s="45"/>
      <c r="RB596" s="45"/>
      <c r="RC596" s="45"/>
      <c r="RD596" s="45"/>
      <c r="RE596" s="45"/>
      <c r="RF596" s="45"/>
      <c r="RG596" s="45"/>
      <c r="RH596" s="45"/>
      <c r="RI596" s="45"/>
      <c r="RJ596" s="45"/>
      <c r="RK596" s="45"/>
      <c r="RL596" s="45"/>
      <c r="RM596" s="45"/>
      <c r="RN596" s="45"/>
      <c r="RO596" s="45"/>
      <c r="RP596" s="45"/>
      <c r="RQ596" s="45"/>
      <c r="RR596" s="45"/>
      <c r="RS596" s="45"/>
      <c r="RT596" s="45"/>
      <c r="RU596" s="45"/>
      <c r="RV596" s="45"/>
      <c r="RW596" s="45"/>
      <c r="RX596" s="45"/>
      <c r="RY596" s="45"/>
      <c r="RZ596" s="45"/>
      <c r="SA596" s="45"/>
      <c r="SB596" s="45"/>
      <c r="SC596" s="45"/>
      <c r="SD596" s="45"/>
      <c r="SE596" s="45"/>
      <c r="SF596" s="45"/>
      <c r="SG596" s="45"/>
      <c r="SH596" s="45"/>
      <c r="SI596" s="45"/>
      <c r="SJ596" s="45"/>
      <c r="SK596" s="45"/>
      <c r="SL596" s="45"/>
      <c r="SM596" s="45"/>
      <c r="SN596" s="45"/>
      <c r="SO596" s="45"/>
      <c r="SP596" s="45"/>
      <c r="SQ596" s="45"/>
      <c r="SR596" s="45"/>
      <c r="SS596" s="45"/>
      <c r="ST596" s="45"/>
      <c r="SU596" s="45"/>
      <c r="SV596" s="45"/>
      <c r="SW596" s="45"/>
      <c r="SX596" s="45"/>
      <c r="SY596" s="45"/>
      <c r="SZ596" s="45"/>
      <c r="TA596" s="45"/>
      <c r="TB596" s="45"/>
      <c r="TC596" s="45"/>
    </row>
    <row r="597" spans="1:523">
      <c r="A597" s="45">
        <v>108</v>
      </c>
      <c r="B597" s="319" t="s">
        <v>707</v>
      </c>
      <c r="C597"/>
      <c r="D597"/>
      <c r="E597"/>
      <c r="F597"/>
      <c r="G597"/>
      <c r="H597"/>
      <c r="I597"/>
      <c r="J597"/>
      <c r="K597"/>
      <c r="L597"/>
      <c r="M597"/>
      <c r="N597"/>
      <c r="O597"/>
      <c r="T597"/>
      <c r="U597"/>
      <c r="V597"/>
      <c r="W597"/>
      <c r="X597"/>
      <c r="AA597"/>
      <c r="AB597"/>
      <c r="AC597"/>
      <c r="AD597"/>
      <c r="AE597"/>
      <c r="AF597"/>
      <c r="AG597"/>
      <c r="AH597"/>
      <c r="AI597"/>
      <c r="AJ597"/>
    </row>
    <row r="598" spans="1:523" s="188" customFormat="1">
      <c r="A598" s="45">
        <v>109</v>
      </c>
      <c r="B598" s="319" t="s">
        <v>650</v>
      </c>
      <c r="C598"/>
      <c r="D598"/>
      <c r="E598"/>
      <c r="F598"/>
      <c r="G598"/>
      <c r="H598"/>
      <c r="I598"/>
      <c r="J598"/>
      <c r="K598"/>
      <c r="L598"/>
      <c r="M598"/>
      <c r="N598"/>
      <c r="O598"/>
      <c r="P598" s="45"/>
      <c r="Q598" s="45"/>
      <c r="R598" s="45"/>
      <c r="S598" s="45"/>
      <c r="T598"/>
      <c r="U598"/>
      <c r="V598"/>
      <c r="W598"/>
      <c r="X598"/>
      <c r="Y598" s="45"/>
      <c r="Z598" s="45"/>
      <c r="AA598"/>
      <c r="AB598"/>
      <c r="AC598"/>
      <c r="AD598"/>
      <c r="AE598"/>
      <c r="AF598"/>
      <c r="AG598"/>
      <c r="AH598"/>
      <c r="AI598"/>
      <c r="AJ598"/>
      <c r="AK598" s="45"/>
      <c r="AL598" s="45"/>
      <c r="AM598" s="45"/>
      <c r="AN598" s="45"/>
      <c r="AO598" s="45"/>
      <c r="AP598" s="45"/>
      <c r="AQ598" s="45"/>
      <c r="AR598" s="45"/>
      <c r="AS598" s="45"/>
      <c r="AT598" s="45"/>
      <c r="AU598" s="45"/>
      <c r="AV598" s="45"/>
      <c r="AW598" s="45"/>
      <c r="AX598" s="45"/>
      <c r="AY598" s="45"/>
      <c r="AZ598" s="45"/>
      <c r="BA598" s="45"/>
      <c r="BB598" s="45"/>
      <c r="BC598" s="45"/>
      <c r="BD598" s="45"/>
      <c r="BE598" s="45"/>
      <c r="BF598" s="45"/>
      <c r="BG598" s="45"/>
      <c r="BH598" s="45"/>
      <c r="BI598" s="45"/>
      <c r="BJ598" s="45"/>
      <c r="BK598" s="45"/>
      <c r="BL598" s="45"/>
      <c r="BM598" s="45"/>
      <c r="BN598" s="45"/>
      <c r="BO598" s="45"/>
      <c r="BP598" s="45"/>
      <c r="BQ598" s="45"/>
      <c r="BR598" s="45"/>
      <c r="BS598" s="45"/>
      <c r="BT598" s="45"/>
      <c r="BU598" s="45"/>
      <c r="BV598" s="45"/>
      <c r="BW598" s="45"/>
      <c r="BX598" s="45"/>
      <c r="BY598" s="45"/>
      <c r="BZ598" s="45"/>
      <c r="CA598" s="45"/>
      <c r="CB598" s="45"/>
      <c r="CC598" s="45"/>
      <c r="CD598" s="45"/>
      <c r="CE598" s="45"/>
      <c r="CF598" s="45"/>
      <c r="CG598" s="45"/>
      <c r="CH598" s="45"/>
      <c r="CI598" s="45"/>
      <c r="CJ598" s="45"/>
      <c r="CK598" s="45"/>
      <c r="CL598" s="45"/>
      <c r="CM598" s="45"/>
      <c r="CN598" s="45"/>
      <c r="CO598" s="45"/>
      <c r="CP598" s="45"/>
      <c r="CQ598" s="45"/>
      <c r="CR598" s="45"/>
      <c r="CS598" s="45"/>
      <c r="CT598" s="45"/>
      <c r="CU598" s="45"/>
      <c r="CV598" s="45"/>
      <c r="CW598" s="45"/>
      <c r="CX598" s="45"/>
      <c r="CY598" s="45"/>
      <c r="CZ598" s="45"/>
      <c r="DA598" s="45"/>
      <c r="DB598" s="45"/>
      <c r="DC598" s="45"/>
      <c r="DD598" s="45"/>
      <c r="DE598" s="45"/>
      <c r="DF598" s="45"/>
      <c r="DG598" s="45"/>
      <c r="DH598" s="45"/>
      <c r="DI598" s="45"/>
      <c r="DJ598" s="45"/>
      <c r="DK598" s="45"/>
      <c r="DL598" s="45"/>
      <c r="DM598" s="45"/>
      <c r="DN598" s="45"/>
      <c r="DO598" s="45"/>
      <c r="DP598" s="45"/>
      <c r="DQ598" s="45"/>
      <c r="DR598" s="45"/>
      <c r="DS598" s="45"/>
      <c r="DT598" s="45"/>
      <c r="DU598" s="45"/>
      <c r="DV598" s="45"/>
      <c r="DW598" s="45"/>
      <c r="DX598" s="45"/>
      <c r="DY598" s="45"/>
      <c r="DZ598" s="45"/>
      <c r="EA598" s="45"/>
      <c r="EB598" s="45"/>
      <c r="EC598" s="45"/>
      <c r="ED598" s="45"/>
      <c r="EE598" s="45"/>
      <c r="EF598" s="45"/>
      <c r="EG598" s="45"/>
      <c r="EH598" s="45"/>
      <c r="EI598" s="45"/>
      <c r="EJ598" s="45"/>
      <c r="EK598" s="45"/>
      <c r="EL598" s="45"/>
      <c r="EM598" s="45"/>
      <c r="EN598" s="45"/>
      <c r="EO598" s="45"/>
      <c r="EP598" s="45"/>
      <c r="EQ598" s="45"/>
      <c r="ER598" s="45"/>
      <c r="ES598" s="45"/>
      <c r="ET598" s="45"/>
      <c r="EU598" s="45"/>
      <c r="EV598" s="45"/>
      <c r="EW598" s="45"/>
      <c r="EX598" s="45"/>
      <c r="EY598" s="45"/>
      <c r="EZ598" s="45"/>
      <c r="FA598" s="45"/>
      <c r="FB598" s="45"/>
      <c r="FC598" s="45"/>
      <c r="FD598" s="45"/>
      <c r="FE598" s="45"/>
      <c r="FF598" s="45"/>
      <c r="FG598" s="45"/>
      <c r="FH598" s="45"/>
      <c r="FI598" s="45"/>
      <c r="FJ598" s="45"/>
      <c r="FK598" s="45"/>
      <c r="FL598" s="45"/>
      <c r="FM598" s="45"/>
      <c r="FN598" s="45"/>
      <c r="FO598" s="45"/>
      <c r="FP598" s="45"/>
      <c r="FQ598" s="45"/>
      <c r="FR598" s="45"/>
      <c r="FS598" s="45"/>
      <c r="FT598" s="45"/>
      <c r="FU598" s="45"/>
      <c r="FV598" s="45"/>
      <c r="FW598" s="45"/>
      <c r="FX598" s="45"/>
      <c r="FY598" s="45"/>
      <c r="FZ598" s="45"/>
      <c r="GA598" s="45"/>
      <c r="GB598" s="45"/>
      <c r="GC598" s="45"/>
      <c r="GD598" s="45"/>
      <c r="GE598" s="45"/>
      <c r="GF598" s="45"/>
      <c r="GG598" s="45"/>
      <c r="GH598" s="45"/>
      <c r="GI598" s="45"/>
      <c r="GJ598" s="45"/>
      <c r="GK598" s="45"/>
      <c r="GL598" s="45"/>
      <c r="GM598" s="45"/>
      <c r="GN598" s="45"/>
      <c r="GO598" s="45"/>
      <c r="GP598" s="45"/>
      <c r="GQ598" s="45"/>
      <c r="GR598" s="45"/>
      <c r="GS598" s="45"/>
      <c r="GT598" s="45"/>
      <c r="GU598" s="45"/>
      <c r="GV598" s="45"/>
      <c r="GW598" s="45"/>
      <c r="GX598" s="45"/>
      <c r="GY598" s="45"/>
      <c r="GZ598" s="45"/>
      <c r="HA598" s="45"/>
      <c r="HB598" s="45"/>
      <c r="HC598" s="45"/>
      <c r="HD598" s="45"/>
      <c r="HE598" s="45"/>
      <c r="HF598" s="45"/>
      <c r="HG598" s="45"/>
      <c r="HH598" s="45"/>
      <c r="HI598" s="45"/>
      <c r="HJ598" s="45"/>
      <c r="HK598" s="45"/>
      <c r="HL598" s="45"/>
      <c r="HM598" s="45"/>
      <c r="HN598" s="45"/>
      <c r="HO598" s="45"/>
      <c r="HP598" s="45"/>
      <c r="HQ598" s="45"/>
      <c r="HR598" s="45"/>
      <c r="HS598" s="45"/>
      <c r="HT598" s="45"/>
      <c r="HU598" s="45"/>
      <c r="HV598" s="45"/>
      <c r="HW598" s="45"/>
      <c r="HX598" s="45"/>
      <c r="HY598" s="45"/>
      <c r="HZ598" s="45"/>
      <c r="IA598" s="45"/>
      <c r="IB598" s="45"/>
      <c r="IC598" s="45"/>
      <c r="ID598" s="45"/>
      <c r="IE598" s="45"/>
      <c r="IF598" s="45"/>
      <c r="IG598" s="45"/>
      <c r="IH598" s="45"/>
      <c r="II598" s="45"/>
      <c r="IJ598" s="45"/>
      <c r="IK598" s="45"/>
      <c r="IL598" s="45"/>
      <c r="IM598" s="45"/>
      <c r="IN598" s="45"/>
      <c r="IO598" s="45"/>
      <c r="IP598" s="45"/>
      <c r="IQ598" s="45"/>
      <c r="IR598" s="45"/>
      <c r="IS598" s="45"/>
      <c r="IT598" s="45"/>
      <c r="IU598" s="45"/>
      <c r="IV598" s="45"/>
      <c r="IW598" s="45"/>
      <c r="IX598" s="45"/>
      <c r="IY598" s="45"/>
      <c r="IZ598" s="45"/>
      <c r="JA598" s="45"/>
      <c r="JB598" s="45"/>
      <c r="JC598" s="45"/>
      <c r="JD598" s="45"/>
      <c r="JE598" s="45"/>
      <c r="JF598" s="45"/>
      <c r="JG598" s="45"/>
      <c r="JH598" s="45"/>
      <c r="JI598" s="45"/>
      <c r="JJ598" s="45"/>
      <c r="JK598" s="45"/>
      <c r="JL598" s="45"/>
      <c r="JM598" s="45"/>
      <c r="JN598" s="45"/>
      <c r="JO598" s="45"/>
      <c r="JP598" s="45"/>
      <c r="JQ598" s="45"/>
      <c r="JR598" s="45"/>
      <c r="JS598" s="45"/>
      <c r="JT598" s="45"/>
      <c r="JU598" s="45"/>
      <c r="JV598" s="45"/>
      <c r="JW598" s="45"/>
      <c r="JX598" s="45"/>
      <c r="JY598" s="45"/>
      <c r="JZ598" s="45"/>
      <c r="KA598" s="45"/>
      <c r="KB598" s="45"/>
      <c r="KC598" s="45"/>
      <c r="KD598" s="45"/>
      <c r="KE598" s="45"/>
      <c r="KF598" s="45"/>
      <c r="KG598" s="45"/>
      <c r="KH598" s="45"/>
      <c r="KI598" s="45"/>
      <c r="KJ598" s="45"/>
      <c r="KK598" s="45"/>
      <c r="KL598" s="45"/>
      <c r="KM598" s="45"/>
      <c r="KN598" s="45"/>
      <c r="KO598" s="45"/>
      <c r="KP598" s="45"/>
      <c r="KQ598" s="45"/>
      <c r="KR598" s="45"/>
      <c r="KS598" s="45"/>
      <c r="KT598" s="45"/>
      <c r="KU598" s="45"/>
      <c r="KV598" s="45"/>
      <c r="KW598" s="45"/>
      <c r="KX598" s="45"/>
      <c r="KY598" s="45"/>
      <c r="KZ598" s="45"/>
      <c r="LA598" s="45"/>
      <c r="LB598" s="45"/>
      <c r="LC598" s="45"/>
      <c r="LD598" s="45"/>
      <c r="LE598" s="45"/>
      <c r="LF598" s="45"/>
      <c r="LG598" s="45"/>
      <c r="LH598" s="45"/>
      <c r="LI598" s="45"/>
      <c r="LJ598" s="45"/>
      <c r="LK598" s="45"/>
      <c r="LL598" s="45"/>
      <c r="LM598" s="45"/>
      <c r="LN598" s="45"/>
      <c r="LO598" s="45"/>
      <c r="LP598" s="45"/>
      <c r="LQ598" s="45"/>
      <c r="LR598" s="45"/>
      <c r="LS598" s="45"/>
      <c r="LT598" s="45"/>
      <c r="LU598" s="45"/>
      <c r="LV598" s="45"/>
      <c r="LW598" s="45"/>
      <c r="LX598" s="45"/>
      <c r="LY598" s="45"/>
      <c r="LZ598" s="45"/>
      <c r="MA598" s="45"/>
      <c r="MB598" s="45"/>
      <c r="MC598" s="45"/>
      <c r="MD598" s="45"/>
      <c r="ME598" s="45"/>
      <c r="MF598" s="45"/>
      <c r="MG598" s="45"/>
      <c r="MH598" s="45"/>
      <c r="MI598" s="45"/>
      <c r="MJ598" s="45"/>
      <c r="MK598" s="45"/>
      <c r="ML598" s="45"/>
      <c r="MM598" s="45"/>
      <c r="MN598" s="45"/>
      <c r="MO598" s="45"/>
      <c r="MP598" s="45"/>
      <c r="MQ598" s="45"/>
      <c r="MR598" s="45"/>
      <c r="MS598" s="45"/>
      <c r="MT598" s="45"/>
      <c r="MU598" s="45"/>
      <c r="MV598" s="45"/>
      <c r="MW598" s="45"/>
      <c r="MX598" s="45"/>
      <c r="MY598" s="45"/>
      <c r="MZ598" s="45"/>
      <c r="NA598" s="45"/>
      <c r="NB598" s="45"/>
      <c r="NC598" s="45"/>
      <c r="ND598" s="45"/>
      <c r="NE598" s="45"/>
      <c r="NF598" s="45"/>
      <c r="NG598" s="45"/>
      <c r="NH598" s="45"/>
      <c r="NI598" s="45"/>
      <c r="NJ598" s="45"/>
      <c r="NK598" s="45"/>
      <c r="NL598" s="45"/>
      <c r="NM598" s="45"/>
      <c r="NN598" s="45"/>
      <c r="NO598" s="45"/>
      <c r="NP598" s="45"/>
      <c r="NQ598" s="45"/>
      <c r="NR598" s="45"/>
      <c r="NS598" s="45"/>
      <c r="NT598" s="45"/>
      <c r="NU598" s="45"/>
      <c r="NV598" s="45"/>
      <c r="NW598" s="45"/>
      <c r="NX598" s="45"/>
      <c r="NY598" s="45"/>
      <c r="NZ598" s="45"/>
      <c r="OA598" s="45"/>
      <c r="OB598" s="45"/>
      <c r="OC598" s="45"/>
      <c r="OD598" s="45"/>
      <c r="OE598" s="45"/>
      <c r="OF598" s="45"/>
      <c r="OG598" s="45"/>
      <c r="OH598" s="45"/>
      <c r="OI598" s="45"/>
      <c r="OJ598" s="45"/>
      <c r="OK598" s="45"/>
      <c r="OL598" s="45"/>
      <c r="OM598" s="45"/>
      <c r="ON598" s="45"/>
      <c r="OO598" s="45"/>
      <c r="OP598" s="45"/>
      <c r="OQ598" s="45"/>
      <c r="OR598" s="45"/>
      <c r="OS598" s="45"/>
      <c r="OT598" s="45"/>
      <c r="OU598" s="45"/>
      <c r="OV598" s="45"/>
      <c r="OW598" s="45"/>
      <c r="OX598" s="45"/>
      <c r="OY598" s="45"/>
      <c r="OZ598" s="45"/>
      <c r="PA598" s="45"/>
      <c r="PB598" s="45"/>
      <c r="PC598" s="45"/>
      <c r="PD598" s="45"/>
      <c r="PE598" s="45"/>
      <c r="PF598" s="45"/>
      <c r="PG598" s="45"/>
      <c r="PH598" s="45"/>
      <c r="PI598" s="45"/>
      <c r="PJ598" s="45"/>
      <c r="PK598" s="45"/>
      <c r="PL598" s="45"/>
      <c r="PM598" s="45"/>
      <c r="PN598" s="45"/>
      <c r="PO598" s="45"/>
      <c r="PP598" s="45"/>
      <c r="PQ598" s="45"/>
      <c r="PR598" s="45"/>
      <c r="PS598" s="45"/>
      <c r="PT598" s="45"/>
      <c r="PU598" s="45"/>
      <c r="PV598" s="45"/>
      <c r="PW598" s="45"/>
      <c r="PX598" s="45"/>
      <c r="PY598" s="45"/>
      <c r="PZ598" s="45"/>
      <c r="QA598" s="45"/>
      <c r="QB598" s="45"/>
      <c r="QC598" s="45"/>
      <c r="QD598" s="45"/>
      <c r="QE598" s="45"/>
      <c r="QF598" s="45"/>
      <c r="QG598" s="45"/>
      <c r="QH598" s="45"/>
      <c r="QI598" s="45"/>
      <c r="QJ598" s="45"/>
      <c r="QK598" s="45"/>
      <c r="QL598" s="45"/>
      <c r="QM598" s="45"/>
      <c r="QN598" s="45"/>
      <c r="QO598" s="45"/>
      <c r="QP598" s="45"/>
      <c r="QQ598" s="45"/>
      <c r="QR598" s="45"/>
      <c r="QS598" s="45"/>
      <c r="QT598" s="45"/>
      <c r="QU598" s="45"/>
      <c r="QV598" s="45"/>
      <c r="QW598" s="45"/>
      <c r="QX598" s="45"/>
      <c r="QY598" s="45"/>
      <c r="QZ598" s="45"/>
      <c r="RA598" s="45"/>
      <c r="RB598" s="45"/>
      <c r="RC598" s="45"/>
      <c r="RD598" s="45"/>
      <c r="RE598" s="45"/>
      <c r="RF598" s="45"/>
      <c r="RG598" s="45"/>
      <c r="RH598" s="45"/>
      <c r="RI598" s="45"/>
      <c r="RJ598" s="45"/>
      <c r="RK598" s="45"/>
      <c r="RL598" s="45"/>
      <c r="RM598" s="45"/>
      <c r="RN598" s="45"/>
      <c r="RO598" s="45"/>
      <c r="RP598" s="45"/>
      <c r="RQ598" s="45"/>
      <c r="RR598" s="45"/>
      <c r="RS598" s="45"/>
      <c r="RT598" s="45"/>
      <c r="RU598" s="45"/>
      <c r="RV598" s="45"/>
      <c r="RW598" s="45"/>
      <c r="RX598" s="45"/>
      <c r="RY598" s="45"/>
      <c r="RZ598" s="45"/>
      <c r="SA598" s="45"/>
      <c r="SB598" s="45"/>
      <c r="SC598" s="45"/>
      <c r="SD598" s="45"/>
      <c r="SE598" s="45"/>
      <c r="SF598" s="45"/>
      <c r="SG598" s="45"/>
      <c r="SH598" s="45"/>
      <c r="SI598" s="45"/>
      <c r="SJ598" s="45"/>
      <c r="SK598" s="45"/>
      <c r="SL598" s="45"/>
      <c r="SM598" s="45"/>
      <c r="SN598" s="45"/>
      <c r="SO598" s="45"/>
      <c r="SP598" s="45"/>
      <c r="SQ598" s="45"/>
      <c r="SR598" s="45"/>
      <c r="SS598" s="45"/>
      <c r="ST598" s="45"/>
      <c r="SU598" s="45"/>
      <c r="SV598" s="45"/>
      <c r="SW598" s="45"/>
      <c r="SX598" s="45"/>
      <c r="SY598" s="45"/>
      <c r="SZ598" s="45"/>
      <c r="TA598" s="45"/>
      <c r="TB598" s="45"/>
      <c r="TC598" s="45"/>
    </row>
    <row r="599" spans="1:523">
      <c r="A599" s="45">
        <v>110</v>
      </c>
      <c r="B599" s="320" t="s">
        <v>1019</v>
      </c>
      <c r="C599"/>
      <c r="D599"/>
      <c r="E599"/>
      <c r="F599"/>
      <c r="G599"/>
      <c r="H599"/>
      <c r="I599"/>
      <c r="J599"/>
      <c r="K599"/>
      <c r="L599"/>
      <c r="M599"/>
      <c r="N599"/>
      <c r="O599"/>
      <c r="T599"/>
      <c r="U599"/>
      <c r="V599"/>
      <c r="W599"/>
      <c r="X599"/>
      <c r="AA599"/>
      <c r="AB599"/>
      <c r="AC599"/>
      <c r="AD599"/>
      <c r="AE599"/>
      <c r="AF599"/>
      <c r="AG599"/>
      <c r="AH599"/>
      <c r="AI599"/>
      <c r="AJ599"/>
    </row>
    <row r="600" spans="1:523">
      <c r="A600" s="72">
        <v>111</v>
      </c>
      <c r="B600" s="320" t="s">
        <v>1018</v>
      </c>
      <c r="C600"/>
      <c r="D600"/>
      <c r="E600"/>
      <c r="F600"/>
      <c r="G600"/>
      <c r="H600"/>
      <c r="I600"/>
      <c r="J600"/>
      <c r="K600"/>
      <c r="L600"/>
      <c r="M600"/>
      <c r="N600"/>
      <c r="O600"/>
      <c r="T600"/>
      <c r="U600"/>
      <c r="V600"/>
      <c r="W600"/>
      <c r="X600"/>
      <c r="AA600"/>
      <c r="AB600"/>
      <c r="AC600"/>
      <c r="AD600"/>
      <c r="AE600"/>
      <c r="AF600"/>
      <c r="AG600"/>
      <c r="AH600"/>
      <c r="AI600"/>
      <c r="AJ600"/>
    </row>
    <row r="601" spans="1:523">
      <c r="A601" s="45">
        <v>112</v>
      </c>
      <c r="B601" s="320" t="s">
        <v>1017</v>
      </c>
      <c r="C601"/>
      <c r="D601"/>
      <c r="E601"/>
      <c r="F601"/>
      <c r="G601"/>
      <c r="H601"/>
      <c r="I601"/>
      <c r="J601"/>
      <c r="K601"/>
      <c r="L601"/>
      <c r="M601"/>
      <c r="N601"/>
      <c r="O601"/>
      <c r="T601"/>
      <c r="U601"/>
      <c r="V601"/>
      <c r="W601"/>
      <c r="X601"/>
      <c r="AA601"/>
      <c r="AB601"/>
      <c r="AC601"/>
      <c r="AD601"/>
      <c r="AE601"/>
      <c r="AF601"/>
      <c r="AG601"/>
      <c r="AH601"/>
      <c r="AI601"/>
      <c r="AJ601"/>
    </row>
    <row r="602" spans="1:523">
      <c r="A602" s="45">
        <v>113</v>
      </c>
      <c r="B602" s="320" t="s">
        <v>1016</v>
      </c>
      <c r="C602"/>
      <c r="D602"/>
      <c r="E602"/>
      <c r="F602"/>
      <c r="G602"/>
      <c r="H602"/>
      <c r="I602"/>
      <c r="J602"/>
      <c r="K602"/>
      <c r="L602"/>
      <c r="M602"/>
      <c r="N602"/>
      <c r="O602"/>
      <c r="T602"/>
      <c r="U602"/>
      <c r="V602"/>
      <c r="W602"/>
      <c r="X602"/>
      <c r="AA602"/>
      <c r="AB602"/>
      <c r="AC602"/>
      <c r="AD602"/>
      <c r="AE602"/>
      <c r="AF602"/>
      <c r="AG602"/>
      <c r="AH602"/>
      <c r="AI602"/>
      <c r="AJ602"/>
    </row>
    <row r="603" spans="1:523">
      <c r="A603" s="45">
        <v>114</v>
      </c>
      <c r="B603" s="319" t="s">
        <v>865</v>
      </c>
      <c r="C603"/>
      <c r="D603"/>
      <c r="E603"/>
      <c r="F603"/>
      <c r="G603"/>
      <c r="H603"/>
      <c r="I603"/>
      <c r="J603"/>
      <c r="K603"/>
      <c r="L603"/>
      <c r="M603"/>
      <c r="N603"/>
      <c r="O603"/>
      <c r="T603"/>
      <c r="U603"/>
      <c r="V603"/>
      <c r="W603"/>
      <c r="X603"/>
      <c r="AA603"/>
      <c r="AB603"/>
      <c r="AC603"/>
      <c r="AD603"/>
      <c r="AE603"/>
      <c r="AF603"/>
      <c r="AG603"/>
      <c r="AH603"/>
      <c r="AI603"/>
      <c r="AJ603"/>
    </row>
    <row r="604" spans="1:523">
      <c r="A604" s="72">
        <v>115</v>
      </c>
      <c r="B604" s="319" t="s">
        <v>864</v>
      </c>
      <c r="C604"/>
      <c r="D604"/>
      <c r="E604"/>
      <c r="F604"/>
      <c r="G604"/>
      <c r="H604"/>
      <c r="I604"/>
      <c r="J604"/>
      <c r="K604"/>
      <c r="L604"/>
      <c r="M604"/>
      <c r="N604"/>
      <c r="O604"/>
      <c r="T604"/>
      <c r="U604"/>
      <c r="V604"/>
      <c r="W604"/>
      <c r="X604"/>
      <c r="AA604"/>
      <c r="AB604"/>
      <c r="AC604"/>
      <c r="AD604"/>
      <c r="AE604"/>
      <c r="AF604"/>
      <c r="AG604"/>
      <c r="AH604"/>
      <c r="AI604"/>
      <c r="AJ604"/>
    </row>
    <row r="605" spans="1:523">
      <c r="A605" s="45">
        <v>116</v>
      </c>
      <c r="B605" s="320" t="s">
        <v>1015</v>
      </c>
      <c r="C605"/>
      <c r="D605"/>
      <c r="E605"/>
      <c r="F605"/>
      <c r="G605"/>
      <c r="H605"/>
      <c r="I605"/>
      <c r="J605"/>
      <c r="K605"/>
      <c r="L605"/>
      <c r="M605"/>
      <c r="N605"/>
      <c r="O605"/>
      <c r="T605"/>
      <c r="U605"/>
      <c r="V605"/>
      <c r="W605"/>
      <c r="X605"/>
      <c r="AA605"/>
      <c r="AB605"/>
      <c r="AC605"/>
      <c r="AD605"/>
      <c r="AE605"/>
      <c r="AF605"/>
      <c r="AG605"/>
      <c r="AH605"/>
      <c r="AI605"/>
      <c r="AJ605"/>
    </row>
    <row r="606" spans="1:523">
      <c r="A606" s="45">
        <v>117</v>
      </c>
      <c r="B606" s="319" t="s">
        <v>904</v>
      </c>
      <c r="C606"/>
      <c r="D606"/>
      <c r="E606"/>
      <c r="F606"/>
      <c r="G606"/>
      <c r="H606"/>
      <c r="I606"/>
      <c r="J606"/>
      <c r="K606"/>
      <c r="L606"/>
      <c r="M606"/>
      <c r="N606"/>
      <c r="O606"/>
      <c r="T606"/>
      <c r="U606"/>
      <c r="V606"/>
      <c r="W606"/>
      <c r="X606"/>
      <c r="AA606"/>
      <c r="AB606"/>
      <c r="AC606"/>
      <c r="AD606"/>
      <c r="AE606"/>
      <c r="AF606"/>
      <c r="AG606"/>
      <c r="AH606"/>
      <c r="AI606"/>
      <c r="AJ606"/>
    </row>
    <row r="607" spans="1:523">
      <c r="A607" s="45">
        <v>118</v>
      </c>
      <c r="B607" s="320" t="s">
        <v>1014</v>
      </c>
      <c r="C607"/>
      <c r="D607"/>
      <c r="E607"/>
      <c r="F607"/>
      <c r="G607"/>
      <c r="H607"/>
      <c r="I607"/>
      <c r="J607"/>
      <c r="K607"/>
      <c r="L607"/>
      <c r="M607"/>
      <c r="N607"/>
      <c r="O607"/>
      <c r="T607"/>
      <c r="U607"/>
      <c r="V607"/>
      <c r="W607"/>
      <c r="X607"/>
      <c r="AA607"/>
      <c r="AB607"/>
      <c r="AC607"/>
      <c r="AD607"/>
      <c r="AE607"/>
      <c r="AF607"/>
      <c r="AG607"/>
      <c r="AH607"/>
      <c r="AI607"/>
      <c r="AJ607"/>
    </row>
    <row r="608" spans="1:523">
      <c r="A608" s="72">
        <v>119</v>
      </c>
      <c r="B608" s="319" t="s">
        <v>576</v>
      </c>
      <c r="C608"/>
      <c r="D608"/>
      <c r="E608"/>
      <c r="F608"/>
      <c r="G608"/>
      <c r="H608"/>
      <c r="I608"/>
      <c r="J608"/>
      <c r="K608"/>
      <c r="L608"/>
      <c r="M608"/>
      <c r="N608"/>
      <c r="O608"/>
      <c r="T608"/>
      <c r="U608"/>
      <c r="V608"/>
      <c r="W608"/>
      <c r="X608"/>
      <c r="AA608"/>
      <c r="AB608"/>
      <c r="AC608"/>
      <c r="AD608"/>
      <c r="AE608"/>
      <c r="AF608"/>
      <c r="AG608"/>
      <c r="AH608"/>
      <c r="AI608"/>
      <c r="AJ608"/>
    </row>
    <row r="609" spans="1:36">
      <c r="A609" s="45">
        <v>120</v>
      </c>
      <c r="B609" s="319" t="s">
        <v>569</v>
      </c>
      <c r="C609"/>
      <c r="D609"/>
      <c r="E609"/>
      <c r="F609"/>
      <c r="G609"/>
      <c r="H609"/>
      <c r="I609"/>
      <c r="J609"/>
      <c r="K609"/>
      <c r="L609"/>
      <c r="M609"/>
      <c r="N609"/>
      <c r="O609"/>
      <c r="T609"/>
      <c r="U609"/>
      <c r="V609"/>
      <c r="W609"/>
      <c r="X609"/>
      <c r="AA609"/>
      <c r="AB609"/>
      <c r="AC609"/>
      <c r="AD609"/>
      <c r="AE609"/>
      <c r="AF609"/>
      <c r="AG609"/>
      <c r="AH609"/>
      <c r="AI609"/>
      <c r="AJ609"/>
    </row>
    <row r="610" spans="1:36">
      <c r="A610" s="45">
        <v>121</v>
      </c>
      <c r="B610" s="320" t="s">
        <v>1013</v>
      </c>
      <c r="C610"/>
      <c r="D610"/>
      <c r="E610"/>
      <c r="F610"/>
      <c r="G610"/>
      <c r="H610"/>
      <c r="I610"/>
      <c r="J610"/>
      <c r="K610"/>
      <c r="L610"/>
      <c r="M610"/>
      <c r="N610"/>
      <c r="O610"/>
      <c r="T610"/>
      <c r="U610"/>
      <c r="V610"/>
      <c r="W610"/>
      <c r="X610"/>
      <c r="AA610"/>
      <c r="AB610"/>
      <c r="AC610"/>
      <c r="AD610"/>
      <c r="AE610"/>
      <c r="AF610"/>
      <c r="AG610"/>
      <c r="AH610"/>
      <c r="AI610"/>
      <c r="AJ610"/>
    </row>
    <row r="611" spans="1:36">
      <c r="A611" s="45">
        <v>122</v>
      </c>
      <c r="B611" s="319" t="s">
        <v>547</v>
      </c>
      <c r="C611"/>
      <c r="D611"/>
      <c r="E611"/>
      <c r="F611"/>
      <c r="G611"/>
      <c r="H611"/>
      <c r="I611"/>
      <c r="J611"/>
      <c r="K611"/>
      <c r="L611"/>
      <c r="M611"/>
      <c r="N611"/>
      <c r="O611"/>
      <c r="T611"/>
      <c r="U611"/>
      <c r="V611"/>
      <c r="W611"/>
      <c r="X611"/>
      <c r="AA611"/>
      <c r="AB611"/>
      <c r="AC611"/>
      <c r="AD611"/>
      <c r="AE611"/>
      <c r="AF611"/>
      <c r="AG611"/>
      <c r="AH611"/>
      <c r="AI611"/>
      <c r="AJ611"/>
    </row>
    <row r="612" spans="1:36">
      <c r="A612" s="72">
        <v>123</v>
      </c>
      <c r="B612" s="319" t="s">
        <v>877</v>
      </c>
      <c r="C612"/>
      <c r="D612"/>
      <c r="E612"/>
      <c r="F612"/>
      <c r="G612"/>
      <c r="H612"/>
      <c r="I612"/>
      <c r="J612"/>
      <c r="K612"/>
      <c r="L612"/>
      <c r="M612"/>
      <c r="N612"/>
      <c r="O612"/>
      <c r="T612"/>
      <c r="U612"/>
      <c r="V612"/>
      <c r="W612"/>
      <c r="X612"/>
      <c r="AA612"/>
      <c r="AB612"/>
      <c r="AC612"/>
      <c r="AD612"/>
      <c r="AE612"/>
      <c r="AF612"/>
      <c r="AG612"/>
      <c r="AH612"/>
      <c r="AI612"/>
      <c r="AJ612"/>
    </row>
    <row r="613" spans="1:36">
      <c r="A613" s="45">
        <v>124</v>
      </c>
      <c r="B613" s="319" t="s">
        <v>903</v>
      </c>
      <c r="C613"/>
      <c r="D613"/>
      <c r="E613"/>
      <c r="F613"/>
      <c r="G613"/>
      <c r="H613"/>
      <c r="I613"/>
      <c r="J613"/>
      <c r="K613"/>
      <c r="L613"/>
      <c r="M613"/>
      <c r="N613"/>
      <c r="O613"/>
      <c r="T613"/>
      <c r="U613"/>
      <c r="V613"/>
      <c r="W613"/>
      <c r="X613"/>
      <c r="AA613"/>
      <c r="AB613"/>
      <c r="AC613"/>
      <c r="AD613"/>
      <c r="AE613"/>
      <c r="AF613"/>
      <c r="AG613"/>
      <c r="AH613"/>
      <c r="AI613"/>
      <c r="AJ613"/>
    </row>
    <row r="614" spans="1:36">
      <c r="A614" s="45">
        <v>125</v>
      </c>
      <c r="B614" s="319" t="s">
        <v>902</v>
      </c>
      <c r="C614"/>
      <c r="D614"/>
      <c r="E614"/>
      <c r="F614"/>
      <c r="G614"/>
      <c r="H614"/>
      <c r="I614"/>
      <c r="J614"/>
      <c r="K614"/>
      <c r="L614"/>
      <c r="M614"/>
      <c r="N614"/>
      <c r="O614"/>
      <c r="T614"/>
      <c r="U614"/>
      <c r="V614"/>
      <c r="W614"/>
      <c r="X614"/>
      <c r="AA614"/>
      <c r="AB614"/>
      <c r="AC614"/>
      <c r="AD614"/>
      <c r="AE614"/>
      <c r="AF614"/>
      <c r="AG614"/>
      <c r="AH614"/>
      <c r="AI614"/>
      <c r="AJ614"/>
    </row>
    <row r="615" spans="1:36">
      <c r="A615" s="45">
        <v>126</v>
      </c>
      <c r="B615" s="319" t="s">
        <v>901</v>
      </c>
      <c r="C615"/>
      <c r="D615"/>
      <c r="E615"/>
      <c r="F615"/>
      <c r="G615"/>
      <c r="H615"/>
      <c r="I615"/>
      <c r="J615"/>
      <c r="K615"/>
      <c r="L615"/>
      <c r="M615"/>
      <c r="N615"/>
      <c r="O615"/>
      <c r="T615"/>
      <c r="U615"/>
      <c r="V615"/>
      <c r="W615"/>
      <c r="X615"/>
      <c r="AA615"/>
      <c r="AB615"/>
      <c r="AC615"/>
      <c r="AD615"/>
      <c r="AE615"/>
      <c r="AF615"/>
      <c r="AG615"/>
      <c r="AH615"/>
      <c r="AI615"/>
      <c r="AJ615"/>
    </row>
    <row r="616" spans="1:36">
      <c r="A616" s="72">
        <v>127</v>
      </c>
      <c r="B616" s="319" t="s">
        <v>900</v>
      </c>
      <c r="C616"/>
      <c r="D616"/>
      <c r="E616"/>
      <c r="F616"/>
      <c r="G616"/>
      <c r="H616"/>
      <c r="I616"/>
      <c r="J616"/>
      <c r="K616"/>
      <c r="L616"/>
      <c r="M616"/>
      <c r="N616"/>
      <c r="O616"/>
      <c r="T616"/>
      <c r="U616"/>
      <c r="V616"/>
      <c r="W616"/>
      <c r="X616"/>
      <c r="AA616"/>
      <c r="AB616"/>
      <c r="AC616"/>
      <c r="AD616"/>
      <c r="AE616"/>
      <c r="AF616"/>
      <c r="AG616"/>
      <c r="AH616"/>
      <c r="AI616"/>
      <c r="AJ616"/>
    </row>
    <row r="617" spans="1:36">
      <c r="A617" s="45">
        <v>128</v>
      </c>
      <c r="B617" s="319" t="s">
        <v>839</v>
      </c>
      <c r="C617"/>
      <c r="D617"/>
      <c r="E617"/>
      <c r="F617"/>
      <c r="G617"/>
      <c r="H617"/>
      <c r="I617"/>
      <c r="J617"/>
      <c r="K617"/>
      <c r="L617"/>
      <c r="M617"/>
      <c r="N617"/>
      <c r="O617"/>
      <c r="T617"/>
      <c r="U617"/>
      <c r="V617"/>
      <c r="W617"/>
      <c r="X617"/>
      <c r="AA617"/>
      <c r="AB617"/>
      <c r="AC617"/>
      <c r="AD617"/>
      <c r="AE617"/>
      <c r="AF617"/>
      <c r="AG617"/>
      <c r="AH617"/>
      <c r="AI617"/>
      <c r="AJ617"/>
    </row>
    <row r="618" spans="1:36">
      <c r="A618" s="45">
        <v>129</v>
      </c>
      <c r="B618" s="319" t="s">
        <v>838</v>
      </c>
      <c r="C618"/>
      <c r="D618"/>
      <c r="E618"/>
      <c r="F618"/>
      <c r="G618"/>
      <c r="H618"/>
      <c r="I618"/>
      <c r="J618"/>
      <c r="K618"/>
      <c r="L618"/>
      <c r="M618"/>
      <c r="N618"/>
      <c r="O618"/>
      <c r="T618"/>
      <c r="U618"/>
      <c r="V618"/>
      <c r="W618"/>
      <c r="X618"/>
      <c r="AA618"/>
      <c r="AB618"/>
      <c r="AC618"/>
      <c r="AD618"/>
      <c r="AE618"/>
      <c r="AF618"/>
      <c r="AG618"/>
      <c r="AH618"/>
      <c r="AI618"/>
      <c r="AJ618"/>
    </row>
    <row r="619" spans="1:36">
      <c r="A619" s="45">
        <v>130</v>
      </c>
      <c r="B619" s="319" t="s">
        <v>837</v>
      </c>
      <c r="C619"/>
      <c r="D619"/>
      <c r="E619"/>
      <c r="F619"/>
      <c r="G619"/>
      <c r="H619"/>
      <c r="I619"/>
      <c r="J619"/>
      <c r="K619"/>
      <c r="L619"/>
      <c r="M619"/>
      <c r="N619"/>
      <c r="O619"/>
      <c r="T619"/>
      <c r="U619"/>
      <c r="V619"/>
      <c r="W619"/>
      <c r="X619"/>
      <c r="AA619"/>
      <c r="AB619"/>
      <c r="AC619"/>
      <c r="AD619"/>
      <c r="AE619"/>
      <c r="AF619"/>
      <c r="AG619"/>
      <c r="AH619"/>
      <c r="AI619"/>
      <c r="AJ619"/>
    </row>
    <row r="620" spans="1:36">
      <c r="A620" s="72">
        <v>131</v>
      </c>
      <c r="B620" s="319" t="s">
        <v>836</v>
      </c>
      <c r="C620"/>
      <c r="D620"/>
      <c r="E620"/>
      <c r="F620"/>
      <c r="G620"/>
      <c r="H620"/>
      <c r="I620"/>
      <c r="J620"/>
      <c r="K620"/>
      <c r="L620"/>
      <c r="M620"/>
      <c r="N620"/>
      <c r="O620"/>
      <c r="T620"/>
      <c r="U620"/>
      <c r="V620"/>
      <c r="W620"/>
      <c r="X620"/>
      <c r="AA620"/>
      <c r="AB620"/>
      <c r="AC620"/>
      <c r="AD620"/>
      <c r="AE620"/>
      <c r="AF620"/>
      <c r="AG620"/>
      <c r="AH620"/>
      <c r="AI620"/>
      <c r="AJ620"/>
    </row>
    <row r="621" spans="1:36">
      <c r="A621" s="45">
        <v>132</v>
      </c>
      <c r="B621" s="319" t="s">
        <v>876</v>
      </c>
      <c r="C621"/>
      <c r="D621"/>
      <c r="E621"/>
      <c r="F621"/>
      <c r="G621"/>
      <c r="H621"/>
      <c r="I621"/>
      <c r="J621"/>
      <c r="K621"/>
      <c r="L621"/>
      <c r="M621"/>
      <c r="N621"/>
      <c r="O621"/>
      <c r="T621"/>
      <c r="U621"/>
      <c r="V621"/>
      <c r="W621"/>
      <c r="X621"/>
      <c r="AA621"/>
      <c r="AB621"/>
      <c r="AC621"/>
      <c r="AD621"/>
      <c r="AE621"/>
      <c r="AF621"/>
      <c r="AG621"/>
      <c r="AH621"/>
      <c r="AI621"/>
      <c r="AJ621"/>
    </row>
    <row r="622" spans="1:36">
      <c r="A622" s="45">
        <v>133</v>
      </c>
      <c r="B622" s="320" t="s">
        <v>1012</v>
      </c>
      <c r="C622"/>
      <c r="D622"/>
      <c r="E622"/>
      <c r="F622"/>
      <c r="G622"/>
      <c r="H622"/>
      <c r="I622"/>
      <c r="J622"/>
      <c r="K622"/>
      <c r="L622"/>
      <c r="M622"/>
      <c r="N622"/>
      <c r="O622"/>
      <c r="T622" s="192">
        <f>SUMIF(Таблица52[Наявність будинкових приладів обліку теплової енергії на потреби опалення (наявний/ відсутній)],G6,Таблица52[Річна потреба всього, Гкал])-T507</f>
        <v>7.2759576141834259E-12</v>
      </c>
      <c r="U622"/>
      <c r="V622"/>
      <c r="W622"/>
      <c r="X622"/>
      <c r="AA622"/>
      <c r="AB622"/>
      <c r="AC622"/>
      <c r="AD622"/>
      <c r="AE622"/>
      <c r="AF622"/>
      <c r="AG622"/>
      <c r="AH622"/>
      <c r="AI622"/>
      <c r="AJ622"/>
    </row>
    <row r="623" spans="1:36">
      <c r="A623" s="45">
        <v>134</v>
      </c>
      <c r="B623" s="319" t="s">
        <v>899</v>
      </c>
      <c r="C623"/>
      <c r="D623"/>
      <c r="E623"/>
      <c r="F623"/>
      <c r="G623"/>
      <c r="H623"/>
      <c r="I623"/>
      <c r="J623"/>
      <c r="K623"/>
      <c r="L623"/>
      <c r="M623"/>
      <c r="N623"/>
      <c r="O623"/>
      <c r="T623"/>
      <c r="U623"/>
      <c r="V623"/>
      <c r="W623"/>
      <c r="X623"/>
    </row>
    <row r="624" spans="1:36">
      <c r="A624" s="72">
        <v>135</v>
      </c>
      <c r="B624" s="320" t="s">
        <v>1011</v>
      </c>
      <c r="C624"/>
      <c r="D624"/>
      <c r="E624"/>
      <c r="F624"/>
      <c r="G624"/>
      <c r="H624"/>
      <c r="I624"/>
      <c r="J624"/>
      <c r="K624"/>
      <c r="L624"/>
      <c r="M624"/>
      <c r="N624"/>
      <c r="O624"/>
    </row>
    <row r="625" spans="1:523">
      <c r="A625" s="45">
        <v>136</v>
      </c>
      <c r="B625" s="319" t="s">
        <v>578</v>
      </c>
      <c r="C625"/>
      <c r="D625"/>
      <c r="E625"/>
      <c r="F625"/>
      <c r="G625"/>
      <c r="H625"/>
      <c r="I625"/>
      <c r="J625"/>
      <c r="K625"/>
      <c r="L625"/>
      <c r="M625"/>
      <c r="N625"/>
      <c r="O625"/>
    </row>
    <row r="626" spans="1:523">
      <c r="A626" s="45">
        <v>137</v>
      </c>
      <c r="B626" s="320" t="s">
        <v>1010</v>
      </c>
      <c r="C626"/>
      <c r="D626"/>
      <c r="E626"/>
      <c r="F626"/>
      <c r="G626"/>
      <c r="H626"/>
      <c r="I626"/>
      <c r="J626"/>
      <c r="K626"/>
      <c r="L626"/>
      <c r="M626"/>
      <c r="N626"/>
      <c r="O626"/>
    </row>
    <row r="627" spans="1:523">
      <c r="A627" s="45">
        <v>138</v>
      </c>
      <c r="B627" s="319" t="s">
        <v>555</v>
      </c>
      <c r="C627"/>
      <c r="D627"/>
      <c r="E627"/>
      <c r="F627"/>
      <c r="G627"/>
      <c r="H627"/>
      <c r="I627"/>
      <c r="J627"/>
      <c r="K627"/>
      <c r="L627"/>
      <c r="M627"/>
      <c r="N627"/>
      <c r="O627"/>
    </row>
    <row r="628" spans="1:523">
      <c r="A628" s="72">
        <v>139</v>
      </c>
      <c r="B628" s="320" t="s">
        <v>1009</v>
      </c>
      <c r="C628"/>
      <c r="D628"/>
      <c r="E628"/>
      <c r="F628"/>
      <c r="G628"/>
      <c r="H628"/>
      <c r="I628"/>
      <c r="J628"/>
      <c r="K628"/>
      <c r="L628"/>
      <c r="M628"/>
      <c r="N628"/>
      <c r="O628"/>
    </row>
    <row r="629" spans="1:523">
      <c r="A629" s="45">
        <v>140</v>
      </c>
      <c r="B629" s="319" t="s">
        <v>709</v>
      </c>
      <c r="C629"/>
      <c r="D629"/>
      <c r="E629"/>
      <c r="F629"/>
      <c r="G629"/>
      <c r="H629"/>
      <c r="I629"/>
      <c r="J629"/>
      <c r="K629"/>
      <c r="L629"/>
      <c r="M629"/>
      <c r="N629"/>
      <c r="O629"/>
    </row>
    <row r="630" spans="1:523">
      <c r="A630" s="45">
        <v>141</v>
      </c>
      <c r="B630" s="320" t="s">
        <v>1008</v>
      </c>
      <c r="C630"/>
      <c r="D630"/>
      <c r="E630"/>
      <c r="F630"/>
      <c r="G630"/>
      <c r="H630"/>
      <c r="I630"/>
      <c r="J630"/>
      <c r="K630"/>
      <c r="L630"/>
      <c r="M630"/>
      <c r="N630"/>
      <c r="O630"/>
    </row>
    <row r="631" spans="1:523">
      <c r="A631" s="45">
        <v>142</v>
      </c>
      <c r="B631" s="320" t="s">
        <v>1007</v>
      </c>
      <c r="C631"/>
      <c r="D631"/>
      <c r="E631"/>
      <c r="F631"/>
      <c r="G631"/>
      <c r="H631"/>
      <c r="I631"/>
      <c r="J631"/>
      <c r="K631"/>
      <c r="L631"/>
      <c r="M631"/>
      <c r="N631"/>
      <c r="O631"/>
    </row>
    <row r="632" spans="1:523" s="188" customFormat="1">
      <c r="A632" s="72">
        <v>143</v>
      </c>
      <c r="B632" s="320" t="s">
        <v>1006</v>
      </c>
      <c r="C632"/>
      <c r="D632"/>
      <c r="E632"/>
      <c r="F632"/>
      <c r="G632"/>
      <c r="H632"/>
      <c r="I632"/>
      <c r="J632"/>
      <c r="K632"/>
      <c r="L632"/>
      <c r="M632"/>
      <c r="N632"/>
      <c r="O632"/>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c r="AS632" s="45"/>
      <c r="AT632" s="45"/>
      <c r="AU632" s="45"/>
      <c r="AV632" s="45"/>
      <c r="AW632" s="45"/>
      <c r="AX632" s="45"/>
      <c r="AY632" s="45"/>
      <c r="AZ632" s="45"/>
      <c r="BA632" s="45"/>
      <c r="BB632" s="45"/>
      <c r="BC632" s="45"/>
      <c r="BD632" s="45"/>
      <c r="BE632" s="45"/>
      <c r="BF632" s="45"/>
      <c r="BG632" s="45"/>
      <c r="BH632" s="45"/>
      <c r="BI632" s="45"/>
      <c r="BJ632" s="45"/>
      <c r="BK632" s="45"/>
      <c r="BL632" s="45"/>
      <c r="BM632" s="45"/>
      <c r="BN632" s="45"/>
      <c r="BO632" s="45"/>
      <c r="BP632" s="45"/>
      <c r="BQ632" s="45"/>
      <c r="BR632" s="45"/>
      <c r="BS632" s="45"/>
      <c r="BT632" s="45"/>
      <c r="BU632" s="45"/>
      <c r="BV632" s="45"/>
      <c r="BW632" s="45"/>
      <c r="BX632" s="45"/>
      <c r="BY632" s="45"/>
      <c r="BZ632" s="45"/>
      <c r="CA632" s="45"/>
      <c r="CB632" s="45"/>
      <c r="CC632" s="45"/>
      <c r="CD632" s="45"/>
      <c r="CE632" s="45"/>
      <c r="CF632" s="45"/>
      <c r="CG632" s="45"/>
      <c r="CH632" s="45"/>
      <c r="CI632" s="45"/>
      <c r="CJ632" s="45"/>
      <c r="CK632" s="45"/>
      <c r="CL632" s="45"/>
      <c r="CM632" s="45"/>
      <c r="CN632" s="45"/>
      <c r="CO632" s="45"/>
      <c r="CP632" s="45"/>
      <c r="CQ632" s="45"/>
      <c r="CR632" s="45"/>
      <c r="CS632" s="45"/>
      <c r="CT632" s="45"/>
      <c r="CU632" s="45"/>
      <c r="CV632" s="45"/>
      <c r="CW632" s="45"/>
      <c r="CX632" s="45"/>
      <c r="CY632" s="45"/>
      <c r="CZ632" s="45"/>
      <c r="DA632" s="45"/>
      <c r="DB632" s="45"/>
      <c r="DC632" s="45"/>
      <c r="DD632" s="45"/>
      <c r="DE632" s="45"/>
      <c r="DF632" s="45"/>
      <c r="DG632" s="45"/>
      <c r="DH632" s="45"/>
      <c r="DI632" s="45"/>
      <c r="DJ632" s="45"/>
      <c r="DK632" s="45"/>
      <c r="DL632" s="45"/>
      <c r="DM632" s="45"/>
      <c r="DN632" s="45"/>
      <c r="DO632" s="45"/>
      <c r="DP632" s="45"/>
      <c r="DQ632" s="45"/>
      <c r="DR632" s="45"/>
      <c r="DS632" s="45"/>
      <c r="DT632" s="45"/>
      <c r="DU632" s="45"/>
      <c r="DV632" s="45"/>
      <c r="DW632" s="45"/>
      <c r="DX632" s="45"/>
      <c r="DY632" s="45"/>
      <c r="DZ632" s="45"/>
      <c r="EA632" s="45"/>
      <c r="EB632" s="45"/>
      <c r="EC632" s="45"/>
      <c r="ED632" s="45"/>
      <c r="EE632" s="45"/>
      <c r="EF632" s="45"/>
      <c r="EG632" s="45"/>
      <c r="EH632" s="45"/>
      <c r="EI632" s="45"/>
      <c r="EJ632" s="45"/>
      <c r="EK632" s="45"/>
      <c r="EL632" s="45"/>
      <c r="EM632" s="45"/>
      <c r="EN632" s="45"/>
      <c r="EO632" s="45"/>
      <c r="EP632" s="45"/>
      <c r="EQ632" s="45"/>
      <c r="ER632" s="45"/>
      <c r="ES632" s="45"/>
      <c r="ET632" s="45"/>
      <c r="EU632" s="45"/>
      <c r="EV632" s="45"/>
      <c r="EW632" s="45"/>
      <c r="EX632" s="45"/>
      <c r="EY632" s="45"/>
      <c r="EZ632" s="45"/>
      <c r="FA632" s="45"/>
      <c r="FB632" s="45"/>
      <c r="FC632" s="45"/>
      <c r="FD632" s="45"/>
      <c r="FE632" s="45"/>
      <c r="FF632" s="45"/>
      <c r="FG632" s="45"/>
      <c r="FH632" s="45"/>
      <c r="FI632" s="45"/>
      <c r="FJ632" s="45"/>
      <c r="FK632" s="45"/>
      <c r="FL632" s="45"/>
      <c r="FM632" s="45"/>
      <c r="FN632" s="45"/>
      <c r="FO632" s="45"/>
      <c r="FP632" s="45"/>
      <c r="FQ632" s="45"/>
      <c r="FR632" s="45"/>
      <c r="FS632" s="45"/>
      <c r="FT632" s="45"/>
      <c r="FU632" s="45"/>
      <c r="FV632" s="45"/>
      <c r="FW632" s="45"/>
      <c r="FX632" s="45"/>
      <c r="FY632" s="45"/>
      <c r="FZ632" s="45"/>
      <c r="GA632" s="45"/>
      <c r="GB632" s="45"/>
      <c r="GC632" s="45"/>
      <c r="GD632" s="45"/>
      <c r="GE632" s="45"/>
      <c r="GF632" s="45"/>
      <c r="GG632" s="45"/>
      <c r="GH632" s="45"/>
      <c r="GI632" s="45"/>
      <c r="GJ632" s="45"/>
      <c r="GK632" s="45"/>
      <c r="GL632" s="45"/>
      <c r="GM632" s="45"/>
      <c r="GN632" s="45"/>
      <c r="GO632" s="45"/>
      <c r="GP632" s="45"/>
      <c r="GQ632" s="45"/>
      <c r="GR632" s="45"/>
      <c r="GS632" s="45"/>
      <c r="GT632" s="45"/>
      <c r="GU632" s="45"/>
      <c r="GV632" s="45"/>
      <c r="GW632" s="45"/>
      <c r="GX632" s="45"/>
      <c r="GY632" s="45"/>
      <c r="GZ632" s="45"/>
      <c r="HA632" s="45"/>
      <c r="HB632" s="45"/>
      <c r="HC632" s="45"/>
      <c r="HD632" s="45"/>
      <c r="HE632" s="45"/>
      <c r="HF632" s="45"/>
      <c r="HG632" s="45"/>
      <c r="HH632" s="45"/>
      <c r="HI632" s="45"/>
      <c r="HJ632" s="45"/>
      <c r="HK632" s="45"/>
      <c r="HL632" s="45"/>
      <c r="HM632" s="45"/>
      <c r="HN632" s="45"/>
      <c r="HO632" s="45"/>
      <c r="HP632" s="45"/>
      <c r="HQ632" s="45"/>
      <c r="HR632" s="45"/>
      <c r="HS632" s="45"/>
      <c r="HT632" s="45"/>
      <c r="HU632" s="45"/>
      <c r="HV632" s="45"/>
      <c r="HW632" s="45"/>
      <c r="HX632" s="45"/>
      <c r="HY632" s="45"/>
      <c r="HZ632" s="45"/>
      <c r="IA632" s="45"/>
      <c r="IB632" s="45"/>
      <c r="IC632" s="45"/>
      <c r="ID632" s="45"/>
      <c r="IE632" s="45"/>
      <c r="IF632" s="45"/>
      <c r="IG632" s="45"/>
      <c r="IH632" s="45"/>
      <c r="II632" s="45"/>
      <c r="IJ632" s="45"/>
      <c r="IK632" s="45"/>
      <c r="IL632" s="45"/>
      <c r="IM632" s="45"/>
      <c r="IN632" s="45"/>
      <c r="IO632" s="45"/>
      <c r="IP632" s="45"/>
      <c r="IQ632" s="45"/>
      <c r="IR632" s="45"/>
      <c r="IS632" s="45"/>
      <c r="IT632" s="45"/>
      <c r="IU632" s="45"/>
      <c r="IV632" s="45"/>
      <c r="IW632" s="45"/>
      <c r="IX632" s="45"/>
      <c r="IY632" s="45"/>
      <c r="IZ632" s="45"/>
      <c r="JA632" s="45"/>
      <c r="JB632" s="45"/>
      <c r="JC632" s="45"/>
      <c r="JD632" s="45"/>
      <c r="JE632" s="45"/>
      <c r="JF632" s="45"/>
      <c r="JG632" s="45"/>
      <c r="JH632" s="45"/>
      <c r="JI632" s="45"/>
      <c r="JJ632" s="45"/>
      <c r="JK632" s="45"/>
      <c r="JL632" s="45"/>
      <c r="JM632" s="45"/>
      <c r="JN632" s="45"/>
      <c r="JO632" s="45"/>
      <c r="JP632" s="45"/>
      <c r="JQ632" s="45"/>
      <c r="JR632" s="45"/>
      <c r="JS632" s="45"/>
      <c r="JT632" s="45"/>
      <c r="JU632" s="45"/>
      <c r="JV632" s="45"/>
      <c r="JW632" s="45"/>
      <c r="JX632" s="45"/>
      <c r="JY632" s="45"/>
      <c r="JZ632" s="45"/>
      <c r="KA632" s="45"/>
      <c r="KB632" s="45"/>
      <c r="KC632" s="45"/>
      <c r="KD632" s="45"/>
      <c r="KE632" s="45"/>
      <c r="KF632" s="45"/>
      <c r="KG632" s="45"/>
      <c r="KH632" s="45"/>
      <c r="KI632" s="45"/>
      <c r="KJ632" s="45"/>
      <c r="KK632" s="45"/>
      <c r="KL632" s="45"/>
      <c r="KM632" s="45"/>
      <c r="KN632" s="45"/>
      <c r="KO632" s="45"/>
      <c r="KP632" s="45"/>
      <c r="KQ632" s="45"/>
      <c r="KR632" s="45"/>
      <c r="KS632" s="45"/>
      <c r="KT632" s="45"/>
      <c r="KU632" s="45"/>
      <c r="KV632" s="45"/>
      <c r="KW632" s="45"/>
      <c r="KX632" s="45"/>
      <c r="KY632" s="45"/>
      <c r="KZ632" s="45"/>
      <c r="LA632" s="45"/>
      <c r="LB632" s="45"/>
      <c r="LC632" s="45"/>
      <c r="LD632" s="45"/>
      <c r="LE632" s="45"/>
      <c r="LF632" s="45"/>
      <c r="LG632" s="45"/>
      <c r="LH632" s="45"/>
      <c r="LI632" s="45"/>
      <c r="LJ632" s="45"/>
      <c r="LK632" s="45"/>
      <c r="LL632" s="45"/>
      <c r="LM632" s="45"/>
      <c r="LN632" s="45"/>
      <c r="LO632" s="45"/>
      <c r="LP632" s="45"/>
      <c r="LQ632" s="45"/>
      <c r="LR632" s="45"/>
      <c r="LS632" s="45"/>
      <c r="LT632" s="45"/>
      <c r="LU632" s="45"/>
      <c r="LV632" s="45"/>
      <c r="LW632" s="45"/>
      <c r="LX632" s="45"/>
      <c r="LY632" s="45"/>
      <c r="LZ632" s="45"/>
      <c r="MA632" s="45"/>
      <c r="MB632" s="45"/>
      <c r="MC632" s="45"/>
      <c r="MD632" s="45"/>
      <c r="ME632" s="45"/>
      <c r="MF632" s="45"/>
      <c r="MG632" s="45"/>
      <c r="MH632" s="45"/>
      <c r="MI632" s="45"/>
      <c r="MJ632" s="45"/>
      <c r="MK632" s="45"/>
      <c r="ML632" s="45"/>
      <c r="MM632" s="45"/>
      <c r="MN632" s="45"/>
      <c r="MO632" s="45"/>
      <c r="MP632" s="45"/>
      <c r="MQ632" s="45"/>
      <c r="MR632" s="45"/>
      <c r="MS632" s="45"/>
      <c r="MT632" s="45"/>
      <c r="MU632" s="45"/>
      <c r="MV632" s="45"/>
      <c r="MW632" s="45"/>
      <c r="MX632" s="45"/>
      <c r="MY632" s="45"/>
      <c r="MZ632" s="45"/>
      <c r="NA632" s="45"/>
      <c r="NB632" s="45"/>
      <c r="NC632" s="45"/>
      <c r="ND632" s="45"/>
      <c r="NE632" s="45"/>
      <c r="NF632" s="45"/>
      <c r="NG632" s="45"/>
      <c r="NH632" s="45"/>
      <c r="NI632" s="45"/>
      <c r="NJ632" s="45"/>
      <c r="NK632" s="45"/>
      <c r="NL632" s="45"/>
      <c r="NM632" s="45"/>
      <c r="NN632" s="45"/>
      <c r="NO632" s="45"/>
      <c r="NP632" s="45"/>
      <c r="NQ632" s="45"/>
      <c r="NR632" s="45"/>
      <c r="NS632" s="45"/>
      <c r="NT632" s="45"/>
      <c r="NU632" s="45"/>
      <c r="NV632" s="45"/>
      <c r="NW632" s="45"/>
      <c r="NX632" s="45"/>
      <c r="NY632" s="45"/>
      <c r="NZ632" s="45"/>
      <c r="OA632" s="45"/>
      <c r="OB632" s="45"/>
      <c r="OC632" s="45"/>
      <c r="OD632" s="45"/>
      <c r="OE632" s="45"/>
      <c r="OF632" s="45"/>
      <c r="OG632" s="45"/>
      <c r="OH632" s="45"/>
      <c r="OI632" s="45"/>
      <c r="OJ632" s="45"/>
      <c r="OK632" s="45"/>
      <c r="OL632" s="45"/>
      <c r="OM632" s="45"/>
      <c r="ON632" s="45"/>
      <c r="OO632" s="45"/>
      <c r="OP632" s="45"/>
      <c r="OQ632" s="45"/>
      <c r="OR632" s="45"/>
      <c r="OS632" s="45"/>
      <c r="OT632" s="45"/>
      <c r="OU632" s="45"/>
      <c r="OV632" s="45"/>
      <c r="OW632" s="45"/>
      <c r="OX632" s="45"/>
      <c r="OY632" s="45"/>
      <c r="OZ632" s="45"/>
      <c r="PA632" s="45"/>
      <c r="PB632" s="45"/>
      <c r="PC632" s="45"/>
      <c r="PD632" s="45"/>
      <c r="PE632" s="45"/>
      <c r="PF632" s="45"/>
      <c r="PG632" s="45"/>
      <c r="PH632" s="45"/>
      <c r="PI632" s="45"/>
      <c r="PJ632" s="45"/>
      <c r="PK632" s="45"/>
      <c r="PL632" s="45"/>
      <c r="PM632" s="45"/>
      <c r="PN632" s="45"/>
      <c r="PO632" s="45"/>
      <c r="PP632" s="45"/>
      <c r="PQ632" s="45"/>
      <c r="PR632" s="45"/>
      <c r="PS632" s="45"/>
      <c r="PT632" s="45"/>
      <c r="PU632" s="45"/>
      <c r="PV632" s="45"/>
      <c r="PW632" s="45"/>
      <c r="PX632" s="45"/>
      <c r="PY632" s="45"/>
      <c r="PZ632" s="45"/>
      <c r="QA632" s="45"/>
      <c r="QB632" s="45"/>
      <c r="QC632" s="45"/>
      <c r="QD632" s="45"/>
      <c r="QE632" s="45"/>
      <c r="QF632" s="45"/>
      <c r="QG632" s="45"/>
      <c r="QH632" s="45"/>
      <c r="QI632" s="45"/>
      <c r="QJ632" s="45"/>
      <c r="QK632" s="45"/>
      <c r="QL632" s="45"/>
      <c r="QM632" s="45"/>
      <c r="QN632" s="45"/>
      <c r="QO632" s="45"/>
      <c r="QP632" s="45"/>
      <c r="QQ632" s="45"/>
      <c r="QR632" s="45"/>
      <c r="QS632" s="45"/>
      <c r="QT632" s="45"/>
      <c r="QU632" s="45"/>
      <c r="QV632" s="45"/>
      <c r="QW632" s="45"/>
      <c r="QX632" s="45"/>
      <c r="QY632" s="45"/>
      <c r="QZ632" s="45"/>
      <c r="RA632" s="45"/>
      <c r="RB632" s="45"/>
      <c r="RC632" s="45"/>
      <c r="RD632" s="45"/>
      <c r="RE632" s="45"/>
      <c r="RF632" s="45"/>
      <c r="RG632" s="45"/>
      <c r="RH632" s="45"/>
      <c r="RI632" s="45"/>
      <c r="RJ632" s="45"/>
      <c r="RK632" s="45"/>
      <c r="RL632" s="45"/>
      <c r="RM632" s="45"/>
      <c r="RN632" s="45"/>
      <c r="RO632" s="45"/>
      <c r="RP632" s="45"/>
      <c r="RQ632" s="45"/>
      <c r="RR632" s="45"/>
      <c r="RS632" s="45"/>
      <c r="RT632" s="45"/>
      <c r="RU632" s="45"/>
      <c r="RV632" s="45"/>
      <c r="RW632" s="45"/>
      <c r="RX632" s="45"/>
      <c r="RY632" s="45"/>
      <c r="RZ632" s="45"/>
      <c r="SA632" s="45"/>
      <c r="SB632" s="45"/>
      <c r="SC632" s="45"/>
      <c r="SD632" s="45"/>
      <c r="SE632" s="45"/>
      <c r="SF632" s="45"/>
      <c r="SG632" s="45"/>
      <c r="SH632" s="45"/>
      <c r="SI632" s="45"/>
      <c r="SJ632" s="45"/>
      <c r="SK632" s="45"/>
      <c r="SL632" s="45"/>
      <c r="SM632" s="45"/>
      <c r="SN632" s="45"/>
      <c r="SO632" s="45"/>
      <c r="SP632" s="45"/>
      <c r="SQ632" s="45"/>
      <c r="SR632" s="45"/>
      <c r="SS632" s="45"/>
      <c r="ST632" s="45"/>
      <c r="SU632" s="45"/>
      <c r="SV632" s="45"/>
      <c r="SW632" s="45"/>
      <c r="SX632" s="45"/>
      <c r="SY632" s="45"/>
      <c r="SZ632" s="45"/>
      <c r="TA632" s="45"/>
      <c r="TB632" s="45"/>
      <c r="TC632" s="45"/>
    </row>
    <row r="633" spans="1:523" s="188" customFormat="1">
      <c r="A633" s="45">
        <v>144</v>
      </c>
      <c r="B633" s="320" t="s">
        <v>1005</v>
      </c>
      <c r="C633"/>
      <c r="D633"/>
      <c r="E633"/>
      <c r="F633"/>
      <c r="G633"/>
      <c r="H633"/>
      <c r="I633"/>
      <c r="J633"/>
      <c r="K633"/>
      <c r="L633"/>
      <c r="M633"/>
      <c r="N633"/>
      <c r="O633"/>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c r="AS633" s="45"/>
      <c r="AT633" s="45"/>
      <c r="AU633" s="45"/>
      <c r="AV633" s="45"/>
      <c r="AW633" s="45"/>
      <c r="AX633" s="45"/>
      <c r="AY633" s="45"/>
      <c r="AZ633" s="45"/>
      <c r="BA633" s="45"/>
      <c r="BB633" s="45"/>
      <c r="BC633" s="45"/>
      <c r="BD633" s="45"/>
      <c r="BE633" s="45"/>
      <c r="BF633" s="45"/>
      <c r="BG633" s="45"/>
      <c r="BH633" s="45"/>
      <c r="BI633" s="45"/>
      <c r="BJ633" s="45"/>
      <c r="BK633" s="45"/>
      <c r="BL633" s="45"/>
      <c r="BM633" s="45"/>
      <c r="BN633" s="45"/>
      <c r="BO633" s="45"/>
      <c r="BP633" s="45"/>
      <c r="BQ633" s="45"/>
      <c r="BR633" s="45"/>
      <c r="BS633" s="45"/>
      <c r="BT633" s="45"/>
      <c r="BU633" s="45"/>
      <c r="BV633" s="45"/>
      <c r="BW633" s="45"/>
      <c r="BX633" s="45"/>
      <c r="BY633" s="45"/>
      <c r="BZ633" s="45"/>
      <c r="CA633" s="45"/>
      <c r="CB633" s="45"/>
      <c r="CC633" s="45"/>
      <c r="CD633" s="45"/>
      <c r="CE633" s="45"/>
      <c r="CF633" s="45"/>
      <c r="CG633" s="45"/>
      <c r="CH633" s="45"/>
      <c r="CI633" s="45"/>
      <c r="CJ633" s="45"/>
      <c r="CK633" s="45"/>
      <c r="CL633" s="45"/>
      <c r="CM633" s="45"/>
      <c r="CN633" s="45"/>
      <c r="CO633" s="45"/>
      <c r="CP633" s="45"/>
      <c r="CQ633" s="45"/>
      <c r="CR633" s="45"/>
      <c r="CS633" s="45"/>
      <c r="CT633" s="45"/>
      <c r="CU633" s="45"/>
      <c r="CV633" s="45"/>
      <c r="CW633" s="45"/>
      <c r="CX633" s="45"/>
      <c r="CY633" s="45"/>
      <c r="CZ633" s="45"/>
      <c r="DA633" s="45"/>
      <c r="DB633" s="45"/>
      <c r="DC633" s="45"/>
      <c r="DD633" s="45"/>
      <c r="DE633" s="45"/>
      <c r="DF633" s="45"/>
      <c r="DG633" s="45"/>
      <c r="DH633" s="45"/>
      <c r="DI633" s="45"/>
      <c r="DJ633" s="45"/>
      <c r="DK633" s="45"/>
      <c r="DL633" s="45"/>
      <c r="DM633" s="45"/>
      <c r="DN633" s="45"/>
      <c r="DO633" s="45"/>
      <c r="DP633" s="45"/>
      <c r="DQ633" s="45"/>
      <c r="DR633" s="45"/>
      <c r="DS633" s="45"/>
      <c r="DT633" s="45"/>
      <c r="DU633" s="45"/>
      <c r="DV633" s="45"/>
      <c r="DW633" s="45"/>
      <c r="DX633" s="45"/>
      <c r="DY633" s="45"/>
      <c r="DZ633" s="45"/>
      <c r="EA633" s="45"/>
      <c r="EB633" s="45"/>
      <c r="EC633" s="45"/>
      <c r="ED633" s="45"/>
      <c r="EE633" s="45"/>
      <c r="EF633" s="45"/>
      <c r="EG633" s="45"/>
      <c r="EH633" s="45"/>
      <c r="EI633" s="45"/>
      <c r="EJ633" s="45"/>
      <c r="EK633" s="45"/>
      <c r="EL633" s="45"/>
      <c r="EM633" s="45"/>
      <c r="EN633" s="45"/>
      <c r="EO633" s="45"/>
      <c r="EP633" s="45"/>
      <c r="EQ633" s="45"/>
      <c r="ER633" s="45"/>
      <c r="ES633" s="45"/>
      <c r="ET633" s="45"/>
      <c r="EU633" s="45"/>
      <c r="EV633" s="45"/>
      <c r="EW633" s="45"/>
      <c r="EX633" s="45"/>
      <c r="EY633" s="45"/>
      <c r="EZ633" s="45"/>
      <c r="FA633" s="45"/>
      <c r="FB633" s="45"/>
      <c r="FC633" s="45"/>
      <c r="FD633" s="45"/>
      <c r="FE633" s="45"/>
      <c r="FF633" s="45"/>
      <c r="FG633" s="45"/>
      <c r="FH633" s="45"/>
      <c r="FI633" s="45"/>
      <c r="FJ633" s="45"/>
      <c r="FK633" s="45"/>
      <c r="FL633" s="45"/>
      <c r="FM633" s="45"/>
      <c r="FN633" s="45"/>
      <c r="FO633" s="45"/>
      <c r="FP633" s="45"/>
      <c r="FQ633" s="45"/>
      <c r="FR633" s="45"/>
      <c r="FS633" s="45"/>
      <c r="FT633" s="45"/>
      <c r="FU633" s="45"/>
      <c r="FV633" s="45"/>
      <c r="FW633" s="45"/>
      <c r="FX633" s="45"/>
      <c r="FY633" s="45"/>
      <c r="FZ633" s="45"/>
      <c r="GA633" s="45"/>
      <c r="GB633" s="45"/>
      <c r="GC633" s="45"/>
      <c r="GD633" s="45"/>
      <c r="GE633" s="45"/>
      <c r="GF633" s="45"/>
      <c r="GG633" s="45"/>
      <c r="GH633" s="45"/>
      <c r="GI633" s="45"/>
      <c r="GJ633" s="45"/>
      <c r="GK633" s="45"/>
      <c r="GL633" s="45"/>
      <c r="GM633" s="45"/>
      <c r="GN633" s="45"/>
      <c r="GO633" s="45"/>
      <c r="GP633" s="45"/>
      <c r="GQ633" s="45"/>
      <c r="GR633" s="45"/>
      <c r="GS633" s="45"/>
      <c r="GT633" s="45"/>
      <c r="GU633" s="45"/>
      <c r="GV633" s="45"/>
      <c r="GW633" s="45"/>
      <c r="GX633" s="45"/>
      <c r="GY633" s="45"/>
      <c r="GZ633" s="45"/>
      <c r="HA633" s="45"/>
      <c r="HB633" s="45"/>
      <c r="HC633" s="45"/>
      <c r="HD633" s="45"/>
      <c r="HE633" s="45"/>
      <c r="HF633" s="45"/>
      <c r="HG633" s="45"/>
      <c r="HH633" s="45"/>
      <c r="HI633" s="45"/>
      <c r="HJ633" s="45"/>
      <c r="HK633" s="45"/>
      <c r="HL633" s="45"/>
      <c r="HM633" s="45"/>
      <c r="HN633" s="45"/>
      <c r="HO633" s="45"/>
      <c r="HP633" s="45"/>
      <c r="HQ633" s="45"/>
      <c r="HR633" s="45"/>
      <c r="HS633" s="45"/>
      <c r="HT633" s="45"/>
      <c r="HU633" s="45"/>
      <c r="HV633" s="45"/>
      <c r="HW633" s="45"/>
      <c r="HX633" s="45"/>
      <c r="HY633" s="45"/>
      <c r="HZ633" s="45"/>
      <c r="IA633" s="45"/>
      <c r="IB633" s="45"/>
      <c r="IC633" s="45"/>
      <c r="ID633" s="45"/>
      <c r="IE633" s="45"/>
      <c r="IF633" s="45"/>
      <c r="IG633" s="45"/>
      <c r="IH633" s="45"/>
      <c r="II633" s="45"/>
      <c r="IJ633" s="45"/>
      <c r="IK633" s="45"/>
      <c r="IL633" s="45"/>
      <c r="IM633" s="45"/>
      <c r="IN633" s="45"/>
      <c r="IO633" s="45"/>
      <c r="IP633" s="45"/>
      <c r="IQ633" s="45"/>
      <c r="IR633" s="45"/>
      <c r="IS633" s="45"/>
      <c r="IT633" s="45"/>
      <c r="IU633" s="45"/>
      <c r="IV633" s="45"/>
      <c r="IW633" s="45"/>
      <c r="IX633" s="45"/>
      <c r="IY633" s="45"/>
      <c r="IZ633" s="45"/>
      <c r="JA633" s="45"/>
      <c r="JB633" s="45"/>
      <c r="JC633" s="45"/>
      <c r="JD633" s="45"/>
      <c r="JE633" s="45"/>
      <c r="JF633" s="45"/>
      <c r="JG633" s="45"/>
      <c r="JH633" s="45"/>
      <c r="JI633" s="45"/>
      <c r="JJ633" s="45"/>
      <c r="JK633" s="45"/>
      <c r="JL633" s="45"/>
      <c r="JM633" s="45"/>
      <c r="JN633" s="45"/>
      <c r="JO633" s="45"/>
      <c r="JP633" s="45"/>
      <c r="JQ633" s="45"/>
      <c r="JR633" s="45"/>
      <c r="JS633" s="45"/>
      <c r="JT633" s="45"/>
      <c r="JU633" s="45"/>
      <c r="JV633" s="45"/>
      <c r="JW633" s="45"/>
      <c r="JX633" s="45"/>
      <c r="JY633" s="45"/>
      <c r="JZ633" s="45"/>
      <c r="KA633" s="45"/>
      <c r="KB633" s="45"/>
      <c r="KC633" s="45"/>
      <c r="KD633" s="45"/>
      <c r="KE633" s="45"/>
      <c r="KF633" s="45"/>
      <c r="KG633" s="45"/>
      <c r="KH633" s="45"/>
      <c r="KI633" s="45"/>
      <c r="KJ633" s="45"/>
      <c r="KK633" s="45"/>
      <c r="KL633" s="45"/>
      <c r="KM633" s="45"/>
      <c r="KN633" s="45"/>
      <c r="KO633" s="45"/>
      <c r="KP633" s="45"/>
      <c r="KQ633" s="45"/>
      <c r="KR633" s="45"/>
      <c r="KS633" s="45"/>
      <c r="KT633" s="45"/>
      <c r="KU633" s="45"/>
      <c r="KV633" s="45"/>
      <c r="KW633" s="45"/>
      <c r="KX633" s="45"/>
      <c r="KY633" s="45"/>
      <c r="KZ633" s="45"/>
      <c r="LA633" s="45"/>
      <c r="LB633" s="45"/>
      <c r="LC633" s="45"/>
      <c r="LD633" s="45"/>
      <c r="LE633" s="45"/>
      <c r="LF633" s="45"/>
      <c r="LG633" s="45"/>
      <c r="LH633" s="45"/>
      <c r="LI633" s="45"/>
      <c r="LJ633" s="45"/>
      <c r="LK633" s="45"/>
      <c r="LL633" s="45"/>
      <c r="LM633" s="45"/>
      <c r="LN633" s="45"/>
      <c r="LO633" s="45"/>
      <c r="LP633" s="45"/>
      <c r="LQ633" s="45"/>
      <c r="LR633" s="45"/>
      <c r="LS633" s="45"/>
      <c r="LT633" s="45"/>
      <c r="LU633" s="45"/>
      <c r="LV633" s="45"/>
      <c r="LW633" s="45"/>
      <c r="LX633" s="45"/>
      <c r="LY633" s="45"/>
      <c r="LZ633" s="45"/>
      <c r="MA633" s="45"/>
      <c r="MB633" s="45"/>
      <c r="MC633" s="45"/>
      <c r="MD633" s="45"/>
      <c r="ME633" s="45"/>
      <c r="MF633" s="45"/>
      <c r="MG633" s="45"/>
      <c r="MH633" s="45"/>
      <c r="MI633" s="45"/>
      <c r="MJ633" s="45"/>
      <c r="MK633" s="45"/>
      <c r="ML633" s="45"/>
      <c r="MM633" s="45"/>
      <c r="MN633" s="45"/>
      <c r="MO633" s="45"/>
      <c r="MP633" s="45"/>
      <c r="MQ633" s="45"/>
      <c r="MR633" s="45"/>
      <c r="MS633" s="45"/>
      <c r="MT633" s="45"/>
      <c r="MU633" s="45"/>
      <c r="MV633" s="45"/>
      <c r="MW633" s="45"/>
      <c r="MX633" s="45"/>
      <c r="MY633" s="45"/>
      <c r="MZ633" s="45"/>
      <c r="NA633" s="45"/>
      <c r="NB633" s="45"/>
      <c r="NC633" s="45"/>
      <c r="ND633" s="45"/>
      <c r="NE633" s="45"/>
      <c r="NF633" s="45"/>
      <c r="NG633" s="45"/>
      <c r="NH633" s="45"/>
      <c r="NI633" s="45"/>
      <c r="NJ633" s="45"/>
      <c r="NK633" s="45"/>
      <c r="NL633" s="45"/>
      <c r="NM633" s="45"/>
      <c r="NN633" s="45"/>
      <c r="NO633" s="45"/>
      <c r="NP633" s="45"/>
      <c r="NQ633" s="45"/>
      <c r="NR633" s="45"/>
      <c r="NS633" s="45"/>
      <c r="NT633" s="45"/>
      <c r="NU633" s="45"/>
      <c r="NV633" s="45"/>
      <c r="NW633" s="45"/>
      <c r="NX633" s="45"/>
      <c r="NY633" s="45"/>
      <c r="NZ633" s="45"/>
      <c r="OA633" s="45"/>
      <c r="OB633" s="45"/>
      <c r="OC633" s="45"/>
      <c r="OD633" s="45"/>
      <c r="OE633" s="45"/>
      <c r="OF633" s="45"/>
      <c r="OG633" s="45"/>
      <c r="OH633" s="45"/>
      <c r="OI633" s="45"/>
      <c r="OJ633" s="45"/>
      <c r="OK633" s="45"/>
      <c r="OL633" s="45"/>
      <c r="OM633" s="45"/>
      <c r="ON633" s="45"/>
      <c r="OO633" s="45"/>
      <c r="OP633" s="45"/>
      <c r="OQ633" s="45"/>
      <c r="OR633" s="45"/>
      <c r="OS633" s="45"/>
      <c r="OT633" s="45"/>
      <c r="OU633" s="45"/>
      <c r="OV633" s="45"/>
      <c r="OW633" s="45"/>
      <c r="OX633" s="45"/>
      <c r="OY633" s="45"/>
      <c r="OZ633" s="45"/>
      <c r="PA633" s="45"/>
      <c r="PB633" s="45"/>
      <c r="PC633" s="45"/>
      <c r="PD633" s="45"/>
      <c r="PE633" s="45"/>
      <c r="PF633" s="45"/>
      <c r="PG633" s="45"/>
      <c r="PH633" s="45"/>
      <c r="PI633" s="45"/>
      <c r="PJ633" s="45"/>
      <c r="PK633" s="45"/>
      <c r="PL633" s="45"/>
      <c r="PM633" s="45"/>
      <c r="PN633" s="45"/>
      <c r="PO633" s="45"/>
      <c r="PP633" s="45"/>
      <c r="PQ633" s="45"/>
      <c r="PR633" s="45"/>
      <c r="PS633" s="45"/>
      <c r="PT633" s="45"/>
      <c r="PU633" s="45"/>
      <c r="PV633" s="45"/>
      <c r="PW633" s="45"/>
      <c r="PX633" s="45"/>
      <c r="PY633" s="45"/>
      <c r="PZ633" s="45"/>
      <c r="QA633" s="45"/>
      <c r="QB633" s="45"/>
      <c r="QC633" s="45"/>
      <c r="QD633" s="45"/>
      <c r="QE633" s="45"/>
      <c r="QF633" s="45"/>
      <c r="QG633" s="45"/>
      <c r="QH633" s="45"/>
      <c r="QI633" s="45"/>
      <c r="QJ633" s="45"/>
      <c r="QK633" s="45"/>
      <c r="QL633" s="45"/>
      <c r="QM633" s="45"/>
      <c r="QN633" s="45"/>
      <c r="QO633" s="45"/>
      <c r="QP633" s="45"/>
      <c r="QQ633" s="45"/>
      <c r="QR633" s="45"/>
      <c r="QS633" s="45"/>
      <c r="QT633" s="45"/>
      <c r="QU633" s="45"/>
      <c r="QV633" s="45"/>
      <c r="QW633" s="45"/>
      <c r="QX633" s="45"/>
      <c r="QY633" s="45"/>
      <c r="QZ633" s="45"/>
      <c r="RA633" s="45"/>
      <c r="RB633" s="45"/>
      <c r="RC633" s="45"/>
      <c r="RD633" s="45"/>
      <c r="RE633" s="45"/>
      <c r="RF633" s="45"/>
      <c r="RG633" s="45"/>
      <c r="RH633" s="45"/>
      <c r="RI633" s="45"/>
      <c r="RJ633" s="45"/>
      <c r="RK633" s="45"/>
      <c r="RL633" s="45"/>
      <c r="RM633" s="45"/>
      <c r="RN633" s="45"/>
      <c r="RO633" s="45"/>
      <c r="RP633" s="45"/>
      <c r="RQ633" s="45"/>
      <c r="RR633" s="45"/>
      <c r="RS633" s="45"/>
      <c r="RT633" s="45"/>
      <c r="RU633" s="45"/>
      <c r="RV633" s="45"/>
      <c r="RW633" s="45"/>
      <c r="RX633" s="45"/>
      <c r="RY633" s="45"/>
      <c r="RZ633" s="45"/>
      <c r="SA633" s="45"/>
      <c r="SB633" s="45"/>
      <c r="SC633" s="45"/>
      <c r="SD633" s="45"/>
      <c r="SE633" s="45"/>
      <c r="SF633" s="45"/>
      <c r="SG633" s="45"/>
      <c r="SH633" s="45"/>
      <c r="SI633" s="45"/>
      <c r="SJ633" s="45"/>
      <c r="SK633" s="45"/>
      <c r="SL633" s="45"/>
      <c r="SM633" s="45"/>
      <c r="SN633" s="45"/>
      <c r="SO633" s="45"/>
      <c r="SP633" s="45"/>
      <c r="SQ633" s="45"/>
      <c r="SR633" s="45"/>
      <c r="SS633" s="45"/>
      <c r="ST633" s="45"/>
      <c r="SU633" s="45"/>
      <c r="SV633" s="45"/>
      <c r="SW633" s="45"/>
      <c r="SX633" s="45"/>
      <c r="SY633" s="45"/>
      <c r="SZ633" s="45"/>
      <c r="TA633" s="45"/>
      <c r="TB633" s="45"/>
      <c r="TC633" s="45"/>
    </row>
    <row r="634" spans="1:523" s="188" customFormat="1">
      <c r="A634" s="45">
        <v>145</v>
      </c>
      <c r="B634" s="319" t="s">
        <v>521</v>
      </c>
      <c r="C634"/>
      <c r="D634"/>
      <c r="E634"/>
      <c r="F634"/>
      <c r="G634"/>
      <c r="H634"/>
      <c r="I634"/>
      <c r="J634"/>
      <c r="K634"/>
      <c r="L634"/>
      <c r="M634"/>
      <c r="N634"/>
      <c r="O634"/>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c r="AS634" s="45"/>
      <c r="AT634" s="45"/>
      <c r="AU634" s="45"/>
      <c r="AV634" s="45"/>
      <c r="AW634" s="45"/>
      <c r="AX634" s="45"/>
      <c r="AY634" s="45"/>
      <c r="AZ634" s="45"/>
      <c r="BA634" s="45"/>
      <c r="BB634" s="45"/>
      <c r="BC634" s="45"/>
      <c r="BD634" s="45"/>
      <c r="BE634" s="45"/>
      <c r="BF634" s="45"/>
      <c r="BG634" s="45"/>
      <c r="BH634" s="45"/>
      <c r="BI634" s="45"/>
      <c r="BJ634" s="45"/>
      <c r="BK634" s="45"/>
      <c r="BL634" s="45"/>
      <c r="BM634" s="45"/>
      <c r="BN634" s="45"/>
      <c r="BO634" s="45"/>
      <c r="BP634" s="45"/>
      <c r="BQ634" s="45"/>
      <c r="BR634" s="45"/>
      <c r="BS634" s="45"/>
      <c r="BT634" s="45"/>
      <c r="BU634" s="45"/>
      <c r="BV634" s="45"/>
      <c r="BW634" s="45"/>
      <c r="BX634" s="45"/>
      <c r="BY634" s="45"/>
      <c r="BZ634" s="45"/>
      <c r="CA634" s="45"/>
      <c r="CB634" s="45"/>
      <c r="CC634" s="45"/>
      <c r="CD634" s="45"/>
      <c r="CE634" s="45"/>
      <c r="CF634" s="45"/>
      <c r="CG634" s="45"/>
      <c r="CH634" s="45"/>
      <c r="CI634" s="45"/>
      <c r="CJ634" s="45"/>
      <c r="CK634" s="45"/>
      <c r="CL634" s="45"/>
      <c r="CM634" s="45"/>
      <c r="CN634" s="45"/>
      <c r="CO634" s="45"/>
      <c r="CP634" s="45"/>
      <c r="CQ634" s="45"/>
      <c r="CR634" s="45"/>
      <c r="CS634" s="45"/>
      <c r="CT634" s="45"/>
      <c r="CU634" s="45"/>
      <c r="CV634" s="45"/>
      <c r="CW634" s="45"/>
      <c r="CX634" s="45"/>
      <c r="CY634" s="45"/>
      <c r="CZ634" s="45"/>
      <c r="DA634" s="45"/>
      <c r="DB634" s="45"/>
      <c r="DC634" s="45"/>
      <c r="DD634" s="45"/>
      <c r="DE634" s="45"/>
      <c r="DF634" s="45"/>
      <c r="DG634" s="45"/>
      <c r="DH634" s="45"/>
      <c r="DI634" s="45"/>
      <c r="DJ634" s="45"/>
      <c r="DK634" s="45"/>
      <c r="DL634" s="45"/>
      <c r="DM634" s="45"/>
      <c r="DN634" s="45"/>
      <c r="DO634" s="45"/>
      <c r="DP634" s="45"/>
      <c r="DQ634" s="45"/>
      <c r="DR634" s="45"/>
      <c r="DS634" s="45"/>
      <c r="DT634" s="45"/>
      <c r="DU634" s="45"/>
      <c r="DV634" s="45"/>
      <c r="DW634" s="45"/>
      <c r="DX634" s="45"/>
      <c r="DY634" s="45"/>
      <c r="DZ634" s="45"/>
      <c r="EA634" s="45"/>
      <c r="EB634" s="45"/>
      <c r="EC634" s="45"/>
      <c r="ED634" s="45"/>
      <c r="EE634" s="45"/>
      <c r="EF634" s="45"/>
      <c r="EG634" s="45"/>
      <c r="EH634" s="45"/>
      <c r="EI634" s="45"/>
      <c r="EJ634" s="45"/>
      <c r="EK634" s="45"/>
      <c r="EL634" s="45"/>
      <c r="EM634" s="45"/>
      <c r="EN634" s="45"/>
      <c r="EO634" s="45"/>
      <c r="EP634" s="45"/>
      <c r="EQ634" s="45"/>
      <c r="ER634" s="45"/>
      <c r="ES634" s="45"/>
      <c r="ET634" s="45"/>
      <c r="EU634" s="45"/>
      <c r="EV634" s="45"/>
      <c r="EW634" s="45"/>
      <c r="EX634" s="45"/>
      <c r="EY634" s="45"/>
      <c r="EZ634" s="45"/>
      <c r="FA634" s="45"/>
      <c r="FB634" s="45"/>
      <c r="FC634" s="45"/>
      <c r="FD634" s="45"/>
      <c r="FE634" s="45"/>
      <c r="FF634" s="45"/>
      <c r="FG634" s="45"/>
      <c r="FH634" s="45"/>
      <c r="FI634" s="45"/>
      <c r="FJ634" s="45"/>
      <c r="FK634" s="45"/>
      <c r="FL634" s="45"/>
      <c r="FM634" s="45"/>
      <c r="FN634" s="45"/>
      <c r="FO634" s="45"/>
      <c r="FP634" s="45"/>
      <c r="FQ634" s="45"/>
      <c r="FR634" s="45"/>
      <c r="FS634" s="45"/>
      <c r="FT634" s="45"/>
      <c r="FU634" s="45"/>
      <c r="FV634" s="45"/>
      <c r="FW634" s="45"/>
      <c r="FX634" s="45"/>
      <c r="FY634" s="45"/>
      <c r="FZ634" s="45"/>
      <c r="GA634" s="45"/>
      <c r="GB634" s="45"/>
      <c r="GC634" s="45"/>
      <c r="GD634" s="45"/>
      <c r="GE634" s="45"/>
      <c r="GF634" s="45"/>
      <c r="GG634" s="45"/>
      <c r="GH634" s="45"/>
      <c r="GI634" s="45"/>
      <c r="GJ634" s="45"/>
      <c r="GK634" s="45"/>
      <c r="GL634" s="45"/>
      <c r="GM634" s="45"/>
      <c r="GN634" s="45"/>
      <c r="GO634" s="45"/>
      <c r="GP634" s="45"/>
      <c r="GQ634" s="45"/>
      <c r="GR634" s="45"/>
      <c r="GS634" s="45"/>
      <c r="GT634" s="45"/>
      <c r="GU634" s="45"/>
      <c r="GV634" s="45"/>
      <c r="GW634" s="45"/>
      <c r="GX634" s="45"/>
      <c r="GY634" s="45"/>
      <c r="GZ634" s="45"/>
      <c r="HA634" s="45"/>
      <c r="HB634" s="45"/>
      <c r="HC634" s="45"/>
      <c r="HD634" s="45"/>
      <c r="HE634" s="45"/>
      <c r="HF634" s="45"/>
      <c r="HG634" s="45"/>
      <c r="HH634" s="45"/>
      <c r="HI634" s="45"/>
      <c r="HJ634" s="45"/>
      <c r="HK634" s="45"/>
      <c r="HL634" s="45"/>
      <c r="HM634" s="45"/>
      <c r="HN634" s="45"/>
      <c r="HO634" s="45"/>
      <c r="HP634" s="45"/>
      <c r="HQ634" s="45"/>
      <c r="HR634" s="45"/>
      <c r="HS634" s="45"/>
      <c r="HT634" s="45"/>
      <c r="HU634" s="45"/>
      <c r="HV634" s="45"/>
      <c r="HW634" s="45"/>
      <c r="HX634" s="45"/>
      <c r="HY634" s="45"/>
      <c r="HZ634" s="45"/>
      <c r="IA634" s="45"/>
      <c r="IB634" s="45"/>
      <c r="IC634" s="45"/>
      <c r="ID634" s="45"/>
      <c r="IE634" s="45"/>
      <c r="IF634" s="45"/>
      <c r="IG634" s="45"/>
      <c r="IH634" s="45"/>
      <c r="II634" s="45"/>
      <c r="IJ634" s="45"/>
      <c r="IK634" s="45"/>
      <c r="IL634" s="45"/>
      <c r="IM634" s="45"/>
      <c r="IN634" s="45"/>
      <c r="IO634" s="45"/>
      <c r="IP634" s="45"/>
      <c r="IQ634" s="45"/>
      <c r="IR634" s="45"/>
      <c r="IS634" s="45"/>
      <c r="IT634" s="45"/>
      <c r="IU634" s="45"/>
      <c r="IV634" s="45"/>
      <c r="IW634" s="45"/>
      <c r="IX634" s="45"/>
      <c r="IY634" s="45"/>
      <c r="IZ634" s="45"/>
      <c r="JA634" s="45"/>
      <c r="JB634" s="45"/>
      <c r="JC634" s="45"/>
      <c r="JD634" s="45"/>
      <c r="JE634" s="45"/>
      <c r="JF634" s="45"/>
      <c r="JG634" s="45"/>
      <c r="JH634" s="45"/>
      <c r="JI634" s="45"/>
      <c r="JJ634" s="45"/>
      <c r="JK634" s="45"/>
      <c r="JL634" s="45"/>
      <c r="JM634" s="45"/>
      <c r="JN634" s="45"/>
      <c r="JO634" s="45"/>
      <c r="JP634" s="45"/>
      <c r="JQ634" s="45"/>
      <c r="JR634" s="45"/>
      <c r="JS634" s="45"/>
      <c r="JT634" s="45"/>
      <c r="JU634" s="45"/>
      <c r="JV634" s="45"/>
      <c r="JW634" s="45"/>
      <c r="JX634" s="45"/>
      <c r="JY634" s="45"/>
      <c r="JZ634" s="45"/>
      <c r="KA634" s="45"/>
      <c r="KB634" s="45"/>
      <c r="KC634" s="45"/>
      <c r="KD634" s="45"/>
      <c r="KE634" s="45"/>
      <c r="KF634" s="45"/>
      <c r="KG634" s="45"/>
      <c r="KH634" s="45"/>
      <c r="KI634" s="45"/>
      <c r="KJ634" s="45"/>
      <c r="KK634" s="45"/>
      <c r="KL634" s="45"/>
      <c r="KM634" s="45"/>
      <c r="KN634" s="45"/>
      <c r="KO634" s="45"/>
      <c r="KP634" s="45"/>
      <c r="KQ634" s="45"/>
      <c r="KR634" s="45"/>
      <c r="KS634" s="45"/>
      <c r="KT634" s="45"/>
      <c r="KU634" s="45"/>
      <c r="KV634" s="45"/>
      <c r="KW634" s="45"/>
      <c r="KX634" s="45"/>
      <c r="KY634" s="45"/>
      <c r="KZ634" s="45"/>
      <c r="LA634" s="45"/>
      <c r="LB634" s="45"/>
      <c r="LC634" s="45"/>
      <c r="LD634" s="45"/>
      <c r="LE634" s="45"/>
      <c r="LF634" s="45"/>
      <c r="LG634" s="45"/>
      <c r="LH634" s="45"/>
      <c r="LI634" s="45"/>
      <c r="LJ634" s="45"/>
      <c r="LK634" s="45"/>
      <c r="LL634" s="45"/>
      <c r="LM634" s="45"/>
      <c r="LN634" s="45"/>
      <c r="LO634" s="45"/>
      <c r="LP634" s="45"/>
      <c r="LQ634" s="45"/>
      <c r="LR634" s="45"/>
      <c r="LS634" s="45"/>
      <c r="LT634" s="45"/>
      <c r="LU634" s="45"/>
      <c r="LV634" s="45"/>
      <c r="LW634" s="45"/>
      <c r="LX634" s="45"/>
      <c r="LY634" s="45"/>
      <c r="LZ634" s="45"/>
      <c r="MA634" s="45"/>
      <c r="MB634" s="45"/>
      <c r="MC634" s="45"/>
      <c r="MD634" s="45"/>
      <c r="ME634" s="45"/>
      <c r="MF634" s="45"/>
      <c r="MG634" s="45"/>
      <c r="MH634" s="45"/>
      <c r="MI634" s="45"/>
      <c r="MJ634" s="45"/>
      <c r="MK634" s="45"/>
      <c r="ML634" s="45"/>
      <c r="MM634" s="45"/>
      <c r="MN634" s="45"/>
      <c r="MO634" s="45"/>
      <c r="MP634" s="45"/>
      <c r="MQ634" s="45"/>
      <c r="MR634" s="45"/>
      <c r="MS634" s="45"/>
      <c r="MT634" s="45"/>
      <c r="MU634" s="45"/>
      <c r="MV634" s="45"/>
      <c r="MW634" s="45"/>
      <c r="MX634" s="45"/>
      <c r="MY634" s="45"/>
      <c r="MZ634" s="45"/>
      <c r="NA634" s="45"/>
      <c r="NB634" s="45"/>
      <c r="NC634" s="45"/>
      <c r="ND634" s="45"/>
      <c r="NE634" s="45"/>
      <c r="NF634" s="45"/>
      <c r="NG634" s="45"/>
      <c r="NH634" s="45"/>
      <c r="NI634" s="45"/>
      <c r="NJ634" s="45"/>
      <c r="NK634" s="45"/>
      <c r="NL634" s="45"/>
      <c r="NM634" s="45"/>
      <c r="NN634" s="45"/>
      <c r="NO634" s="45"/>
      <c r="NP634" s="45"/>
      <c r="NQ634" s="45"/>
      <c r="NR634" s="45"/>
      <c r="NS634" s="45"/>
      <c r="NT634" s="45"/>
      <c r="NU634" s="45"/>
      <c r="NV634" s="45"/>
      <c r="NW634" s="45"/>
      <c r="NX634" s="45"/>
      <c r="NY634" s="45"/>
      <c r="NZ634" s="45"/>
      <c r="OA634" s="45"/>
      <c r="OB634" s="45"/>
      <c r="OC634" s="45"/>
      <c r="OD634" s="45"/>
      <c r="OE634" s="45"/>
      <c r="OF634" s="45"/>
      <c r="OG634" s="45"/>
      <c r="OH634" s="45"/>
      <c r="OI634" s="45"/>
      <c r="OJ634" s="45"/>
      <c r="OK634" s="45"/>
      <c r="OL634" s="45"/>
      <c r="OM634" s="45"/>
      <c r="ON634" s="45"/>
      <c r="OO634" s="45"/>
      <c r="OP634" s="45"/>
      <c r="OQ634" s="45"/>
      <c r="OR634" s="45"/>
      <c r="OS634" s="45"/>
      <c r="OT634" s="45"/>
      <c r="OU634" s="45"/>
      <c r="OV634" s="45"/>
      <c r="OW634" s="45"/>
      <c r="OX634" s="45"/>
      <c r="OY634" s="45"/>
      <c r="OZ634" s="45"/>
      <c r="PA634" s="45"/>
      <c r="PB634" s="45"/>
      <c r="PC634" s="45"/>
      <c r="PD634" s="45"/>
      <c r="PE634" s="45"/>
      <c r="PF634" s="45"/>
      <c r="PG634" s="45"/>
      <c r="PH634" s="45"/>
      <c r="PI634" s="45"/>
      <c r="PJ634" s="45"/>
      <c r="PK634" s="45"/>
      <c r="PL634" s="45"/>
      <c r="PM634" s="45"/>
      <c r="PN634" s="45"/>
      <c r="PO634" s="45"/>
      <c r="PP634" s="45"/>
      <c r="PQ634" s="45"/>
      <c r="PR634" s="45"/>
      <c r="PS634" s="45"/>
      <c r="PT634" s="45"/>
      <c r="PU634" s="45"/>
      <c r="PV634" s="45"/>
      <c r="PW634" s="45"/>
      <c r="PX634" s="45"/>
      <c r="PY634" s="45"/>
      <c r="PZ634" s="45"/>
      <c r="QA634" s="45"/>
      <c r="QB634" s="45"/>
      <c r="QC634" s="45"/>
      <c r="QD634" s="45"/>
      <c r="QE634" s="45"/>
      <c r="QF634" s="45"/>
      <c r="QG634" s="45"/>
      <c r="QH634" s="45"/>
      <c r="QI634" s="45"/>
      <c r="QJ634" s="45"/>
      <c r="QK634" s="45"/>
      <c r="QL634" s="45"/>
      <c r="QM634" s="45"/>
      <c r="QN634" s="45"/>
      <c r="QO634" s="45"/>
      <c r="QP634" s="45"/>
      <c r="QQ634" s="45"/>
      <c r="QR634" s="45"/>
      <c r="QS634" s="45"/>
      <c r="QT634" s="45"/>
      <c r="QU634" s="45"/>
      <c r="QV634" s="45"/>
      <c r="QW634" s="45"/>
      <c r="QX634" s="45"/>
      <c r="QY634" s="45"/>
      <c r="QZ634" s="45"/>
      <c r="RA634" s="45"/>
      <c r="RB634" s="45"/>
      <c r="RC634" s="45"/>
      <c r="RD634" s="45"/>
      <c r="RE634" s="45"/>
      <c r="RF634" s="45"/>
      <c r="RG634" s="45"/>
      <c r="RH634" s="45"/>
      <c r="RI634" s="45"/>
      <c r="RJ634" s="45"/>
      <c r="RK634" s="45"/>
      <c r="RL634" s="45"/>
      <c r="RM634" s="45"/>
      <c r="RN634" s="45"/>
      <c r="RO634" s="45"/>
      <c r="RP634" s="45"/>
      <c r="RQ634" s="45"/>
      <c r="RR634" s="45"/>
      <c r="RS634" s="45"/>
      <c r="RT634" s="45"/>
      <c r="RU634" s="45"/>
      <c r="RV634" s="45"/>
      <c r="RW634" s="45"/>
      <c r="RX634" s="45"/>
      <c r="RY634" s="45"/>
      <c r="RZ634" s="45"/>
      <c r="SA634" s="45"/>
      <c r="SB634" s="45"/>
      <c r="SC634" s="45"/>
      <c r="SD634" s="45"/>
      <c r="SE634" s="45"/>
      <c r="SF634" s="45"/>
      <c r="SG634" s="45"/>
      <c r="SH634" s="45"/>
      <c r="SI634" s="45"/>
      <c r="SJ634" s="45"/>
      <c r="SK634" s="45"/>
      <c r="SL634" s="45"/>
      <c r="SM634" s="45"/>
      <c r="SN634" s="45"/>
      <c r="SO634" s="45"/>
      <c r="SP634" s="45"/>
      <c r="SQ634" s="45"/>
      <c r="SR634" s="45"/>
      <c r="SS634" s="45"/>
      <c r="ST634" s="45"/>
      <c r="SU634" s="45"/>
      <c r="SV634" s="45"/>
      <c r="SW634" s="45"/>
      <c r="SX634" s="45"/>
      <c r="SY634" s="45"/>
      <c r="SZ634" s="45"/>
      <c r="TA634" s="45"/>
      <c r="TB634" s="45"/>
      <c r="TC634" s="45"/>
    </row>
    <row r="635" spans="1:523" s="188" customFormat="1">
      <c r="A635" s="45">
        <v>146</v>
      </c>
      <c r="B635" s="319" t="s">
        <v>519</v>
      </c>
      <c r="C635"/>
      <c r="D635"/>
      <c r="E635"/>
      <c r="F635"/>
      <c r="G635"/>
      <c r="H635"/>
      <c r="I635"/>
      <c r="J635"/>
      <c r="K635"/>
      <c r="L635"/>
      <c r="M635"/>
      <c r="N635"/>
      <c r="O63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c r="AS635" s="45"/>
      <c r="AT635" s="45"/>
      <c r="AU635" s="45"/>
      <c r="AV635" s="45"/>
      <c r="AW635" s="45"/>
      <c r="AX635" s="45"/>
      <c r="AY635" s="45"/>
      <c r="AZ635" s="45"/>
      <c r="BA635" s="45"/>
      <c r="BB635" s="45"/>
      <c r="BC635" s="45"/>
      <c r="BD635" s="45"/>
      <c r="BE635" s="45"/>
      <c r="BF635" s="45"/>
      <c r="BG635" s="45"/>
      <c r="BH635" s="45"/>
      <c r="BI635" s="45"/>
      <c r="BJ635" s="45"/>
      <c r="BK635" s="45"/>
      <c r="BL635" s="45"/>
      <c r="BM635" s="45"/>
      <c r="BN635" s="45"/>
      <c r="BO635" s="45"/>
      <c r="BP635" s="45"/>
      <c r="BQ635" s="45"/>
      <c r="BR635" s="45"/>
      <c r="BS635" s="45"/>
      <c r="BT635" s="45"/>
      <c r="BU635" s="45"/>
      <c r="BV635" s="45"/>
      <c r="BW635" s="45"/>
      <c r="BX635" s="45"/>
      <c r="BY635" s="45"/>
      <c r="BZ635" s="45"/>
      <c r="CA635" s="45"/>
      <c r="CB635" s="45"/>
      <c r="CC635" s="45"/>
      <c r="CD635" s="45"/>
      <c r="CE635" s="45"/>
      <c r="CF635" s="45"/>
      <c r="CG635" s="45"/>
      <c r="CH635" s="45"/>
      <c r="CI635" s="45"/>
      <c r="CJ635" s="45"/>
      <c r="CK635" s="45"/>
      <c r="CL635" s="45"/>
      <c r="CM635" s="45"/>
      <c r="CN635" s="45"/>
      <c r="CO635" s="45"/>
      <c r="CP635" s="45"/>
      <c r="CQ635" s="45"/>
      <c r="CR635" s="45"/>
      <c r="CS635" s="45"/>
      <c r="CT635" s="45"/>
      <c r="CU635" s="45"/>
      <c r="CV635" s="45"/>
      <c r="CW635" s="45"/>
      <c r="CX635" s="45"/>
      <c r="CY635" s="45"/>
      <c r="CZ635" s="45"/>
      <c r="DA635" s="45"/>
      <c r="DB635" s="45"/>
      <c r="DC635" s="45"/>
      <c r="DD635" s="45"/>
      <c r="DE635" s="45"/>
      <c r="DF635" s="45"/>
      <c r="DG635" s="45"/>
      <c r="DH635" s="45"/>
      <c r="DI635" s="45"/>
      <c r="DJ635" s="45"/>
      <c r="DK635" s="45"/>
      <c r="DL635" s="45"/>
      <c r="DM635" s="45"/>
      <c r="DN635" s="45"/>
      <c r="DO635" s="45"/>
      <c r="DP635" s="45"/>
      <c r="DQ635" s="45"/>
      <c r="DR635" s="45"/>
      <c r="DS635" s="45"/>
      <c r="DT635" s="45"/>
      <c r="DU635" s="45"/>
      <c r="DV635" s="45"/>
      <c r="DW635" s="45"/>
      <c r="DX635" s="45"/>
      <c r="DY635" s="45"/>
      <c r="DZ635" s="45"/>
      <c r="EA635" s="45"/>
      <c r="EB635" s="45"/>
      <c r="EC635" s="45"/>
      <c r="ED635" s="45"/>
      <c r="EE635" s="45"/>
      <c r="EF635" s="45"/>
      <c r="EG635" s="45"/>
      <c r="EH635" s="45"/>
      <c r="EI635" s="45"/>
      <c r="EJ635" s="45"/>
      <c r="EK635" s="45"/>
      <c r="EL635" s="45"/>
      <c r="EM635" s="45"/>
      <c r="EN635" s="45"/>
      <c r="EO635" s="45"/>
      <c r="EP635" s="45"/>
      <c r="EQ635" s="45"/>
      <c r="ER635" s="45"/>
      <c r="ES635" s="45"/>
      <c r="ET635" s="45"/>
      <c r="EU635" s="45"/>
      <c r="EV635" s="45"/>
      <c r="EW635" s="45"/>
      <c r="EX635" s="45"/>
      <c r="EY635" s="45"/>
      <c r="EZ635" s="45"/>
      <c r="FA635" s="45"/>
      <c r="FB635" s="45"/>
      <c r="FC635" s="45"/>
      <c r="FD635" s="45"/>
      <c r="FE635" s="45"/>
      <c r="FF635" s="45"/>
      <c r="FG635" s="45"/>
      <c r="FH635" s="45"/>
      <c r="FI635" s="45"/>
      <c r="FJ635" s="45"/>
      <c r="FK635" s="45"/>
      <c r="FL635" s="45"/>
      <c r="FM635" s="45"/>
      <c r="FN635" s="45"/>
      <c r="FO635" s="45"/>
      <c r="FP635" s="45"/>
      <c r="FQ635" s="45"/>
      <c r="FR635" s="45"/>
      <c r="FS635" s="45"/>
      <c r="FT635" s="45"/>
      <c r="FU635" s="45"/>
      <c r="FV635" s="45"/>
      <c r="FW635" s="45"/>
      <c r="FX635" s="45"/>
      <c r="FY635" s="45"/>
      <c r="FZ635" s="45"/>
      <c r="GA635" s="45"/>
      <c r="GB635" s="45"/>
      <c r="GC635" s="45"/>
      <c r="GD635" s="45"/>
      <c r="GE635" s="45"/>
      <c r="GF635" s="45"/>
      <c r="GG635" s="45"/>
      <c r="GH635" s="45"/>
      <c r="GI635" s="45"/>
      <c r="GJ635" s="45"/>
      <c r="GK635" s="45"/>
      <c r="GL635" s="45"/>
      <c r="GM635" s="45"/>
      <c r="GN635" s="45"/>
      <c r="GO635" s="45"/>
      <c r="GP635" s="45"/>
      <c r="GQ635" s="45"/>
      <c r="GR635" s="45"/>
      <c r="GS635" s="45"/>
      <c r="GT635" s="45"/>
      <c r="GU635" s="45"/>
      <c r="GV635" s="45"/>
      <c r="GW635" s="45"/>
      <c r="GX635" s="45"/>
      <c r="GY635" s="45"/>
      <c r="GZ635" s="45"/>
      <c r="HA635" s="45"/>
      <c r="HB635" s="45"/>
      <c r="HC635" s="45"/>
      <c r="HD635" s="45"/>
      <c r="HE635" s="45"/>
      <c r="HF635" s="45"/>
      <c r="HG635" s="45"/>
      <c r="HH635" s="45"/>
      <c r="HI635" s="45"/>
      <c r="HJ635" s="45"/>
      <c r="HK635" s="45"/>
      <c r="HL635" s="45"/>
      <c r="HM635" s="45"/>
      <c r="HN635" s="45"/>
      <c r="HO635" s="45"/>
      <c r="HP635" s="45"/>
      <c r="HQ635" s="45"/>
      <c r="HR635" s="45"/>
      <c r="HS635" s="45"/>
      <c r="HT635" s="45"/>
      <c r="HU635" s="45"/>
      <c r="HV635" s="45"/>
      <c r="HW635" s="45"/>
      <c r="HX635" s="45"/>
      <c r="HY635" s="45"/>
      <c r="HZ635" s="45"/>
      <c r="IA635" s="45"/>
      <c r="IB635" s="45"/>
      <c r="IC635" s="45"/>
      <c r="ID635" s="45"/>
      <c r="IE635" s="45"/>
      <c r="IF635" s="45"/>
      <c r="IG635" s="45"/>
      <c r="IH635" s="45"/>
      <c r="II635" s="45"/>
      <c r="IJ635" s="45"/>
      <c r="IK635" s="45"/>
      <c r="IL635" s="45"/>
      <c r="IM635" s="45"/>
      <c r="IN635" s="45"/>
      <c r="IO635" s="45"/>
      <c r="IP635" s="45"/>
      <c r="IQ635" s="45"/>
      <c r="IR635" s="45"/>
      <c r="IS635" s="45"/>
      <c r="IT635" s="45"/>
      <c r="IU635" s="45"/>
      <c r="IV635" s="45"/>
      <c r="IW635" s="45"/>
      <c r="IX635" s="45"/>
      <c r="IY635" s="45"/>
      <c r="IZ635" s="45"/>
      <c r="JA635" s="45"/>
      <c r="JB635" s="45"/>
      <c r="JC635" s="45"/>
      <c r="JD635" s="45"/>
      <c r="JE635" s="45"/>
      <c r="JF635" s="45"/>
      <c r="JG635" s="45"/>
      <c r="JH635" s="45"/>
      <c r="JI635" s="45"/>
      <c r="JJ635" s="45"/>
      <c r="JK635" s="45"/>
      <c r="JL635" s="45"/>
      <c r="JM635" s="45"/>
      <c r="JN635" s="45"/>
      <c r="JO635" s="45"/>
      <c r="JP635" s="45"/>
      <c r="JQ635" s="45"/>
      <c r="JR635" s="45"/>
      <c r="JS635" s="45"/>
      <c r="JT635" s="45"/>
      <c r="JU635" s="45"/>
      <c r="JV635" s="45"/>
      <c r="JW635" s="45"/>
      <c r="JX635" s="45"/>
      <c r="JY635" s="45"/>
      <c r="JZ635" s="45"/>
      <c r="KA635" s="45"/>
      <c r="KB635" s="45"/>
      <c r="KC635" s="45"/>
      <c r="KD635" s="45"/>
      <c r="KE635" s="45"/>
      <c r="KF635" s="45"/>
      <c r="KG635" s="45"/>
      <c r="KH635" s="45"/>
      <c r="KI635" s="45"/>
      <c r="KJ635" s="45"/>
      <c r="KK635" s="45"/>
      <c r="KL635" s="45"/>
      <c r="KM635" s="45"/>
      <c r="KN635" s="45"/>
      <c r="KO635" s="45"/>
      <c r="KP635" s="45"/>
      <c r="KQ635" s="45"/>
      <c r="KR635" s="45"/>
      <c r="KS635" s="45"/>
      <c r="KT635" s="45"/>
      <c r="KU635" s="45"/>
      <c r="KV635" s="45"/>
      <c r="KW635" s="45"/>
      <c r="KX635" s="45"/>
      <c r="KY635" s="45"/>
      <c r="KZ635" s="45"/>
      <c r="LA635" s="45"/>
      <c r="LB635" s="45"/>
      <c r="LC635" s="45"/>
      <c r="LD635" s="45"/>
      <c r="LE635" s="45"/>
      <c r="LF635" s="45"/>
      <c r="LG635" s="45"/>
      <c r="LH635" s="45"/>
      <c r="LI635" s="45"/>
      <c r="LJ635" s="45"/>
      <c r="LK635" s="45"/>
      <c r="LL635" s="45"/>
      <c r="LM635" s="45"/>
      <c r="LN635" s="45"/>
      <c r="LO635" s="45"/>
      <c r="LP635" s="45"/>
      <c r="LQ635" s="45"/>
      <c r="LR635" s="45"/>
      <c r="LS635" s="45"/>
      <c r="LT635" s="45"/>
      <c r="LU635" s="45"/>
      <c r="LV635" s="45"/>
      <c r="LW635" s="45"/>
      <c r="LX635" s="45"/>
      <c r="LY635" s="45"/>
      <c r="LZ635" s="45"/>
      <c r="MA635" s="45"/>
      <c r="MB635" s="45"/>
      <c r="MC635" s="45"/>
      <c r="MD635" s="45"/>
      <c r="ME635" s="45"/>
      <c r="MF635" s="45"/>
      <c r="MG635" s="45"/>
      <c r="MH635" s="45"/>
      <c r="MI635" s="45"/>
      <c r="MJ635" s="45"/>
      <c r="MK635" s="45"/>
      <c r="ML635" s="45"/>
      <c r="MM635" s="45"/>
      <c r="MN635" s="45"/>
      <c r="MO635" s="45"/>
      <c r="MP635" s="45"/>
      <c r="MQ635" s="45"/>
      <c r="MR635" s="45"/>
      <c r="MS635" s="45"/>
      <c r="MT635" s="45"/>
      <c r="MU635" s="45"/>
      <c r="MV635" s="45"/>
      <c r="MW635" s="45"/>
      <c r="MX635" s="45"/>
      <c r="MY635" s="45"/>
      <c r="MZ635" s="45"/>
      <c r="NA635" s="45"/>
      <c r="NB635" s="45"/>
      <c r="NC635" s="45"/>
      <c r="ND635" s="45"/>
      <c r="NE635" s="45"/>
      <c r="NF635" s="45"/>
      <c r="NG635" s="45"/>
      <c r="NH635" s="45"/>
      <c r="NI635" s="45"/>
      <c r="NJ635" s="45"/>
      <c r="NK635" s="45"/>
      <c r="NL635" s="45"/>
      <c r="NM635" s="45"/>
      <c r="NN635" s="45"/>
      <c r="NO635" s="45"/>
      <c r="NP635" s="45"/>
      <c r="NQ635" s="45"/>
      <c r="NR635" s="45"/>
      <c r="NS635" s="45"/>
      <c r="NT635" s="45"/>
      <c r="NU635" s="45"/>
      <c r="NV635" s="45"/>
      <c r="NW635" s="45"/>
      <c r="NX635" s="45"/>
      <c r="NY635" s="45"/>
      <c r="NZ635" s="45"/>
      <c r="OA635" s="45"/>
      <c r="OB635" s="45"/>
      <c r="OC635" s="45"/>
      <c r="OD635" s="45"/>
      <c r="OE635" s="45"/>
      <c r="OF635" s="45"/>
      <c r="OG635" s="45"/>
      <c r="OH635" s="45"/>
      <c r="OI635" s="45"/>
      <c r="OJ635" s="45"/>
      <c r="OK635" s="45"/>
      <c r="OL635" s="45"/>
      <c r="OM635" s="45"/>
      <c r="ON635" s="45"/>
      <c r="OO635" s="45"/>
      <c r="OP635" s="45"/>
      <c r="OQ635" s="45"/>
      <c r="OR635" s="45"/>
      <c r="OS635" s="45"/>
      <c r="OT635" s="45"/>
      <c r="OU635" s="45"/>
      <c r="OV635" s="45"/>
      <c r="OW635" s="45"/>
      <c r="OX635" s="45"/>
      <c r="OY635" s="45"/>
      <c r="OZ635" s="45"/>
      <c r="PA635" s="45"/>
      <c r="PB635" s="45"/>
      <c r="PC635" s="45"/>
      <c r="PD635" s="45"/>
      <c r="PE635" s="45"/>
      <c r="PF635" s="45"/>
      <c r="PG635" s="45"/>
      <c r="PH635" s="45"/>
      <c r="PI635" s="45"/>
      <c r="PJ635" s="45"/>
      <c r="PK635" s="45"/>
      <c r="PL635" s="45"/>
      <c r="PM635" s="45"/>
      <c r="PN635" s="45"/>
      <c r="PO635" s="45"/>
      <c r="PP635" s="45"/>
      <c r="PQ635" s="45"/>
      <c r="PR635" s="45"/>
      <c r="PS635" s="45"/>
      <c r="PT635" s="45"/>
      <c r="PU635" s="45"/>
      <c r="PV635" s="45"/>
      <c r="PW635" s="45"/>
      <c r="PX635" s="45"/>
      <c r="PY635" s="45"/>
      <c r="PZ635" s="45"/>
      <c r="QA635" s="45"/>
      <c r="QB635" s="45"/>
      <c r="QC635" s="45"/>
      <c r="QD635" s="45"/>
      <c r="QE635" s="45"/>
      <c r="QF635" s="45"/>
      <c r="QG635" s="45"/>
      <c r="QH635" s="45"/>
      <c r="QI635" s="45"/>
      <c r="QJ635" s="45"/>
      <c r="QK635" s="45"/>
      <c r="QL635" s="45"/>
      <c r="QM635" s="45"/>
      <c r="QN635" s="45"/>
      <c r="QO635" s="45"/>
      <c r="QP635" s="45"/>
      <c r="QQ635" s="45"/>
      <c r="QR635" s="45"/>
      <c r="QS635" s="45"/>
      <c r="QT635" s="45"/>
      <c r="QU635" s="45"/>
      <c r="QV635" s="45"/>
      <c r="QW635" s="45"/>
      <c r="QX635" s="45"/>
      <c r="QY635" s="45"/>
      <c r="QZ635" s="45"/>
      <c r="RA635" s="45"/>
      <c r="RB635" s="45"/>
      <c r="RC635" s="45"/>
      <c r="RD635" s="45"/>
      <c r="RE635" s="45"/>
      <c r="RF635" s="45"/>
      <c r="RG635" s="45"/>
      <c r="RH635" s="45"/>
      <c r="RI635" s="45"/>
      <c r="RJ635" s="45"/>
      <c r="RK635" s="45"/>
      <c r="RL635" s="45"/>
      <c r="RM635" s="45"/>
      <c r="RN635" s="45"/>
      <c r="RO635" s="45"/>
      <c r="RP635" s="45"/>
      <c r="RQ635" s="45"/>
      <c r="RR635" s="45"/>
      <c r="RS635" s="45"/>
      <c r="RT635" s="45"/>
      <c r="RU635" s="45"/>
      <c r="RV635" s="45"/>
      <c r="RW635" s="45"/>
      <c r="RX635" s="45"/>
      <c r="RY635" s="45"/>
      <c r="RZ635" s="45"/>
      <c r="SA635" s="45"/>
      <c r="SB635" s="45"/>
      <c r="SC635" s="45"/>
      <c r="SD635" s="45"/>
      <c r="SE635" s="45"/>
      <c r="SF635" s="45"/>
      <c r="SG635" s="45"/>
      <c r="SH635" s="45"/>
      <c r="SI635" s="45"/>
      <c r="SJ635" s="45"/>
      <c r="SK635" s="45"/>
      <c r="SL635" s="45"/>
      <c r="SM635" s="45"/>
      <c r="SN635" s="45"/>
      <c r="SO635" s="45"/>
      <c r="SP635" s="45"/>
      <c r="SQ635" s="45"/>
      <c r="SR635" s="45"/>
      <c r="SS635" s="45"/>
      <c r="ST635" s="45"/>
      <c r="SU635" s="45"/>
      <c r="SV635" s="45"/>
      <c r="SW635" s="45"/>
      <c r="SX635" s="45"/>
      <c r="SY635" s="45"/>
      <c r="SZ635" s="45"/>
      <c r="TA635" s="45"/>
      <c r="TB635" s="45"/>
      <c r="TC635" s="45"/>
    </row>
    <row r="636" spans="1:523" s="188" customFormat="1">
      <c r="A636" s="72">
        <v>147</v>
      </c>
      <c r="B636" s="319" t="s">
        <v>685</v>
      </c>
      <c r="C636"/>
      <c r="D636"/>
      <c r="E636"/>
      <c r="F636"/>
      <c r="G636"/>
      <c r="H636"/>
      <c r="I636"/>
      <c r="J636"/>
      <c r="K636"/>
      <c r="L636"/>
      <c r="M636"/>
      <c r="N636"/>
      <c r="O636"/>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c r="AS636" s="45"/>
      <c r="AT636" s="45"/>
      <c r="AU636" s="45"/>
      <c r="AV636" s="45"/>
      <c r="AW636" s="45"/>
      <c r="AX636" s="45"/>
      <c r="AY636" s="45"/>
      <c r="AZ636" s="45"/>
      <c r="BA636" s="45"/>
      <c r="BB636" s="45"/>
      <c r="BC636" s="45"/>
      <c r="BD636" s="45"/>
      <c r="BE636" s="45"/>
      <c r="BF636" s="45"/>
      <c r="BG636" s="45"/>
      <c r="BH636" s="45"/>
      <c r="BI636" s="45"/>
      <c r="BJ636" s="45"/>
      <c r="BK636" s="45"/>
      <c r="BL636" s="45"/>
      <c r="BM636" s="45"/>
      <c r="BN636" s="45"/>
      <c r="BO636" s="45"/>
      <c r="BP636" s="45"/>
      <c r="BQ636" s="45"/>
      <c r="BR636" s="45"/>
      <c r="BS636" s="45"/>
      <c r="BT636" s="45"/>
      <c r="BU636" s="45"/>
      <c r="BV636" s="45"/>
      <c r="BW636" s="45"/>
      <c r="BX636" s="45"/>
      <c r="BY636" s="45"/>
      <c r="BZ636" s="45"/>
      <c r="CA636" s="45"/>
      <c r="CB636" s="45"/>
      <c r="CC636" s="45"/>
      <c r="CD636" s="45"/>
      <c r="CE636" s="45"/>
      <c r="CF636" s="45"/>
      <c r="CG636" s="45"/>
      <c r="CH636" s="45"/>
      <c r="CI636" s="45"/>
      <c r="CJ636" s="45"/>
      <c r="CK636" s="45"/>
      <c r="CL636" s="45"/>
      <c r="CM636" s="45"/>
      <c r="CN636" s="45"/>
      <c r="CO636" s="45"/>
      <c r="CP636" s="45"/>
      <c r="CQ636" s="45"/>
      <c r="CR636" s="45"/>
      <c r="CS636" s="45"/>
      <c r="CT636" s="45"/>
      <c r="CU636" s="45"/>
      <c r="CV636" s="45"/>
      <c r="CW636" s="45"/>
      <c r="CX636" s="45"/>
      <c r="CY636" s="45"/>
      <c r="CZ636" s="45"/>
      <c r="DA636" s="45"/>
      <c r="DB636" s="45"/>
      <c r="DC636" s="45"/>
      <c r="DD636" s="45"/>
      <c r="DE636" s="45"/>
      <c r="DF636" s="45"/>
      <c r="DG636" s="45"/>
      <c r="DH636" s="45"/>
      <c r="DI636" s="45"/>
      <c r="DJ636" s="45"/>
      <c r="DK636" s="45"/>
      <c r="DL636" s="45"/>
      <c r="DM636" s="45"/>
      <c r="DN636" s="45"/>
      <c r="DO636" s="45"/>
      <c r="DP636" s="45"/>
      <c r="DQ636" s="45"/>
      <c r="DR636" s="45"/>
      <c r="DS636" s="45"/>
      <c r="DT636" s="45"/>
      <c r="DU636" s="45"/>
      <c r="DV636" s="45"/>
      <c r="DW636" s="45"/>
      <c r="DX636" s="45"/>
      <c r="DY636" s="45"/>
      <c r="DZ636" s="45"/>
      <c r="EA636" s="45"/>
      <c r="EB636" s="45"/>
      <c r="EC636" s="45"/>
      <c r="ED636" s="45"/>
      <c r="EE636" s="45"/>
      <c r="EF636" s="45"/>
      <c r="EG636" s="45"/>
      <c r="EH636" s="45"/>
      <c r="EI636" s="45"/>
      <c r="EJ636" s="45"/>
      <c r="EK636" s="45"/>
      <c r="EL636" s="45"/>
      <c r="EM636" s="45"/>
      <c r="EN636" s="45"/>
      <c r="EO636" s="45"/>
      <c r="EP636" s="45"/>
      <c r="EQ636" s="45"/>
      <c r="ER636" s="45"/>
      <c r="ES636" s="45"/>
      <c r="ET636" s="45"/>
      <c r="EU636" s="45"/>
      <c r="EV636" s="45"/>
      <c r="EW636" s="45"/>
      <c r="EX636" s="45"/>
      <c r="EY636" s="45"/>
      <c r="EZ636" s="45"/>
      <c r="FA636" s="45"/>
      <c r="FB636" s="45"/>
      <c r="FC636" s="45"/>
      <c r="FD636" s="45"/>
      <c r="FE636" s="45"/>
      <c r="FF636" s="45"/>
      <c r="FG636" s="45"/>
      <c r="FH636" s="45"/>
      <c r="FI636" s="45"/>
      <c r="FJ636" s="45"/>
      <c r="FK636" s="45"/>
      <c r="FL636" s="45"/>
      <c r="FM636" s="45"/>
      <c r="FN636" s="45"/>
      <c r="FO636" s="45"/>
      <c r="FP636" s="45"/>
      <c r="FQ636" s="45"/>
      <c r="FR636" s="45"/>
      <c r="FS636" s="45"/>
      <c r="FT636" s="45"/>
      <c r="FU636" s="45"/>
      <c r="FV636" s="45"/>
      <c r="FW636" s="45"/>
      <c r="FX636" s="45"/>
      <c r="FY636" s="45"/>
      <c r="FZ636" s="45"/>
      <c r="GA636" s="45"/>
      <c r="GB636" s="45"/>
      <c r="GC636" s="45"/>
      <c r="GD636" s="45"/>
      <c r="GE636" s="45"/>
      <c r="GF636" s="45"/>
      <c r="GG636" s="45"/>
      <c r="GH636" s="45"/>
      <c r="GI636" s="45"/>
      <c r="GJ636" s="45"/>
      <c r="GK636" s="45"/>
      <c r="GL636" s="45"/>
      <c r="GM636" s="45"/>
      <c r="GN636" s="45"/>
      <c r="GO636" s="45"/>
      <c r="GP636" s="45"/>
      <c r="GQ636" s="45"/>
      <c r="GR636" s="45"/>
      <c r="GS636" s="45"/>
      <c r="GT636" s="45"/>
      <c r="GU636" s="45"/>
      <c r="GV636" s="45"/>
      <c r="GW636" s="45"/>
      <c r="GX636" s="45"/>
      <c r="GY636" s="45"/>
      <c r="GZ636" s="45"/>
      <c r="HA636" s="45"/>
      <c r="HB636" s="45"/>
      <c r="HC636" s="45"/>
      <c r="HD636" s="45"/>
      <c r="HE636" s="45"/>
      <c r="HF636" s="45"/>
      <c r="HG636" s="45"/>
      <c r="HH636" s="45"/>
      <c r="HI636" s="45"/>
      <c r="HJ636" s="45"/>
      <c r="HK636" s="45"/>
      <c r="HL636" s="45"/>
      <c r="HM636" s="45"/>
      <c r="HN636" s="45"/>
      <c r="HO636" s="45"/>
      <c r="HP636" s="45"/>
      <c r="HQ636" s="45"/>
      <c r="HR636" s="45"/>
      <c r="HS636" s="45"/>
      <c r="HT636" s="45"/>
      <c r="HU636" s="45"/>
      <c r="HV636" s="45"/>
      <c r="HW636" s="45"/>
      <c r="HX636" s="45"/>
      <c r="HY636" s="45"/>
      <c r="HZ636" s="45"/>
      <c r="IA636" s="45"/>
      <c r="IB636" s="45"/>
      <c r="IC636" s="45"/>
      <c r="ID636" s="45"/>
      <c r="IE636" s="45"/>
      <c r="IF636" s="45"/>
      <c r="IG636" s="45"/>
      <c r="IH636" s="45"/>
      <c r="II636" s="45"/>
      <c r="IJ636" s="45"/>
      <c r="IK636" s="45"/>
      <c r="IL636" s="45"/>
      <c r="IM636" s="45"/>
      <c r="IN636" s="45"/>
      <c r="IO636" s="45"/>
      <c r="IP636" s="45"/>
      <c r="IQ636" s="45"/>
      <c r="IR636" s="45"/>
      <c r="IS636" s="45"/>
      <c r="IT636" s="45"/>
      <c r="IU636" s="45"/>
      <c r="IV636" s="45"/>
      <c r="IW636" s="45"/>
      <c r="IX636" s="45"/>
      <c r="IY636" s="45"/>
      <c r="IZ636" s="45"/>
      <c r="JA636" s="45"/>
      <c r="JB636" s="45"/>
      <c r="JC636" s="45"/>
      <c r="JD636" s="45"/>
      <c r="JE636" s="45"/>
      <c r="JF636" s="45"/>
      <c r="JG636" s="45"/>
      <c r="JH636" s="45"/>
      <c r="JI636" s="45"/>
      <c r="JJ636" s="45"/>
      <c r="JK636" s="45"/>
      <c r="JL636" s="45"/>
      <c r="JM636" s="45"/>
      <c r="JN636" s="45"/>
      <c r="JO636" s="45"/>
      <c r="JP636" s="45"/>
      <c r="JQ636" s="45"/>
      <c r="JR636" s="45"/>
      <c r="JS636" s="45"/>
      <c r="JT636" s="45"/>
      <c r="JU636" s="45"/>
      <c r="JV636" s="45"/>
      <c r="JW636" s="45"/>
      <c r="JX636" s="45"/>
      <c r="JY636" s="45"/>
      <c r="JZ636" s="45"/>
      <c r="KA636" s="45"/>
      <c r="KB636" s="45"/>
      <c r="KC636" s="45"/>
      <c r="KD636" s="45"/>
      <c r="KE636" s="45"/>
      <c r="KF636" s="45"/>
      <c r="KG636" s="45"/>
      <c r="KH636" s="45"/>
      <c r="KI636" s="45"/>
      <c r="KJ636" s="45"/>
      <c r="KK636" s="45"/>
      <c r="KL636" s="45"/>
      <c r="KM636" s="45"/>
      <c r="KN636" s="45"/>
      <c r="KO636" s="45"/>
      <c r="KP636" s="45"/>
      <c r="KQ636" s="45"/>
      <c r="KR636" s="45"/>
      <c r="KS636" s="45"/>
      <c r="KT636" s="45"/>
      <c r="KU636" s="45"/>
      <c r="KV636" s="45"/>
      <c r="KW636" s="45"/>
      <c r="KX636" s="45"/>
      <c r="KY636" s="45"/>
      <c r="KZ636" s="45"/>
      <c r="LA636" s="45"/>
      <c r="LB636" s="45"/>
      <c r="LC636" s="45"/>
      <c r="LD636" s="45"/>
      <c r="LE636" s="45"/>
      <c r="LF636" s="45"/>
      <c r="LG636" s="45"/>
      <c r="LH636" s="45"/>
      <c r="LI636" s="45"/>
      <c r="LJ636" s="45"/>
      <c r="LK636" s="45"/>
      <c r="LL636" s="45"/>
      <c r="LM636" s="45"/>
      <c r="LN636" s="45"/>
      <c r="LO636" s="45"/>
      <c r="LP636" s="45"/>
      <c r="LQ636" s="45"/>
      <c r="LR636" s="45"/>
      <c r="LS636" s="45"/>
      <c r="LT636" s="45"/>
      <c r="LU636" s="45"/>
      <c r="LV636" s="45"/>
      <c r="LW636" s="45"/>
      <c r="LX636" s="45"/>
      <c r="LY636" s="45"/>
      <c r="LZ636" s="45"/>
      <c r="MA636" s="45"/>
      <c r="MB636" s="45"/>
      <c r="MC636" s="45"/>
      <c r="MD636" s="45"/>
      <c r="ME636" s="45"/>
      <c r="MF636" s="45"/>
      <c r="MG636" s="45"/>
      <c r="MH636" s="45"/>
      <c r="MI636" s="45"/>
      <c r="MJ636" s="45"/>
      <c r="MK636" s="45"/>
      <c r="ML636" s="45"/>
      <c r="MM636" s="45"/>
      <c r="MN636" s="45"/>
      <c r="MO636" s="45"/>
      <c r="MP636" s="45"/>
      <c r="MQ636" s="45"/>
      <c r="MR636" s="45"/>
      <c r="MS636" s="45"/>
      <c r="MT636" s="45"/>
      <c r="MU636" s="45"/>
      <c r="MV636" s="45"/>
      <c r="MW636" s="45"/>
      <c r="MX636" s="45"/>
      <c r="MY636" s="45"/>
      <c r="MZ636" s="45"/>
      <c r="NA636" s="45"/>
      <c r="NB636" s="45"/>
      <c r="NC636" s="45"/>
      <c r="ND636" s="45"/>
      <c r="NE636" s="45"/>
      <c r="NF636" s="45"/>
      <c r="NG636" s="45"/>
      <c r="NH636" s="45"/>
      <c r="NI636" s="45"/>
      <c r="NJ636" s="45"/>
      <c r="NK636" s="45"/>
      <c r="NL636" s="45"/>
      <c r="NM636" s="45"/>
      <c r="NN636" s="45"/>
      <c r="NO636" s="45"/>
      <c r="NP636" s="45"/>
      <c r="NQ636" s="45"/>
      <c r="NR636" s="45"/>
      <c r="NS636" s="45"/>
      <c r="NT636" s="45"/>
      <c r="NU636" s="45"/>
      <c r="NV636" s="45"/>
      <c r="NW636" s="45"/>
      <c r="NX636" s="45"/>
      <c r="NY636" s="45"/>
      <c r="NZ636" s="45"/>
      <c r="OA636" s="45"/>
      <c r="OB636" s="45"/>
      <c r="OC636" s="45"/>
      <c r="OD636" s="45"/>
      <c r="OE636" s="45"/>
      <c r="OF636" s="45"/>
      <c r="OG636" s="45"/>
      <c r="OH636" s="45"/>
      <c r="OI636" s="45"/>
      <c r="OJ636" s="45"/>
      <c r="OK636" s="45"/>
      <c r="OL636" s="45"/>
      <c r="OM636" s="45"/>
      <c r="ON636" s="45"/>
      <c r="OO636" s="45"/>
      <c r="OP636" s="45"/>
      <c r="OQ636" s="45"/>
      <c r="OR636" s="45"/>
      <c r="OS636" s="45"/>
      <c r="OT636" s="45"/>
      <c r="OU636" s="45"/>
      <c r="OV636" s="45"/>
      <c r="OW636" s="45"/>
      <c r="OX636" s="45"/>
      <c r="OY636" s="45"/>
      <c r="OZ636" s="45"/>
      <c r="PA636" s="45"/>
      <c r="PB636" s="45"/>
      <c r="PC636" s="45"/>
      <c r="PD636" s="45"/>
      <c r="PE636" s="45"/>
      <c r="PF636" s="45"/>
      <c r="PG636" s="45"/>
      <c r="PH636" s="45"/>
      <c r="PI636" s="45"/>
      <c r="PJ636" s="45"/>
      <c r="PK636" s="45"/>
      <c r="PL636" s="45"/>
      <c r="PM636" s="45"/>
      <c r="PN636" s="45"/>
      <c r="PO636" s="45"/>
      <c r="PP636" s="45"/>
      <c r="PQ636" s="45"/>
      <c r="PR636" s="45"/>
      <c r="PS636" s="45"/>
      <c r="PT636" s="45"/>
      <c r="PU636" s="45"/>
      <c r="PV636" s="45"/>
      <c r="PW636" s="45"/>
      <c r="PX636" s="45"/>
      <c r="PY636" s="45"/>
      <c r="PZ636" s="45"/>
      <c r="QA636" s="45"/>
      <c r="QB636" s="45"/>
      <c r="QC636" s="45"/>
      <c r="QD636" s="45"/>
      <c r="QE636" s="45"/>
      <c r="QF636" s="45"/>
      <c r="QG636" s="45"/>
      <c r="QH636" s="45"/>
      <c r="QI636" s="45"/>
      <c r="QJ636" s="45"/>
      <c r="QK636" s="45"/>
      <c r="QL636" s="45"/>
      <c r="QM636" s="45"/>
      <c r="QN636" s="45"/>
      <c r="QO636" s="45"/>
      <c r="QP636" s="45"/>
      <c r="QQ636" s="45"/>
      <c r="QR636" s="45"/>
      <c r="QS636" s="45"/>
      <c r="QT636" s="45"/>
      <c r="QU636" s="45"/>
      <c r="QV636" s="45"/>
      <c r="QW636" s="45"/>
      <c r="QX636" s="45"/>
      <c r="QY636" s="45"/>
      <c r="QZ636" s="45"/>
      <c r="RA636" s="45"/>
      <c r="RB636" s="45"/>
      <c r="RC636" s="45"/>
      <c r="RD636" s="45"/>
      <c r="RE636" s="45"/>
      <c r="RF636" s="45"/>
      <c r="RG636" s="45"/>
      <c r="RH636" s="45"/>
      <c r="RI636" s="45"/>
      <c r="RJ636" s="45"/>
      <c r="RK636" s="45"/>
      <c r="RL636" s="45"/>
      <c r="RM636" s="45"/>
      <c r="RN636" s="45"/>
      <c r="RO636" s="45"/>
      <c r="RP636" s="45"/>
      <c r="RQ636" s="45"/>
      <c r="RR636" s="45"/>
      <c r="RS636" s="45"/>
      <c r="RT636" s="45"/>
      <c r="RU636" s="45"/>
      <c r="RV636" s="45"/>
      <c r="RW636" s="45"/>
      <c r="RX636" s="45"/>
      <c r="RY636" s="45"/>
      <c r="RZ636" s="45"/>
      <c r="SA636" s="45"/>
      <c r="SB636" s="45"/>
      <c r="SC636" s="45"/>
      <c r="SD636" s="45"/>
      <c r="SE636" s="45"/>
      <c r="SF636" s="45"/>
      <c r="SG636" s="45"/>
      <c r="SH636" s="45"/>
      <c r="SI636" s="45"/>
      <c r="SJ636" s="45"/>
      <c r="SK636" s="45"/>
      <c r="SL636" s="45"/>
      <c r="SM636" s="45"/>
      <c r="SN636" s="45"/>
      <c r="SO636" s="45"/>
      <c r="SP636" s="45"/>
      <c r="SQ636" s="45"/>
      <c r="SR636" s="45"/>
      <c r="SS636" s="45"/>
      <c r="ST636" s="45"/>
      <c r="SU636" s="45"/>
      <c r="SV636" s="45"/>
      <c r="SW636" s="45"/>
      <c r="SX636" s="45"/>
      <c r="SY636" s="45"/>
      <c r="SZ636" s="45"/>
      <c r="TA636" s="45"/>
      <c r="TB636" s="45"/>
      <c r="TC636" s="45"/>
    </row>
    <row r="637" spans="1:523">
      <c r="A637" s="45">
        <v>148</v>
      </c>
      <c r="B637" s="320" t="s">
        <v>1004</v>
      </c>
      <c r="C637"/>
      <c r="D637"/>
      <c r="E637"/>
      <c r="F637"/>
      <c r="G637"/>
      <c r="H637"/>
      <c r="I637"/>
      <c r="J637"/>
      <c r="K637"/>
      <c r="L637"/>
      <c r="M637"/>
      <c r="N637"/>
      <c r="O637"/>
    </row>
    <row r="638" spans="1:523" s="188" customFormat="1">
      <c r="A638" s="45">
        <v>149</v>
      </c>
      <c r="B638" s="320" t="s">
        <v>1003</v>
      </c>
      <c r="C638"/>
      <c r="D638"/>
      <c r="E638"/>
      <c r="F638"/>
      <c r="G638"/>
      <c r="H638"/>
      <c r="I638"/>
      <c r="J638"/>
      <c r="K638"/>
      <c r="L638"/>
      <c r="M638"/>
      <c r="N638"/>
      <c r="O638"/>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c r="AS638" s="45"/>
      <c r="AT638" s="45"/>
      <c r="AU638" s="45"/>
      <c r="AV638" s="45"/>
      <c r="AW638" s="45"/>
      <c r="AX638" s="45"/>
      <c r="AY638" s="45"/>
      <c r="AZ638" s="45"/>
      <c r="BA638" s="45"/>
      <c r="BB638" s="45"/>
      <c r="BC638" s="45"/>
      <c r="BD638" s="45"/>
      <c r="BE638" s="45"/>
      <c r="BF638" s="45"/>
      <c r="BG638" s="45"/>
      <c r="BH638" s="45"/>
      <c r="BI638" s="45"/>
      <c r="BJ638" s="45"/>
      <c r="BK638" s="45"/>
      <c r="BL638" s="45"/>
      <c r="BM638" s="45"/>
      <c r="BN638" s="45"/>
      <c r="BO638" s="45"/>
      <c r="BP638" s="45"/>
      <c r="BQ638" s="45"/>
      <c r="BR638" s="45"/>
      <c r="BS638" s="45"/>
      <c r="BT638" s="45"/>
      <c r="BU638" s="45"/>
      <c r="BV638" s="45"/>
      <c r="BW638" s="45"/>
      <c r="BX638" s="45"/>
      <c r="BY638" s="45"/>
      <c r="BZ638" s="45"/>
      <c r="CA638" s="45"/>
      <c r="CB638" s="45"/>
      <c r="CC638" s="45"/>
      <c r="CD638" s="45"/>
      <c r="CE638" s="45"/>
      <c r="CF638" s="45"/>
      <c r="CG638" s="45"/>
      <c r="CH638" s="45"/>
      <c r="CI638" s="45"/>
      <c r="CJ638" s="45"/>
      <c r="CK638" s="45"/>
      <c r="CL638" s="45"/>
      <c r="CM638" s="45"/>
      <c r="CN638" s="45"/>
      <c r="CO638" s="45"/>
      <c r="CP638" s="45"/>
      <c r="CQ638" s="45"/>
      <c r="CR638" s="45"/>
      <c r="CS638" s="45"/>
      <c r="CT638" s="45"/>
      <c r="CU638" s="45"/>
      <c r="CV638" s="45"/>
      <c r="CW638" s="45"/>
      <c r="CX638" s="45"/>
      <c r="CY638" s="45"/>
      <c r="CZ638" s="45"/>
      <c r="DA638" s="45"/>
      <c r="DB638" s="45"/>
      <c r="DC638" s="45"/>
      <c r="DD638" s="45"/>
      <c r="DE638" s="45"/>
      <c r="DF638" s="45"/>
      <c r="DG638" s="45"/>
      <c r="DH638" s="45"/>
      <c r="DI638" s="45"/>
      <c r="DJ638" s="45"/>
      <c r="DK638" s="45"/>
      <c r="DL638" s="45"/>
      <c r="DM638" s="45"/>
      <c r="DN638" s="45"/>
      <c r="DO638" s="45"/>
      <c r="DP638" s="45"/>
      <c r="DQ638" s="45"/>
      <c r="DR638" s="45"/>
      <c r="DS638" s="45"/>
      <c r="DT638" s="45"/>
      <c r="DU638" s="45"/>
      <c r="DV638" s="45"/>
      <c r="DW638" s="45"/>
      <c r="DX638" s="45"/>
      <c r="DY638" s="45"/>
      <c r="DZ638" s="45"/>
      <c r="EA638" s="45"/>
      <c r="EB638" s="45"/>
      <c r="EC638" s="45"/>
      <c r="ED638" s="45"/>
      <c r="EE638" s="45"/>
      <c r="EF638" s="45"/>
      <c r="EG638" s="45"/>
      <c r="EH638" s="45"/>
      <c r="EI638" s="45"/>
      <c r="EJ638" s="45"/>
      <c r="EK638" s="45"/>
      <c r="EL638" s="45"/>
      <c r="EM638" s="45"/>
      <c r="EN638" s="45"/>
      <c r="EO638" s="45"/>
      <c r="EP638" s="45"/>
      <c r="EQ638" s="45"/>
      <c r="ER638" s="45"/>
      <c r="ES638" s="45"/>
      <c r="ET638" s="45"/>
      <c r="EU638" s="45"/>
      <c r="EV638" s="45"/>
      <c r="EW638" s="45"/>
      <c r="EX638" s="45"/>
      <c r="EY638" s="45"/>
      <c r="EZ638" s="45"/>
      <c r="FA638" s="45"/>
      <c r="FB638" s="45"/>
      <c r="FC638" s="45"/>
      <c r="FD638" s="45"/>
      <c r="FE638" s="45"/>
      <c r="FF638" s="45"/>
      <c r="FG638" s="45"/>
      <c r="FH638" s="45"/>
      <c r="FI638" s="45"/>
      <c r="FJ638" s="45"/>
      <c r="FK638" s="45"/>
      <c r="FL638" s="45"/>
      <c r="FM638" s="45"/>
      <c r="FN638" s="45"/>
      <c r="FO638" s="45"/>
      <c r="FP638" s="45"/>
      <c r="FQ638" s="45"/>
      <c r="FR638" s="45"/>
      <c r="FS638" s="45"/>
      <c r="FT638" s="45"/>
      <c r="FU638" s="45"/>
      <c r="FV638" s="45"/>
      <c r="FW638" s="45"/>
      <c r="FX638" s="45"/>
      <c r="FY638" s="45"/>
      <c r="FZ638" s="45"/>
      <c r="GA638" s="45"/>
      <c r="GB638" s="45"/>
      <c r="GC638" s="45"/>
      <c r="GD638" s="45"/>
      <c r="GE638" s="45"/>
      <c r="GF638" s="45"/>
      <c r="GG638" s="45"/>
      <c r="GH638" s="45"/>
      <c r="GI638" s="45"/>
      <c r="GJ638" s="45"/>
      <c r="GK638" s="45"/>
      <c r="GL638" s="45"/>
      <c r="GM638" s="45"/>
      <c r="GN638" s="45"/>
      <c r="GO638" s="45"/>
      <c r="GP638" s="45"/>
      <c r="GQ638" s="45"/>
      <c r="GR638" s="45"/>
      <c r="GS638" s="45"/>
      <c r="GT638" s="45"/>
      <c r="GU638" s="45"/>
      <c r="GV638" s="45"/>
      <c r="GW638" s="45"/>
      <c r="GX638" s="45"/>
      <c r="GY638" s="45"/>
      <c r="GZ638" s="45"/>
      <c r="HA638" s="45"/>
      <c r="HB638" s="45"/>
      <c r="HC638" s="45"/>
      <c r="HD638" s="45"/>
      <c r="HE638" s="45"/>
      <c r="HF638" s="45"/>
      <c r="HG638" s="45"/>
      <c r="HH638" s="45"/>
      <c r="HI638" s="45"/>
      <c r="HJ638" s="45"/>
      <c r="HK638" s="45"/>
      <c r="HL638" s="45"/>
      <c r="HM638" s="45"/>
      <c r="HN638" s="45"/>
      <c r="HO638" s="45"/>
      <c r="HP638" s="45"/>
      <c r="HQ638" s="45"/>
      <c r="HR638" s="45"/>
      <c r="HS638" s="45"/>
      <c r="HT638" s="45"/>
      <c r="HU638" s="45"/>
      <c r="HV638" s="45"/>
      <c r="HW638" s="45"/>
      <c r="HX638" s="45"/>
      <c r="HY638" s="45"/>
      <c r="HZ638" s="45"/>
      <c r="IA638" s="45"/>
      <c r="IB638" s="45"/>
      <c r="IC638" s="45"/>
      <c r="ID638" s="45"/>
      <c r="IE638" s="45"/>
      <c r="IF638" s="45"/>
      <c r="IG638" s="45"/>
      <c r="IH638" s="45"/>
      <c r="II638" s="45"/>
      <c r="IJ638" s="45"/>
      <c r="IK638" s="45"/>
      <c r="IL638" s="45"/>
      <c r="IM638" s="45"/>
      <c r="IN638" s="45"/>
      <c r="IO638" s="45"/>
      <c r="IP638" s="45"/>
      <c r="IQ638" s="45"/>
      <c r="IR638" s="45"/>
      <c r="IS638" s="45"/>
      <c r="IT638" s="45"/>
      <c r="IU638" s="45"/>
      <c r="IV638" s="45"/>
      <c r="IW638" s="45"/>
      <c r="IX638" s="45"/>
      <c r="IY638" s="45"/>
      <c r="IZ638" s="45"/>
      <c r="JA638" s="45"/>
      <c r="JB638" s="45"/>
      <c r="JC638" s="45"/>
      <c r="JD638" s="45"/>
      <c r="JE638" s="45"/>
      <c r="JF638" s="45"/>
      <c r="JG638" s="45"/>
      <c r="JH638" s="45"/>
      <c r="JI638" s="45"/>
      <c r="JJ638" s="45"/>
      <c r="JK638" s="45"/>
      <c r="JL638" s="45"/>
      <c r="JM638" s="45"/>
      <c r="JN638" s="45"/>
      <c r="JO638" s="45"/>
      <c r="JP638" s="45"/>
      <c r="JQ638" s="45"/>
      <c r="JR638" s="45"/>
      <c r="JS638" s="45"/>
      <c r="JT638" s="45"/>
      <c r="JU638" s="45"/>
      <c r="JV638" s="45"/>
      <c r="JW638" s="45"/>
      <c r="JX638" s="45"/>
      <c r="JY638" s="45"/>
      <c r="JZ638" s="45"/>
      <c r="KA638" s="45"/>
      <c r="KB638" s="45"/>
      <c r="KC638" s="45"/>
      <c r="KD638" s="45"/>
      <c r="KE638" s="45"/>
      <c r="KF638" s="45"/>
      <c r="KG638" s="45"/>
      <c r="KH638" s="45"/>
      <c r="KI638" s="45"/>
      <c r="KJ638" s="45"/>
      <c r="KK638" s="45"/>
      <c r="KL638" s="45"/>
      <c r="KM638" s="45"/>
      <c r="KN638" s="45"/>
      <c r="KO638" s="45"/>
      <c r="KP638" s="45"/>
      <c r="KQ638" s="45"/>
      <c r="KR638" s="45"/>
      <c r="KS638" s="45"/>
      <c r="KT638" s="45"/>
      <c r="KU638" s="45"/>
      <c r="KV638" s="45"/>
      <c r="KW638" s="45"/>
      <c r="KX638" s="45"/>
      <c r="KY638" s="45"/>
      <c r="KZ638" s="45"/>
      <c r="LA638" s="45"/>
      <c r="LB638" s="45"/>
      <c r="LC638" s="45"/>
      <c r="LD638" s="45"/>
      <c r="LE638" s="45"/>
      <c r="LF638" s="45"/>
      <c r="LG638" s="45"/>
      <c r="LH638" s="45"/>
      <c r="LI638" s="45"/>
      <c r="LJ638" s="45"/>
      <c r="LK638" s="45"/>
      <c r="LL638" s="45"/>
      <c r="LM638" s="45"/>
      <c r="LN638" s="45"/>
      <c r="LO638" s="45"/>
      <c r="LP638" s="45"/>
      <c r="LQ638" s="45"/>
      <c r="LR638" s="45"/>
      <c r="LS638" s="45"/>
      <c r="LT638" s="45"/>
      <c r="LU638" s="45"/>
      <c r="LV638" s="45"/>
      <c r="LW638" s="45"/>
      <c r="LX638" s="45"/>
      <c r="LY638" s="45"/>
      <c r="LZ638" s="45"/>
      <c r="MA638" s="45"/>
      <c r="MB638" s="45"/>
      <c r="MC638" s="45"/>
      <c r="MD638" s="45"/>
      <c r="ME638" s="45"/>
      <c r="MF638" s="45"/>
      <c r="MG638" s="45"/>
      <c r="MH638" s="45"/>
      <c r="MI638" s="45"/>
      <c r="MJ638" s="45"/>
      <c r="MK638" s="45"/>
      <c r="ML638" s="45"/>
      <c r="MM638" s="45"/>
      <c r="MN638" s="45"/>
      <c r="MO638" s="45"/>
      <c r="MP638" s="45"/>
      <c r="MQ638" s="45"/>
      <c r="MR638" s="45"/>
      <c r="MS638" s="45"/>
      <c r="MT638" s="45"/>
      <c r="MU638" s="45"/>
      <c r="MV638" s="45"/>
      <c r="MW638" s="45"/>
      <c r="MX638" s="45"/>
      <c r="MY638" s="45"/>
      <c r="MZ638" s="45"/>
      <c r="NA638" s="45"/>
      <c r="NB638" s="45"/>
      <c r="NC638" s="45"/>
      <c r="ND638" s="45"/>
      <c r="NE638" s="45"/>
      <c r="NF638" s="45"/>
      <c r="NG638" s="45"/>
      <c r="NH638" s="45"/>
      <c r="NI638" s="45"/>
      <c r="NJ638" s="45"/>
      <c r="NK638" s="45"/>
      <c r="NL638" s="45"/>
      <c r="NM638" s="45"/>
      <c r="NN638" s="45"/>
      <c r="NO638" s="45"/>
      <c r="NP638" s="45"/>
      <c r="NQ638" s="45"/>
      <c r="NR638" s="45"/>
      <c r="NS638" s="45"/>
      <c r="NT638" s="45"/>
      <c r="NU638" s="45"/>
      <c r="NV638" s="45"/>
      <c r="NW638" s="45"/>
      <c r="NX638" s="45"/>
      <c r="NY638" s="45"/>
      <c r="NZ638" s="45"/>
      <c r="OA638" s="45"/>
      <c r="OB638" s="45"/>
      <c r="OC638" s="45"/>
      <c r="OD638" s="45"/>
      <c r="OE638" s="45"/>
      <c r="OF638" s="45"/>
      <c r="OG638" s="45"/>
      <c r="OH638" s="45"/>
      <c r="OI638" s="45"/>
      <c r="OJ638" s="45"/>
      <c r="OK638" s="45"/>
      <c r="OL638" s="45"/>
      <c r="OM638" s="45"/>
      <c r="ON638" s="45"/>
      <c r="OO638" s="45"/>
      <c r="OP638" s="45"/>
      <c r="OQ638" s="45"/>
      <c r="OR638" s="45"/>
      <c r="OS638" s="45"/>
      <c r="OT638" s="45"/>
      <c r="OU638" s="45"/>
      <c r="OV638" s="45"/>
      <c r="OW638" s="45"/>
      <c r="OX638" s="45"/>
      <c r="OY638" s="45"/>
      <c r="OZ638" s="45"/>
      <c r="PA638" s="45"/>
      <c r="PB638" s="45"/>
      <c r="PC638" s="45"/>
      <c r="PD638" s="45"/>
      <c r="PE638" s="45"/>
      <c r="PF638" s="45"/>
      <c r="PG638" s="45"/>
      <c r="PH638" s="45"/>
      <c r="PI638" s="45"/>
      <c r="PJ638" s="45"/>
      <c r="PK638" s="45"/>
      <c r="PL638" s="45"/>
      <c r="PM638" s="45"/>
      <c r="PN638" s="45"/>
      <c r="PO638" s="45"/>
      <c r="PP638" s="45"/>
      <c r="PQ638" s="45"/>
      <c r="PR638" s="45"/>
      <c r="PS638" s="45"/>
      <c r="PT638" s="45"/>
      <c r="PU638" s="45"/>
      <c r="PV638" s="45"/>
      <c r="PW638" s="45"/>
      <c r="PX638" s="45"/>
      <c r="PY638" s="45"/>
      <c r="PZ638" s="45"/>
      <c r="QA638" s="45"/>
      <c r="QB638" s="45"/>
      <c r="QC638" s="45"/>
      <c r="QD638" s="45"/>
      <c r="QE638" s="45"/>
      <c r="QF638" s="45"/>
      <c r="QG638" s="45"/>
      <c r="QH638" s="45"/>
      <c r="QI638" s="45"/>
      <c r="QJ638" s="45"/>
      <c r="QK638" s="45"/>
      <c r="QL638" s="45"/>
      <c r="QM638" s="45"/>
      <c r="QN638" s="45"/>
      <c r="QO638" s="45"/>
      <c r="QP638" s="45"/>
      <c r="QQ638" s="45"/>
      <c r="QR638" s="45"/>
      <c r="QS638" s="45"/>
      <c r="QT638" s="45"/>
      <c r="QU638" s="45"/>
      <c r="QV638" s="45"/>
      <c r="QW638" s="45"/>
      <c r="QX638" s="45"/>
      <c r="QY638" s="45"/>
      <c r="QZ638" s="45"/>
      <c r="RA638" s="45"/>
      <c r="RB638" s="45"/>
      <c r="RC638" s="45"/>
      <c r="RD638" s="45"/>
      <c r="RE638" s="45"/>
      <c r="RF638" s="45"/>
      <c r="RG638" s="45"/>
      <c r="RH638" s="45"/>
      <c r="RI638" s="45"/>
      <c r="RJ638" s="45"/>
      <c r="RK638" s="45"/>
      <c r="RL638" s="45"/>
      <c r="RM638" s="45"/>
      <c r="RN638" s="45"/>
      <c r="RO638" s="45"/>
      <c r="RP638" s="45"/>
      <c r="RQ638" s="45"/>
      <c r="RR638" s="45"/>
      <c r="RS638" s="45"/>
      <c r="RT638" s="45"/>
      <c r="RU638" s="45"/>
      <c r="RV638" s="45"/>
      <c r="RW638" s="45"/>
      <c r="RX638" s="45"/>
      <c r="RY638" s="45"/>
      <c r="RZ638" s="45"/>
      <c r="SA638" s="45"/>
      <c r="SB638" s="45"/>
      <c r="SC638" s="45"/>
      <c r="SD638" s="45"/>
      <c r="SE638" s="45"/>
      <c r="SF638" s="45"/>
      <c r="SG638" s="45"/>
      <c r="SH638" s="45"/>
      <c r="SI638" s="45"/>
      <c r="SJ638" s="45"/>
      <c r="SK638" s="45"/>
      <c r="SL638" s="45"/>
      <c r="SM638" s="45"/>
      <c r="SN638" s="45"/>
      <c r="SO638" s="45"/>
      <c r="SP638" s="45"/>
      <c r="SQ638" s="45"/>
      <c r="SR638" s="45"/>
      <c r="SS638" s="45"/>
      <c r="ST638" s="45"/>
      <c r="SU638" s="45"/>
      <c r="SV638" s="45"/>
      <c r="SW638" s="45"/>
      <c r="SX638" s="45"/>
      <c r="SY638" s="45"/>
      <c r="SZ638" s="45"/>
      <c r="TA638" s="45"/>
      <c r="TB638" s="45"/>
      <c r="TC638" s="45"/>
    </row>
    <row r="639" spans="1:523">
      <c r="A639" s="45">
        <v>150</v>
      </c>
      <c r="B639" s="320" t="s">
        <v>1002</v>
      </c>
      <c r="C639"/>
      <c r="D639"/>
      <c r="E639"/>
      <c r="F639"/>
      <c r="G639"/>
      <c r="H639"/>
      <c r="I639"/>
      <c r="J639"/>
      <c r="K639"/>
      <c r="L639"/>
      <c r="M639"/>
      <c r="N639"/>
      <c r="O639"/>
    </row>
    <row r="640" spans="1:523" s="188" customFormat="1">
      <c r="A640" s="72">
        <v>151</v>
      </c>
      <c r="B640" s="320" t="s">
        <v>1001</v>
      </c>
      <c r="C640"/>
      <c r="D640"/>
      <c r="E640"/>
      <c r="F640"/>
      <c r="G640"/>
      <c r="H640"/>
      <c r="I640"/>
      <c r="J640"/>
      <c r="K640"/>
      <c r="L640"/>
      <c r="M640"/>
      <c r="N640"/>
      <c r="O640"/>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c r="AS640" s="45"/>
      <c r="AT640" s="45"/>
      <c r="AU640" s="45"/>
      <c r="AV640" s="45"/>
      <c r="AW640" s="45"/>
      <c r="AX640" s="45"/>
      <c r="AY640" s="45"/>
      <c r="AZ640" s="45"/>
      <c r="BA640" s="45"/>
      <c r="BB640" s="45"/>
      <c r="BC640" s="45"/>
      <c r="BD640" s="45"/>
      <c r="BE640" s="45"/>
      <c r="BF640" s="45"/>
      <c r="BG640" s="45"/>
      <c r="BH640" s="45"/>
      <c r="BI640" s="45"/>
      <c r="BJ640" s="45"/>
      <c r="BK640" s="45"/>
      <c r="BL640" s="45"/>
      <c r="BM640" s="45"/>
      <c r="BN640" s="45"/>
      <c r="BO640" s="45"/>
      <c r="BP640" s="45"/>
      <c r="BQ640" s="45"/>
      <c r="BR640" s="45"/>
      <c r="BS640" s="45"/>
      <c r="BT640" s="45"/>
      <c r="BU640" s="45"/>
      <c r="BV640" s="45"/>
      <c r="BW640" s="45"/>
      <c r="BX640" s="45"/>
      <c r="BY640" s="45"/>
      <c r="BZ640" s="45"/>
      <c r="CA640" s="45"/>
      <c r="CB640" s="45"/>
      <c r="CC640" s="45"/>
      <c r="CD640" s="45"/>
      <c r="CE640" s="45"/>
      <c r="CF640" s="45"/>
      <c r="CG640" s="45"/>
      <c r="CH640" s="45"/>
      <c r="CI640" s="45"/>
      <c r="CJ640" s="45"/>
      <c r="CK640" s="45"/>
      <c r="CL640" s="45"/>
      <c r="CM640" s="45"/>
      <c r="CN640" s="45"/>
      <c r="CO640" s="45"/>
      <c r="CP640" s="45"/>
      <c r="CQ640" s="45"/>
      <c r="CR640" s="45"/>
      <c r="CS640" s="45"/>
      <c r="CT640" s="45"/>
      <c r="CU640" s="45"/>
      <c r="CV640" s="45"/>
      <c r="CW640" s="45"/>
      <c r="CX640" s="45"/>
      <c r="CY640" s="45"/>
      <c r="CZ640" s="45"/>
      <c r="DA640" s="45"/>
      <c r="DB640" s="45"/>
      <c r="DC640" s="45"/>
      <c r="DD640" s="45"/>
      <c r="DE640" s="45"/>
      <c r="DF640" s="45"/>
      <c r="DG640" s="45"/>
      <c r="DH640" s="45"/>
      <c r="DI640" s="45"/>
      <c r="DJ640" s="45"/>
      <c r="DK640" s="45"/>
      <c r="DL640" s="45"/>
      <c r="DM640" s="45"/>
      <c r="DN640" s="45"/>
      <c r="DO640" s="45"/>
      <c r="DP640" s="45"/>
      <c r="DQ640" s="45"/>
      <c r="DR640" s="45"/>
      <c r="DS640" s="45"/>
      <c r="DT640" s="45"/>
      <c r="DU640" s="45"/>
      <c r="DV640" s="45"/>
      <c r="DW640" s="45"/>
      <c r="DX640" s="45"/>
      <c r="DY640" s="45"/>
      <c r="DZ640" s="45"/>
      <c r="EA640" s="45"/>
      <c r="EB640" s="45"/>
      <c r="EC640" s="45"/>
      <c r="ED640" s="45"/>
      <c r="EE640" s="45"/>
      <c r="EF640" s="45"/>
      <c r="EG640" s="45"/>
      <c r="EH640" s="45"/>
      <c r="EI640" s="45"/>
      <c r="EJ640" s="45"/>
      <c r="EK640" s="45"/>
      <c r="EL640" s="45"/>
      <c r="EM640" s="45"/>
      <c r="EN640" s="45"/>
      <c r="EO640" s="45"/>
      <c r="EP640" s="45"/>
      <c r="EQ640" s="45"/>
      <c r="ER640" s="45"/>
      <c r="ES640" s="45"/>
      <c r="ET640" s="45"/>
      <c r="EU640" s="45"/>
      <c r="EV640" s="45"/>
      <c r="EW640" s="45"/>
      <c r="EX640" s="45"/>
      <c r="EY640" s="45"/>
      <c r="EZ640" s="45"/>
      <c r="FA640" s="45"/>
      <c r="FB640" s="45"/>
      <c r="FC640" s="45"/>
      <c r="FD640" s="45"/>
      <c r="FE640" s="45"/>
      <c r="FF640" s="45"/>
      <c r="FG640" s="45"/>
      <c r="FH640" s="45"/>
      <c r="FI640" s="45"/>
      <c r="FJ640" s="45"/>
      <c r="FK640" s="45"/>
      <c r="FL640" s="45"/>
      <c r="FM640" s="45"/>
      <c r="FN640" s="45"/>
      <c r="FO640" s="45"/>
      <c r="FP640" s="45"/>
      <c r="FQ640" s="45"/>
      <c r="FR640" s="45"/>
      <c r="FS640" s="45"/>
      <c r="FT640" s="45"/>
      <c r="FU640" s="45"/>
      <c r="FV640" s="45"/>
      <c r="FW640" s="45"/>
      <c r="FX640" s="45"/>
      <c r="FY640" s="45"/>
      <c r="FZ640" s="45"/>
      <c r="GA640" s="45"/>
      <c r="GB640" s="45"/>
      <c r="GC640" s="45"/>
      <c r="GD640" s="45"/>
      <c r="GE640" s="45"/>
      <c r="GF640" s="45"/>
      <c r="GG640" s="45"/>
      <c r="GH640" s="45"/>
      <c r="GI640" s="45"/>
      <c r="GJ640" s="45"/>
      <c r="GK640" s="45"/>
      <c r="GL640" s="45"/>
      <c r="GM640" s="45"/>
      <c r="GN640" s="45"/>
      <c r="GO640" s="45"/>
      <c r="GP640" s="45"/>
      <c r="GQ640" s="45"/>
      <c r="GR640" s="45"/>
      <c r="GS640" s="45"/>
      <c r="GT640" s="45"/>
      <c r="GU640" s="45"/>
      <c r="GV640" s="45"/>
      <c r="GW640" s="45"/>
      <c r="GX640" s="45"/>
      <c r="GY640" s="45"/>
      <c r="GZ640" s="45"/>
      <c r="HA640" s="45"/>
      <c r="HB640" s="45"/>
      <c r="HC640" s="45"/>
      <c r="HD640" s="45"/>
      <c r="HE640" s="45"/>
      <c r="HF640" s="45"/>
      <c r="HG640" s="45"/>
      <c r="HH640" s="45"/>
      <c r="HI640" s="45"/>
      <c r="HJ640" s="45"/>
      <c r="HK640" s="45"/>
      <c r="HL640" s="45"/>
      <c r="HM640" s="45"/>
      <c r="HN640" s="45"/>
      <c r="HO640" s="45"/>
      <c r="HP640" s="45"/>
      <c r="HQ640" s="45"/>
      <c r="HR640" s="45"/>
      <c r="HS640" s="45"/>
      <c r="HT640" s="45"/>
      <c r="HU640" s="45"/>
      <c r="HV640" s="45"/>
      <c r="HW640" s="45"/>
      <c r="HX640" s="45"/>
      <c r="HY640" s="45"/>
      <c r="HZ640" s="45"/>
      <c r="IA640" s="45"/>
      <c r="IB640" s="45"/>
      <c r="IC640" s="45"/>
      <c r="ID640" s="45"/>
      <c r="IE640" s="45"/>
      <c r="IF640" s="45"/>
      <c r="IG640" s="45"/>
      <c r="IH640" s="45"/>
      <c r="II640" s="45"/>
      <c r="IJ640" s="45"/>
      <c r="IK640" s="45"/>
      <c r="IL640" s="45"/>
      <c r="IM640" s="45"/>
      <c r="IN640" s="45"/>
      <c r="IO640" s="45"/>
      <c r="IP640" s="45"/>
      <c r="IQ640" s="45"/>
      <c r="IR640" s="45"/>
      <c r="IS640" s="45"/>
      <c r="IT640" s="45"/>
      <c r="IU640" s="45"/>
      <c r="IV640" s="45"/>
      <c r="IW640" s="45"/>
      <c r="IX640" s="45"/>
      <c r="IY640" s="45"/>
      <c r="IZ640" s="45"/>
      <c r="JA640" s="45"/>
      <c r="JB640" s="45"/>
      <c r="JC640" s="45"/>
      <c r="JD640" s="45"/>
      <c r="JE640" s="45"/>
      <c r="JF640" s="45"/>
      <c r="JG640" s="45"/>
      <c r="JH640" s="45"/>
      <c r="JI640" s="45"/>
      <c r="JJ640" s="45"/>
      <c r="JK640" s="45"/>
      <c r="JL640" s="45"/>
      <c r="JM640" s="45"/>
      <c r="JN640" s="45"/>
      <c r="JO640" s="45"/>
      <c r="JP640" s="45"/>
      <c r="JQ640" s="45"/>
      <c r="JR640" s="45"/>
      <c r="JS640" s="45"/>
      <c r="JT640" s="45"/>
      <c r="JU640" s="45"/>
      <c r="JV640" s="45"/>
      <c r="JW640" s="45"/>
      <c r="JX640" s="45"/>
      <c r="JY640" s="45"/>
      <c r="JZ640" s="45"/>
      <c r="KA640" s="45"/>
      <c r="KB640" s="45"/>
      <c r="KC640" s="45"/>
      <c r="KD640" s="45"/>
      <c r="KE640" s="45"/>
      <c r="KF640" s="45"/>
      <c r="KG640" s="45"/>
      <c r="KH640" s="45"/>
      <c r="KI640" s="45"/>
      <c r="KJ640" s="45"/>
      <c r="KK640" s="45"/>
      <c r="KL640" s="45"/>
      <c r="KM640" s="45"/>
      <c r="KN640" s="45"/>
      <c r="KO640" s="45"/>
      <c r="KP640" s="45"/>
      <c r="KQ640" s="45"/>
      <c r="KR640" s="45"/>
      <c r="KS640" s="45"/>
      <c r="KT640" s="45"/>
      <c r="KU640" s="45"/>
      <c r="KV640" s="45"/>
      <c r="KW640" s="45"/>
      <c r="KX640" s="45"/>
      <c r="KY640" s="45"/>
      <c r="KZ640" s="45"/>
      <c r="LA640" s="45"/>
      <c r="LB640" s="45"/>
      <c r="LC640" s="45"/>
      <c r="LD640" s="45"/>
      <c r="LE640" s="45"/>
      <c r="LF640" s="45"/>
      <c r="LG640" s="45"/>
      <c r="LH640" s="45"/>
      <c r="LI640" s="45"/>
      <c r="LJ640" s="45"/>
      <c r="LK640" s="45"/>
      <c r="LL640" s="45"/>
      <c r="LM640" s="45"/>
      <c r="LN640" s="45"/>
      <c r="LO640" s="45"/>
      <c r="LP640" s="45"/>
      <c r="LQ640" s="45"/>
      <c r="LR640" s="45"/>
      <c r="LS640" s="45"/>
      <c r="LT640" s="45"/>
      <c r="LU640" s="45"/>
      <c r="LV640" s="45"/>
      <c r="LW640" s="45"/>
      <c r="LX640" s="45"/>
      <c r="LY640" s="45"/>
      <c r="LZ640" s="45"/>
      <c r="MA640" s="45"/>
      <c r="MB640" s="45"/>
      <c r="MC640" s="45"/>
      <c r="MD640" s="45"/>
      <c r="ME640" s="45"/>
      <c r="MF640" s="45"/>
      <c r="MG640" s="45"/>
      <c r="MH640" s="45"/>
      <c r="MI640" s="45"/>
      <c r="MJ640" s="45"/>
      <c r="MK640" s="45"/>
      <c r="ML640" s="45"/>
      <c r="MM640" s="45"/>
      <c r="MN640" s="45"/>
      <c r="MO640" s="45"/>
      <c r="MP640" s="45"/>
      <c r="MQ640" s="45"/>
      <c r="MR640" s="45"/>
      <c r="MS640" s="45"/>
      <c r="MT640" s="45"/>
      <c r="MU640" s="45"/>
      <c r="MV640" s="45"/>
      <c r="MW640" s="45"/>
      <c r="MX640" s="45"/>
      <c r="MY640" s="45"/>
      <c r="MZ640" s="45"/>
      <c r="NA640" s="45"/>
      <c r="NB640" s="45"/>
      <c r="NC640" s="45"/>
      <c r="ND640" s="45"/>
      <c r="NE640" s="45"/>
      <c r="NF640" s="45"/>
      <c r="NG640" s="45"/>
      <c r="NH640" s="45"/>
      <c r="NI640" s="45"/>
      <c r="NJ640" s="45"/>
      <c r="NK640" s="45"/>
      <c r="NL640" s="45"/>
      <c r="NM640" s="45"/>
      <c r="NN640" s="45"/>
      <c r="NO640" s="45"/>
      <c r="NP640" s="45"/>
      <c r="NQ640" s="45"/>
      <c r="NR640" s="45"/>
      <c r="NS640" s="45"/>
      <c r="NT640" s="45"/>
      <c r="NU640" s="45"/>
      <c r="NV640" s="45"/>
      <c r="NW640" s="45"/>
      <c r="NX640" s="45"/>
      <c r="NY640" s="45"/>
      <c r="NZ640" s="45"/>
      <c r="OA640" s="45"/>
      <c r="OB640" s="45"/>
      <c r="OC640" s="45"/>
      <c r="OD640" s="45"/>
      <c r="OE640" s="45"/>
      <c r="OF640" s="45"/>
      <c r="OG640" s="45"/>
      <c r="OH640" s="45"/>
      <c r="OI640" s="45"/>
      <c r="OJ640" s="45"/>
      <c r="OK640" s="45"/>
      <c r="OL640" s="45"/>
      <c r="OM640" s="45"/>
      <c r="ON640" s="45"/>
      <c r="OO640" s="45"/>
      <c r="OP640" s="45"/>
      <c r="OQ640" s="45"/>
      <c r="OR640" s="45"/>
      <c r="OS640" s="45"/>
      <c r="OT640" s="45"/>
      <c r="OU640" s="45"/>
      <c r="OV640" s="45"/>
      <c r="OW640" s="45"/>
      <c r="OX640" s="45"/>
      <c r="OY640" s="45"/>
      <c r="OZ640" s="45"/>
      <c r="PA640" s="45"/>
      <c r="PB640" s="45"/>
      <c r="PC640" s="45"/>
      <c r="PD640" s="45"/>
      <c r="PE640" s="45"/>
      <c r="PF640" s="45"/>
      <c r="PG640" s="45"/>
      <c r="PH640" s="45"/>
      <c r="PI640" s="45"/>
      <c r="PJ640" s="45"/>
      <c r="PK640" s="45"/>
      <c r="PL640" s="45"/>
      <c r="PM640" s="45"/>
      <c r="PN640" s="45"/>
      <c r="PO640" s="45"/>
      <c r="PP640" s="45"/>
      <c r="PQ640" s="45"/>
      <c r="PR640" s="45"/>
      <c r="PS640" s="45"/>
      <c r="PT640" s="45"/>
      <c r="PU640" s="45"/>
      <c r="PV640" s="45"/>
      <c r="PW640" s="45"/>
      <c r="PX640" s="45"/>
      <c r="PY640" s="45"/>
      <c r="PZ640" s="45"/>
      <c r="QA640" s="45"/>
      <c r="QB640" s="45"/>
      <c r="QC640" s="45"/>
      <c r="QD640" s="45"/>
      <c r="QE640" s="45"/>
      <c r="QF640" s="45"/>
      <c r="QG640" s="45"/>
      <c r="QH640" s="45"/>
      <c r="QI640" s="45"/>
      <c r="QJ640" s="45"/>
      <c r="QK640" s="45"/>
      <c r="QL640" s="45"/>
      <c r="QM640" s="45"/>
      <c r="QN640" s="45"/>
      <c r="QO640" s="45"/>
      <c r="QP640" s="45"/>
      <c r="QQ640" s="45"/>
      <c r="QR640" s="45"/>
      <c r="QS640" s="45"/>
      <c r="QT640" s="45"/>
      <c r="QU640" s="45"/>
      <c r="QV640" s="45"/>
      <c r="QW640" s="45"/>
      <c r="QX640" s="45"/>
      <c r="QY640" s="45"/>
      <c r="QZ640" s="45"/>
      <c r="RA640" s="45"/>
      <c r="RB640" s="45"/>
      <c r="RC640" s="45"/>
      <c r="RD640" s="45"/>
      <c r="RE640" s="45"/>
      <c r="RF640" s="45"/>
      <c r="RG640" s="45"/>
      <c r="RH640" s="45"/>
      <c r="RI640" s="45"/>
      <c r="RJ640" s="45"/>
      <c r="RK640" s="45"/>
      <c r="RL640" s="45"/>
      <c r="RM640" s="45"/>
      <c r="RN640" s="45"/>
      <c r="RO640" s="45"/>
      <c r="RP640" s="45"/>
      <c r="RQ640" s="45"/>
      <c r="RR640" s="45"/>
      <c r="RS640" s="45"/>
      <c r="RT640" s="45"/>
      <c r="RU640" s="45"/>
      <c r="RV640" s="45"/>
      <c r="RW640" s="45"/>
      <c r="RX640" s="45"/>
      <c r="RY640" s="45"/>
      <c r="RZ640" s="45"/>
      <c r="SA640" s="45"/>
      <c r="SB640" s="45"/>
      <c r="SC640" s="45"/>
      <c r="SD640" s="45"/>
      <c r="SE640" s="45"/>
      <c r="SF640" s="45"/>
      <c r="SG640" s="45"/>
      <c r="SH640" s="45"/>
      <c r="SI640" s="45"/>
      <c r="SJ640" s="45"/>
      <c r="SK640" s="45"/>
      <c r="SL640" s="45"/>
      <c r="SM640" s="45"/>
      <c r="SN640" s="45"/>
      <c r="SO640" s="45"/>
      <c r="SP640" s="45"/>
      <c r="SQ640" s="45"/>
      <c r="SR640" s="45"/>
      <c r="SS640" s="45"/>
      <c r="ST640" s="45"/>
      <c r="SU640" s="45"/>
      <c r="SV640" s="45"/>
      <c r="SW640" s="45"/>
      <c r="SX640" s="45"/>
      <c r="SY640" s="45"/>
      <c r="SZ640" s="45"/>
      <c r="TA640" s="45"/>
      <c r="TB640" s="45"/>
      <c r="TC640" s="45"/>
    </row>
    <row r="641" spans="1:15">
      <c r="A641" s="45">
        <v>152</v>
      </c>
      <c r="B641" s="319" t="s">
        <v>560</v>
      </c>
      <c r="C641"/>
      <c r="D641"/>
      <c r="E641"/>
      <c r="F641"/>
      <c r="G641"/>
      <c r="H641"/>
      <c r="I641"/>
      <c r="J641"/>
      <c r="K641"/>
      <c r="L641"/>
      <c r="M641"/>
      <c r="N641"/>
      <c r="O641"/>
    </row>
    <row r="642" spans="1:15">
      <c r="A642" s="45">
        <v>153</v>
      </c>
      <c r="B642" s="319" t="s">
        <v>898</v>
      </c>
    </row>
    <row r="643" spans="1:15">
      <c r="A643" s="45">
        <v>154</v>
      </c>
      <c r="B643" s="319" t="s">
        <v>624</v>
      </c>
    </row>
    <row r="644" spans="1:15">
      <c r="A644" s="72">
        <v>155</v>
      </c>
      <c r="B644" s="319" t="s">
        <v>897</v>
      </c>
    </row>
    <row r="645" spans="1:15">
      <c r="A645" s="45">
        <v>156</v>
      </c>
      <c r="B645" s="320" t="s">
        <v>1000</v>
      </c>
    </row>
    <row r="646" spans="1:15">
      <c r="A646" s="45">
        <v>157</v>
      </c>
      <c r="B646" s="320" t="s">
        <v>999</v>
      </c>
    </row>
    <row r="647" spans="1:15">
      <c r="A647" s="45">
        <v>158</v>
      </c>
      <c r="B647" s="319" t="s">
        <v>896</v>
      </c>
    </row>
    <row r="648" spans="1:15">
      <c r="A648" s="72">
        <v>159</v>
      </c>
      <c r="B648" s="319" t="s">
        <v>895</v>
      </c>
    </row>
    <row r="649" spans="1:15">
      <c r="A649" s="45">
        <v>160</v>
      </c>
      <c r="B649" s="319" t="s">
        <v>705</v>
      </c>
    </row>
    <row r="650" spans="1:15">
      <c r="A650" s="45">
        <v>161</v>
      </c>
      <c r="B650" s="319" t="s">
        <v>726</v>
      </c>
    </row>
    <row r="651" spans="1:15">
      <c r="A651" s="45">
        <v>162</v>
      </c>
      <c r="B651" s="319" t="s">
        <v>894</v>
      </c>
    </row>
    <row r="652" spans="1:15">
      <c r="A652" s="72">
        <v>163</v>
      </c>
      <c r="B652" s="319" t="s">
        <v>530</v>
      </c>
    </row>
    <row r="653" spans="1:15">
      <c r="A653" s="45">
        <v>164</v>
      </c>
      <c r="B653" s="319" t="s">
        <v>626</v>
      </c>
    </row>
    <row r="654" spans="1:15">
      <c r="A654" s="45">
        <v>165</v>
      </c>
      <c r="B654" s="319" t="s">
        <v>512</v>
      </c>
    </row>
    <row r="655" spans="1:15">
      <c r="A655" s="45">
        <v>166</v>
      </c>
      <c r="B655" s="319" t="s">
        <v>514</v>
      </c>
    </row>
    <row r="656" spans="1:15">
      <c r="A656" s="72">
        <v>167</v>
      </c>
      <c r="B656" s="319" t="s">
        <v>609</v>
      </c>
    </row>
    <row r="657" spans="1:2">
      <c r="A657" s="45">
        <v>168</v>
      </c>
      <c r="B657" s="319" t="s">
        <v>724</v>
      </c>
    </row>
    <row r="658" spans="1:2">
      <c r="A658" s="45">
        <v>169</v>
      </c>
      <c r="B658" s="319" t="s">
        <v>641</v>
      </c>
    </row>
    <row r="659" spans="1:2">
      <c r="A659" s="45">
        <v>170</v>
      </c>
      <c r="B659" s="320" t="s">
        <v>998</v>
      </c>
    </row>
    <row r="660" spans="1:2">
      <c r="A660" s="72">
        <v>171</v>
      </c>
      <c r="B660" s="320" t="s">
        <v>997</v>
      </c>
    </row>
    <row r="661" spans="1:2">
      <c r="A661" s="45">
        <v>172</v>
      </c>
      <c r="B661" s="320" t="s">
        <v>996</v>
      </c>
    </row>
    <row r="662" spans="1:2">
      <c r="A662" s="45">
        <v>173</v>
      </c>
      <c r="B662" s="320" t="s">
        <v>995</v>
      </c>
    </row>
    <row r="663" spans="1:2">
      <c r="A663" s="45">
        <v>174</v>
      </c>
      <c r="B663" s="319" t="s">
        <v>593</v>
      </c>
    </row>
    <row r="664" spans="1:2">
      <c r="A664" s="72">
        <v>175</v>
      </c>
      <c r="B664" s="320" t="s">
        <v>994</v>
      </c>
    </row>
    <row r="665" spans="1:2">
      <c r="A665" s="45">
        <v>176</v>
      </c>
      <c r="B665" s="319" t="s">
        <v>510</v>
      </c>
    </row>
    <row r="666" spans="1:2">
      <c r="A666" s="45">
        <v>177</v>
      </c>
      <c r="B666" s="319" t="s">
        <v>508</v>
      </c>
    </row>
    <row r="667" spans="1:2">
      <c r="A667" s="45">
        <v>178</v>
      </c>
      <c r="B667" s="319" t="s">
        <v>582</v>
      </c>
    </row>
    <row r="668" spans="1:2">
      <c r="A668" s="72">
        <v>179</v>
      </c>
      <c r="B668" s="319" t="s">
        <v>591</v>
      </c>
    </row>
    <row r="669" spans="1:2">
      <c r="A669" s="45">
        <v>180</v>
      </c>
      <c r="B669" s="319" t="s">
        <v>1072</v>
      </c>
    </row>
    <row r="670" spans="1:2">
      <c r="A670" s="45">
        <v>181</v>
      </c>
      <c r="B670" s="319" t="s">
        <v>703</v>
      </c>
    </row>
    <row r="671" spans="1:2">
      <c r="A671" s="45">
        <v>182</v>
      </c>
      <c r="B671" s="319" t="s">
        <v>681</v>
      </c>
    </row>
    <row r="672" spans="1:2">
      <c r="A672" s="72">
        <v>183</v>
      </c>
      <c r="B672" s="319" t="s">
        <v>654</v>
      </c>
    </row>
    <row r="673" spans="1:2">
      <c r="A673" s="45">
        <v>184</v>
      </c>
      <c r="B673" s="319" t="s">
        <v>714</v>
      </c>
    </row>
    <row r="674" spans="1:2">
      <c r="A674" s="45">
        <v>185</v>
      </c>
      <c r="B674" s="319" t="s">
        <v>712</v>
      </c>
    </row>
    <row r="675" spans="1:2">
      <c r="A675" s="45">
        <v>186</v>
      </c>
      <c r="B675" s="319" t="s">
        <v>656</v>
      </c>
    </row>
    <row r="676" spans="1:2">
      <c r="A676" s="72">
        <v>187</v>
      </c>
      <c r="B676" s="320" t="s">
        <v>993</v>
      </c>
    </row>
    <row r="677" spans="1:2">
      <c r="A677" s="45">
        <v>188</v>
      </c>
      <c r="B677" s="320" t="s">
        <v>992</v>
      </c>
    </row>
    <row r="678" spans="1:2">
      <c r="A678" s="45">
        <v>189</v>
      </c>
      <c r="B678" s="320" t="s">
        <v>991</v>
      </c>
    </row>
    <row r="679" spans="1:2">
      <c r="A679" s="45">
        <v>190</v>
      </c>
      <c r="B679" s="320" t="s">
        <v>990</v>
      </c>
    </row>
    <row r="680" spans="1:2">
      <c r="A680" s="72">
        <v>191</v>
      </c>
      <c r="B680" s="320" t="s">
        <v>989</v>
      </c>
    </row>
    <row r="681" spans="1:2">
      <c r="A681" s="45">
        <v>192</v>
      </c>
      <c r="B681" s="319" t="s">
        <v>835</v>
      </c>
    </row>
    <row r="682" spans="1:2">
      <c r="A682" s="45">
        <v>193</v>
      </c>
      <c r="B682" s="319" t="s">
        <v>622</v>
      </c>
    </row>
    <row r="683" spans="1:2">
      <c r="A683" s="45">
        <v>194</v>
      </c>
      <c r="B683" s="319" t="s">
        <v>620</v>
      </c>
    </row>
    <row r="684" spans="1:2">
      <c r="A684" s="72">
        <v>195</v>
      </c>
      <c r="B684" s="319" t="s">
        <v>834</v>
      </c>
    </row>
    <row r="685" spans="1:2">
      <c r="A685" s="45">
        <v>196</v>
      </c>
      <c r="B685" s="319" t="s">
        <v>833</v>
      </c>
    </row>
    <row r="686" spans="1:2">
      <c r="A686" s="45">
        <v>197</v>
      </c>
      <c r="B686" s="319" t="s">
        <v>827</v>
      </c>
    </row>
    <row r="687" spans="1:2">
      <c r="A687" s="45">
        <v>198</v>
      </c>
      <c r="B687" s="319" t="s">
        <v>832</v>
      </c>
    </row>
    <row r="688" spans="1:2">
      <c r="A688" s="72">
        <v>199</v>
      </c>
      <c r="B688" s="319" t="s">
        <v>831</v>
      </c>
    </row>
    <row r="689" spans="1:2">
      <c r="A689" s="45">
        <v>200</v>
      </c>
      <c r="B689" s="319" t="s">
        <v>893</v>
      </c>
    </row>
    <row r="690" spans="1:2">
      <c r="A690" s="45">
        <v>201</v>
      </c>
      <c r="B690" s="319" t="s">
        <v>830</v>
      </c>
    </row>
    <row r="691" spans="1:2">
      <c r="A691" s="45">
        <v>202</v>
      </c>
      <c r="B691" s="319" t="s">
        <v>829</v>
      </c>
    </row>
    <row r="692" spans="1:2">
      <c r="A692" s="72">
        <v>203</v>
      </c>
      <c r="B692" s="319" t="s">
        <v>828</v>
      </c>
    </row>
    <row r="693" spans="1:2">
      <c r="A693" s="45">
        <v>204</v>
      </c>
      <c r="B693" s="319" t="s">
        <v>538</v>
      </c>
    </row>
    <row r="694" spans="1:2">
      <c r="A694" s="45">
        <v>205</v>
      </c>
      <c r="B694" s="319" t="s">
        <v>503</v>
      </c>
    </row>
    <row r="695" spans="1:2">
      <c r="A695" s="45">
        <v>206</v>
      </c>
      <c r="B695" s="320" t="s">
        <v>988</v>
      </c>
    </row>
    <row r="696" spans="1:2">
      <c r="A696" s="72">
        <v>207</v>
      </c>
      <c r="B696" s="319" t="s">
        <v>826</v>
      </c>
    </row>
    <row r="697" spans="1:2">
      <c r="A697" s="45">
        <v>208</v>
      </c>
      <c r="B697" s="319" t="s">
        <v>672</v>
      </c>
    </row>
    <row r="698" spans="1:2">
      <c r="A698" s="45">
        <v>209</v>
      </c>
      <c r="B698" s="319" t="s">
        <v>825</v>
      </c>
    </row>
    <row r="699" spans="1:2">
      <c r="A699" s="45">
        <v>210</v>
      </c>
      <c r="B699" s="319" t="s">
        <v>824</v>
      </c>
    </row>
    <row r="700" spans="1:2">
      <c r="A700" s="72">
        <v>211</v>
      </c>
      <c r="B700" s="319" t="s">
        <v>823</v>
      </c>
    </row>
    <row r="701" spans="1:2">
      <c r="A701" s="45">
        <v>212</v>
      </c>
      <c r="B701" s="319" t="s">
        <v>534</v>
      </c>
    </row>
    <row r="702" spans="1:2">
      <c r="A702" s="45">
        <v>213</v>
      </c>
      <c r="B702" s="319" t="s">
        <v>822</v>
      </c>
    </row>
    <row r="703" spans="1:2">
      <c r="A703" s="45">
        <v>214</v>
      </c>
      <c r="B703" s="319" t="s">
        <v>821</v>
      </c>
    </row>
    <row r="704" spans="1:2">
      <c r="A704" s="72">
        <v>215</v>
      </c>
      <c r="B704" s="319" t="s">
        <v>820</v>
      </c>
    </row>
    <row r="705" spans="1:2">
      <c r="A705" s="45">
        <v>216</v>
      </c>
      <c r="B705" s="319" t="s">
        <v>819</v>
      </c>
    </row>
    <row r="706" spans="1:2">
      <c r="A706" s="45">
        <v>217</v>
      </c>
      <c r="B706" s="319" t="s">
        <v>638</v>
      </c>
    </row>
    <row r="707" spans="1:2">
      <c r="A707" s="45">
        <v>218</v>
      </c>
      <c r="B707" s="319" t="s">
        <v>818</v>
      </c>
    </row>
    <row r="708" spans="1:2">
      <c r="A708" s="72">
        <v>219</v>
      </c>
      <c r="B708" s="319" t="s">
        <v>817</v>
      </c>
    </row>
    <row r="709" spans="1:2">
      <c r="A709" s="45">
        <v>220</v>
      </c>
      <c r="B709" s="319" t="s">
        <v>816</v>
      </c>
    </row>
    <row r="710" spans="1:2">
      <c r="A710" s="45">
        <v>221</v>
      </c>
      <c r="B710" s="319" t="s">
        <v>815</v>
      </c>
    </row>
    <row r="711" spans="1:2">
      <c r="A711" s="45">
        <v>222</v>
      </c>
      <c r="B711" s="319" t="s">
        <v>814</v>
      </c>
    </row>
    <row r="712" spans="1:2">
      <c r="A712" s="72">
        <v>223</v>
      </c>
      <c r="B712" s="319" t="s">
        <v>813</v>
      </c>
    </row>
    <row r="713" spans="1:2">
      <c r="A713" s="45">
        <v>224</v>
      </c>
      <c r="B713" s="319" t="s">
        <v>812</v>
      </c>
    </row>
    <row r="714" spans="1:2">
      <c r="A714" s="45">
        <v>225</v>
      </c>
      <c r="B714" s="319" t="s">
        <v>811</v>
      </c>
    </row>
    <row r="715" spans="1:2">
      <c r="A715" s="45">
        <v>226</v>
      </c>
      <c r="B715" s="319" t="s">
        <v>810</v>
      </c>
    </row>
    <row r="716" spans="1:2">
      <c r="A716" s="72">
        <v>227</v>
      </c>
      <c r="B716" s="319" t="s">
        <v>809</v>
      </c>
    </row>
    <row r="717" spans="1:2">
      <c r="A717" s="45">
        <v>228</v>
      </c>
      <c r="B717" s="319" t="s">
        <v>808</v>
      </c>
    </row>
    <row r="718" spans="1:2">
      <c r="A718" s="45">
        <v>229</v>
      </c>
      <c r="B718" s="319" t="s">
        <v>496</v>
      </c>
    </row>
    <row r="719" spans="1:2">
      <c r="A719" s="45">
        <v>230</v>
      </c>
      <c r="B719" s="319" t="s">
        <v>807</v>
      </c>
    </row>
    <row r="720" spans="1:2">
      <c r="A720" s="72">
        <v>231</v>
      </c>
      <c r="B720" s="319" t="s">
        <v>806</v>
      </c>
    </row>
    <row r="721" spans="1:2">
      <c r="A721" s="45">
        <v>232</v>
      </c>
      <c r="B721" s="319" t="s">
        <v>495</v>
      </c>
    </row>
    <row r="722" spans="1:2">
      <c r="A722" s="45">
        <v>233</v>
      </c>
      <c r="B722" s="319" t="s">
        <v>805</v>
      </c>
    </row>
    <row r="723" spans="1:2">
      <c r="A723" s="45">
        <v>234</v>
      </c>
      <c r="B723" s="319" t="s">
        <v>804</v>
      </c>
    </row>
    <row r="724" spans="1:2">
      <c r="A724" s="72">
        <v>235</v>
      </c>
      <c r="B724" s="319" t="s">
        <v>803</v>
      </c>
    </row>
    <row r="725" spans="1:2">
      <c r="A725" s="45">
        <v>236</v>
      </c>
      <c r="B725" s="319" t="s">
        <v>802</v>
      </c>
    </row>
    <row r="726" spans="1:2">
      <c r="A726" s="45">
        <v>237</v>
      </c>
      <c r="B726" s="319" t="s">
        <v>801</v>
      </c>
    </row>
    <row r="727" spans="1:2">
      <c r="A727" s="45">
        <v>238</v>
      </c>
      <c r="B727" s="319" t="s">
        <v>800</v>
      </c>
    </row>
    <row r="728" spans="1:2">
      <c r="A728" s="72">
        <v>239</v>
      </c>
      <c r="B728" s="319" t="s">
        <v>799</v>
      </c>
    </row>
    <row r="729" spans="1:2">
      <c r="A729" s="45">
        <v>240</v>
      </c>
      <c r="B729" s="319" t="s">
        <v>798</v>
      </c>
    </row>
    <row r="730" spans="1:2">
      <c r="A730" s="45">
        <v>241</v>
      </c>
      <c r="B730" s="319" t="s">
        <v>699</v>
      </c>
    </row>
    <row r="731" spans="1:2">
      <c r="A731" s="45">
        <v>242</v>
      </c>
      <c r="B731" s="319" t="s">
        <v>797</v>
      </c>
    </row>
    <row r="732" spans="1:2">
      <c r="A732" s="72">
        <v>243</v>
      </c>
      <c r="B732" s="319" t="s">
        <v>796</v>
      </c>
    </row>
    <row r="733" spans="1:2">
      <c r="A733" s="45">
        <v>244</v>
      </c>
      <c r="B733" s="319" t="s">
        <v>795</v>
      </c>
    </row>
    <row r="734" spans="1:2">
      <c r="A734" s="45">
        <v>245</v>
      </c>
      <c r="B734" s="319" t="s">
        <v>794</v>
      </c>
    </row>
    <row r="735" spans="1:2">
      <c r="A735" s="45">
        <v>246</v>
      </c>
      <c r="B735" s="319" t="s">
        <v>875</v>
      </c>
    </row>
    <row r="736" spans="1:2">
      <c r="A736" s="72">
        <v>247</v>
      </c>
      <c r="B736" s="319" t="s">
        <v>874</v>
      </c>
    </row>
    <row r="737" spans="1:2">
      <c r="A737" s="45">
        <v>248</v>
      </c>
      <c r="B737" s="320" t="s">
        <v>987</v>
      </c>
    </row>
    <row r="738" spans="1:2">
      <c r="A738" s="45">
        <v>249</v>
      </c>
      <c r="B738" s="319" t="s">
        <v>873</v>
      </c>
    </row>
    <row r="739" spans="1:2">
      <c r="A739" s="45">
        <v>250</v>
      </c>
      <c r="B739" s="320" t="s">
        <v>986</v>
      </c>
    </row>
    <row r="740" spans="1:2">
      <c r="A740" s="72">
        <v>251</v>
      </c>
      <c r="B740" s="319" t="s">
        <v>892</v>
      </c>
    </row>
    <row r="741" spans="1:2">
      <c r="A741" s="45">
        <v>252</v>
      </c>
      <c r="B741" s="320" t="s">
        <v>985</v>
      </c>
    </row>
    <row r="742" spans="1:2">
      <c r="A742" s="45">
        <v>253</v>
      </c>
      <c r="B742" s="319" t="s">
        <v>891</v>
      </c>
    </row>
    <row r="743" spans="1:2">
      <c r="A743" s="45">
        <v>254</v>
      </c>
      <c r="B743" s="319" t="s">
        <v>890</v>
      </c>
    </row>
    <row r="744" spans="1:2">
      <c r="A744" s="72">
        <v>255</v>
      </c>
      <c r="B744" s="319" t="s">
        <v>889</v>
      </c>
    </row>
    <row r="745" spans="1:2">
      <c r="A745" s="45">
        <v>256</v>
      </c>
      <c r="B745" s="320" t="s">
        <v>984</v>
      </c>
    </row>
    <row r="746" spans="1:2">
      <c r="A746" s="45">
        <v>257</v>
      </c>
      <c r="B746" s="319" t="s">
        <v>587</v>
      </c>
    </row>
    <row r="747" spans="1:2">
      <c r="A747" s="45">
        <v>258</v>
      </c>
      <c r="B747" s="319" t="s">
        <v>584</v>
      </c>
    </row>
    <row r="748" spans="1:2">
      <c r="A748" s="72">
        <v>259</v>
      </c>
      <c r="B748" s="319" t="s">
        <v>536</v>
      </c>
    </row>
    <row r="749" spans="1:2">
      <c r="A749" s="45">
        <v>260</v>
      </c>
      <c r="B749" s="319" t="s">
        <v>793</v>
      </c>
    </row>
    <row r="750" spans="1:2">
      <c r="A750" s="45">
        <v>261</v>
      </c>
      <c r="B750" s="319" t="s">
        <v>792</v>
      </c>
    </row>
    <row r="751" spans="1:2">
      <c r="A751" s="45">
        <v>262</v>
      </c>
      <c r="B751" s="319" t="s">
        <v>791</v>
      </c>
    </row>
    <row r="752" spans="1:2">
      <c r="A752" s="72">
        <v>263</v>
      </c>
      <c r="B752" s="319" t="s">
        <v>607</v>
      </c>
    </row>
    <row r="753" spans="1:2">
      <c r="A753" s="45">
        <v>264</v>
      </c>
      <c r="B753" s="319" t="s">
        <v>790</v>
      </c>
    </row>
    <row r="754" spans="1:2">
      <c r="A754" s="45">
        <v>265</v>
      </c>
      <c r="B754" s="319" t="s">
        <v>789</v>
      </c>
    </row>
    <row r="755" spans="1:2">
      <c r="A755" s="45">
        <v>266</v>
      </c>
      <c r="B755" s="319" t="s">
        <v>788</v>
      </c>
    </row>
    <row r="756" spans="1:2">
      <c r="A756" s="72">
        <v>267</v>
      </c>
      <c r="B756" s="319" t="s">
        <v>787</v>
      </c>
    </row>
    <row r="757" spans="1:2">
      <c r="A757" s="45">
        <v>268</v>
      </c>
      <c r="B757" s="319" t="s">
        <v>786</v>
      </c>
    </row>
    <row r="758" spans="1:2">
      <c r="A758" s="45">
        <v>269</v>
      </c>
      <c r="B758" s="319" t="s">
        <v>785</v>
      </c>
    </row>
    <row r="759" spans="1:2">
      <c r="A759" s="45">
        <v>270</v>
      </c>
      <c r="B759" s="319" t="s">
        <v>784</v>
      </c>
    </row>
    <row r="760" spans="1:2">
      <c r="A760" s="72">
        <v>271</v>
      </c>
      <c r="B760" s="319" t="s">
        <v>783</v>
      </c>
    </row>
    <row r="761" spans="1:2">
      <c r="A761" s="45">
        <v>272</v>
      </c>
      <c r="B761" s="319" t="s">
        <v>782</v>
      </c>
    </row>
    <row r="762" spans="1:2">
      <c r="A762" s="45">
        <v>273</v>
      </c>
      <c r="B762" s="319" t="s">
        <v>781</v>
      </c>
    </row>
    <row r="763" spans="1:2">
      <c r="A763" s="45">
        <v>274</v>
      </c>
      <c r="B763" s="319" t="s">
        <v>506</v>
      </c>
    </row>
    <row r="764" spans="1:2">
      <c r="A764" s="72">
        <v>275</v>
      </c>
      <c r="B764" s="319" t="s">
        <v>780</v>
      </c>
    </row>
    <row r="765" spans="1:2">
      <c r="A765" s="45">
        <v>276</v>
      </c>
      <c r="B765" s="319" t="s">
        <v>779</v>
      </c>
    </row>
    <row r="766" spans="1:2">
      <c r="A766" s="45">
        <v>277</v>
      </c>
      <c r="B766" s="319" t="s">
        <v>701</v>
      </c>
    </row>
    <row r="767" spans="1:2">
      <c r="A767" s="45">
        <v>278</v>
      </c>
      <c r="B767" s="319" t="s">
        <v>778</v>
      </c>
    </row>
    <row r="768" spans="1:2">
      <c r="A768" s="72">
        <v>279</v>
      </c>
      <c r="B768" s="319" t="s">
        <v>777</v>
      </c>
    </row>
    <row r="769" spans="1:2">
      <c r="A769" s="45">
        <v>280</v>
      </c>
      <c r="B769" s="319" t="s">
        <v>776</v>
      </c>
    </row>
    <row r="770" spans="1:2">
      <c r="A770" s="45">
        <v>281</v>
      </c>
      <c r="B770" s="319" t="s">
        <v>775</v>
      </c>
    </row>
    <row r="771" spans="1:2">
      <c r="A771" s="45">
        <v>282</v>
      </c>
      <c r="B771" s="319" t="s">
        <v>774</v>
      </c>
    </row>
    <row r="772" spans="1:2">
      <c r="A772" s="72">
        <v>283</v>
      </c>
      <c r="B772" s="320" t="s">
        <v>983</v>
      </c>
    </row>
    <row r="773" spans="1:2">
      <c r="A773" s="45">
        <v>284</v>
      </c>
      <c r="B773" s="319" t="s">
        <v>773</v>
      </c>
    </row>
    <row r="774" spans="1:2">
      <c r="A774" s="45">
        <v>285</v>
      </c>
      <c r="B774" s="320" t="s">
        <v>982</v>
      </c>
    </row>
    <row r="775" spans="1:2">
      <c r="A775" s="45">
        <v>286</v>
      </c>
      <c r="B775" s="319" t="s">
        <v>772</v>
      </c>
    </row>
    <row r="776" spans="1:2">
      <c r="A776" s="72">
        <v>287</v>
      </c>
      <c r="B776" s="320" t="s">
        <v>981</v>
      </c>
    </row>
    <row r="777" spans="1:2">
      <c r="A777" s="45">
        <v>288</v>
      </c>
      <c r="B777" s="320" t="s">
        <v>980</v>
      </c>
    </row>
    <row r="778" spans="1:2">
      <c r="A778" s="45">
        <v>289</v>
      </c>
      <c r="B778" s="320" t="s">
        <v>979</v>
      </c>
    </row>
    <row r="779" spans="1:2">
      <c r="A779" s="45">
        <v>290</v>
      </c>
      <c r="B779" s="319" t="s">
        <v>771</v>
      </c>
    </row>
    <row r="780" spans="1:2">
      <c r="A780" s="72">
        <v>291</v>
      </c>
      <c r="B780" s="319" t="s">
        <v>770</v>
      </c>
    </row>
    <row r="781" spans="1:2">
      <c r="A781" s="45">
        <v>292</v>
      </c>
      <c r="B781" s="320" t="s">
        <v>978</v>
      </c>
    </row>
    <row r="782" spans="1:2">
      <c r="A782" s="45">
        <v>293</v>
      </c>
      <c r="B782" s="319" t="s">
        <v>562</v>
      </c>
    </row>
    <row r="783" spans="1:2">
      <c r="A783" s="45">
        <v>294</v>
      </c>
      <c r="B783" s="319" t="s">
        <v>769</v>
      </c>
    </row>
    <row r="784" spans="1:2">
      <c r="A784" s="72">
        <v>295</v>
      </c>
      <c r="B784" s="320" t="s">
        <v>977</v>
      </c>
    </row>
    <row r="785" spans="1:2">
      <c r="A785" s="45">
        <v>296</v>
      </c>
      <c r="B785" s="320" t="s">
        <v>976</v>
      </c>
    </row>
    <row r="786" spans="1:2">
      <c r="A786" s="45">
        <v>297</v>
      </c>
      <c r="B786" s="320" t="s">
        <v>975</v>
      </c>
    </row>
    <row r="787" spans="1:2">
      <c r="A787" s="45">
        <v>298</v>
      </c>
      <c r="B787" s="320" t="s">
        <v>974</v>
      </c>
    </row>
    <row r="788" spans="1:2">
      <c r="A788" s="72">
        <v>299</v>
      </c>
      <c r="B788" s="319" t="s">
        <v>549</v>
      </c>
    </row>
    <row r="789" spans="1:2">
      <c r="A789" s="45">
        <v>300</v>
      </c>
      <c r="B789" s="320" t="s">
        <v>973</v>
      </c>
    </row>
    <row r="790" spans="1:2">
      <c r="A790" s="45">
        <v>301</v>
      </c>
      <c r="B790" s="320" t="s">
        <v>972</v>
      </c>
    </row>
    <row r="791" spans="1:2">
      <c r="A791" s="45">
        <v>302</v>
      </c>
      <c r="B791" s="319" t="s">
        <v>768</v>
      </c>
    </row>
    <row r="792" spans="1:2">
      <c r="A792" s="72">
        <v>303</v>
      </c>
      <c r="B792" s="320" t="s">
        <v>971</v>
      </c>
    </row>
    <row r="793" spans="1:2">
      <c r="A793" s="45">
        <v>304</v>
      </c>
      <c r="B793" s="319" t="s">
        <v>545</v>
      </c>
    </row>
    <row r="794" spans="1:2">
      <c r="A794" s="45">
        <v>305</v>
      </c>
      <c r="B794" s="319" t="s">
        <v>494</v>
      </c>
    </row>
    <row r="795" spans="1:2">
      <c r="A795" s="45">
        <v>306</v>
      </c>
      <c r="B795" s="319" t="s">
        <v>767</v>
      </c>
    </row>
    <row r="796" spans="1:2">
      <c r="A796" s="72">
        <v>307</v>
      </c>
      <c r="B796" s="319" t="s">
        <v>766</v>
      </c>
    </row>
    <row r="797" spans="1:2">
      <c r="A797" s="45">
        <v>308</v>
      </c>
      <c r="B797" s="319" t="s">
        <v>765</v>
      </c>
    </row>
    <row r="798" spans="1:2">
      <c r="A798" s="45">
        <v>309</v>
      </c>
      <c r="B798" s="319" t="s">
        <v>764</v>
      </c>
    </row>
    <row r="799" spans="1:2">
      <c r="A799" s="45">
        <v>310</v>
      </c>
      <c r="B799" s="319" t="s">
        <v>763</v>
      </c>
    </row>
    <row r="800" spans="1:2">
      <c r="A800" s="72">
        <v>311</v>
      </c>
      <c r="B800" s="320" t="s">
        <v>669</v>
      </c>
    </row>
    <row r="801" spans="1:2">
      <c r="A801" s="45">
        <v>312</v>
      </c>
      <c r="B801" s="319" t="s">
        <v>863</v>
      </c>
    </row>
    <row r="802" spans="1:2">
      <c r="A802" s="45">
        <v>313</v>
      </c>
      <c r="B802" s="319" t="s">
        <v>667</v>
      </c>
    </row>
    <row r="803" spans="1:2">
      <c r="A803" s="45">
        <v>314</v>
      </c>
      <c r="B803" s="319" t="s">
        <v>597</v>
      </c>
    </row>
    <row r="804" spans="1:2">
      <c r="A804" s="72">
        <v>315</v>
      </c>
      <c r="B804" s="320" t="s">
        <v>970</v>
      </c>
    </row>
    <row r="805" spans="1:2">
      <c r="A805" s="45">
        <v>316</v>
      </c>
      <c r="B805" s="320" t="s">
        <v>969</v>
      </c>
    </row>
    <row r="806" spans="1:2">
      <c r="A806" s="45">
        <v>317</v>
      </c>
      <c r="B806" s="319" t="s">
        <v>664</v>
      </c>
    </row>
    <row r="807" spans="1:2">
      <c r="A807" s="45">
        <v>318</v>
      </c>
      <c r="B807" s="320" t="s">
        <v>968</v>
      </c>
    </row>
    <row r="808" spans="1:2">
      <c r="A808" s="72">
        <v>319</v>
      </c>
      <c r="B808" s="320" t="s">
        <v>553</v>
      </c>
    </row>
    <row r="809" spans="1:2">
      <c r="A809" s="45">
        <v>320</v>
      </c>
      <c r="B809" s="320" t="s">
        <v>967</v>
      </c>
    </row>
    <row r="810" spans="1:2">
      <c r="A810" s="45">
        <v>321</v>
      </c>
      <c r="B810" s="320" t="s">
        <v>966</v>
      </c>
    </row>
    <row r="811" spans="1:2">
      <c r="A811" s="45">
        <v>322</v>
      </c>
      <c r="B811" s="319" t="s">
        <v>762</v>
      </c>
    </row>
    <row r="812" spans="1:2">
      <c r="A812" s="72">
        <v>323</v>
      </c>
      <c r="B812" s="320" t="s">
        <v>964</v>
      </c>
    </row>
    <row r="813" spans="1:2">
      <c r="A813" s="45">
        <v>324</v>
      </c>
      <c r="B813" s="320" t="s">
        <v>965</v>
      </c>
    </row>
    <row r="814" spans="1:2">
      <c r="A814" s="45">
        <v>325</v>
      </c>
      <c r="B814" s="319" t="s">
        <v>542</v>
      </c>
    </row>
    <row r="815" spans="1:2">
      <c r="A815" s="45">
        <v>326</v>
      </c>
      <c r="B815" s="319" t="s">
        <v>639</v>
      </c>
    </row>
    <row r="816" spans="1:2">
      <c r="A816" s="72">
        <v>327</v>
      </c>
      <c r="B816" s="319" t="s">
        <v>498</v>
      </c>
    </row>
    <row r="817" spans="1:2">
      <c r="A817" s="45">
        <v>328</v>
      </c>
      <c r="B817" s="319" t="s">
        <v>761</v>
      </c>
    </row>
    <row r="818" spans="1:2">
      <c r="A818" s="45">
        <v>329</v>
      </c>
      <c r="B818" s="319" t="s">
        <v>760</v>
      </c>
    </row>
    <row r="819" spans="1:2">
      <c r="A819" s="45">
        <v>330</v>
      </c>
      <c r="B819" s="319" t="s">
        <v>759</v>
      </c>
    </row>
    <row r="820" spans="1:2">
      <c r="A820" s="72">
        <v>331</v>
      </c>
      <c r="B820" s="319" t="s">
        <v>758</v>
      </c>
    </row>
    <row r="821" spans="1:2">
      <c r="A821" s="45">
        <v>332</v>
      </c>
      <c r="B821" s="319" t="s">
        <v>757</v>
      </c>
    </row>
    <row r="822" spans="1:2">
      <c r="A822" s="45">
        <v>333</v>
      </c>
      <c r="B822" s="319" t="s">
        <v>756</v>
      </c>
    </row>
    <row r="823" spans="1:2">
      <c r="A823" s="45">
        <v>334</v>
      </c>
      <c r="B823" s="319" t="s">
        <v>755</v>
      </c>
    </row>
    <row r="824" spans="1:2">
      <c r="A824" s="72">
        <v>335</v>
      </c>
      <c r="B824" s="319" t="s">
        <v>754</v>
      </c>
    </row>
    <row r="825" spans="1:2">
      <c r="A825" s="45">
        <v>336</v>
      </c>
      <c r="B825" s="319" t="s">
        <v>753</v>
      </c>
    </row>
    <row r="826" spans="1:2">
      <c r="A826" s="45">
        <v>337</v>
      </c>
      <c r="B826" s="319" t="s">
        <v>696</v>
      </c>
    </row>
    <row r="827" spans="1:2">
      <c r="A827" s="45">
        <v>338</v>
      </c>
      <c r="B827" s="319" t="s">
        <v>752</v>
      </c>
    </row>
    <row r="828" spans="1:2">
      <c r="A828" s="72">
        <v>339</v>
      </c>
      <c r="B828" s="319" t="s">
        <v>751</v>
      </c>
    </row>
    <row r="829" spans="1:2">
      <c r="A829" s="45">
        <v>340</v>
      </c>
      <c r="B829" s="319" t="s">
        <v>750</v>
      </c>
    </row>
    <row r="830" spans="1:2">
      <c r="A830" s="45">
        <v>341</v>
      </c>
      <c r="B830" s="319" t="s">
        <v>749</v>
      </c>
    </row>
    <row r="831" spans="1:2">
      <c r="A831" s="45">
        <v>342</v>
      </c>
      <c r="B831" s="319" t="s">
        <v>748</v>
      </c>
    </row>
    <row r="832" spans="1:2">
      <c r="A832" s="72">
        <v>343</v>
      </c>
      <c r="B832" s="319" t="s">
        <v>747</v>
      </c>
    </row>
    <row r="833" spans="1:2">
      <c r="A833" s="45">
        <v>344</v>
      </c>
      <c r="B833" s="319" t="s">
        <v>746</v>
      </c>
    </row>
    <row r="834" spans="1:2">
      <c r="A834" s="45">
        <v>345</v>
      </c>
      <c r="B834" s="319" t="s">
        <v>493</v>
      </c>
    </row>
    <row r="835" spans="1:2">
      <c r="A835" s="45">
        <v>346</v>
      </c>
      <c r="B835" s="319" t="s">
        <v>745</v>
      </c>
    </row>
    <row r="836" spans="1:2">
      <c r="A836" s="72">
        <v>347</v>
      </c>
      <c r="B836" s="319" t="s">
        <v>637</v>
      </c>
    </row>
    <row r="837" spans="1:2">
      <c r="A837" s="45">
        <v>348</v>
      </c>
      <c r="B837" s="319" t="s">
        <v>744</v>
      </c>
    </row>
    <row r="838" spans="1:2">
      <c r="A838" s="45">
        <v>349</v>
      </c>
      <c r="B838" s="319" t="s">
        <v>743</v>
      </c>
    </row>
    <row r="839" spans="1:2">
      <c r="A839" s="45">
        <v>350</v>
      </c>
      <c r="B839" s="319" t="s">
        <v>742</v>
      </c>
    </row>
    <row r="840" spans="1:2">
      <c r="A840" s="72">
        <v>351</v>
      </c>
      <c r="B840" s="319" t="s">
        <v>741</v>
      </c>
    </row>
    <row r="841" spans="1:2">
      <c r="A841" s="45">
        <v>352</v>
      </c>
      <c r="B841" s="320" t="s">
        <v>963</v>
      </c>
    </row>
    <row r="842" spans="1:2">
      <c r="A842" s="45">
        <v>353</v>
      </c>
      <c r="B842" s="320" t="s">
        <v>962</v>
      </c>
    </row>
    <row r="843" spans="1:2">
      <c r="A843" s="45">
        <v>354</v>
      </c>
      <c r="B843" s="320" t="s">
        <v>961</v>
      </c>
    </row>
    <row r="844" spans="1:2">
      <c r="A844" s="72">
        <v>355</v>
      </c>
      <c r="B844" s="320" t="s">
        <v>960</v>
      </c>
    </row>
    <row r="845" spans="1:2">
      <c r="A845" s="45">
        <v>356</v>
      </c>
      <c r="B845" s="320" t="s">
        <v>959</v>
      </c>
    </row>
    <row r="846" spans="1:2">
      <c r="A846" s="45">
        <v>357</v>
      </c>
      <c r="B846" s="319" t="s">
        <v>888</v>
      </c>
    </row>
    <row r="847" spans="1:2">
      <c r="A847" s="45">
        <v>358</v>
      </c>
      <c r="B847" s="320" t="s">
        <v>958</v>
      </c>
    </row>
    <row r="848" spans="1:2">
      <c r="A848" s="72">
        <v>359</v>
      </c>
      <c r="B848" s="319" t="s">
        <v>605</v>
      </c>
    </row>
    <row r="849" spans="1:2">
      <c r="A849" s="45">
        <v>360</v>
      </c>
      <c r="B849" s="320" t="s">
        <v>957</v>
      </c>
    </row>
    <row r="850" spans="1:2">
      <c r="A850" s="45">
        <v>361</v>
      </c>
      <c r="B850" s="320" t="s">
        <v>956</v>
      </c>
    </row>
    <row r="851" spans="1:2">
      <c r="A851" s="45">
        <v>362</v>
      </c>
      <c r="B851" s="319" t="s">
        <v>872</v>
      </c>
    </row>
    <row r="852" spans="1:2">
      <c r="A852" s="72">
        <v>363</v>
      </c>
      <c r="B852" s="319" t="s">
        <v>871</v>
      </c>
    </row>
    <row r="853" spans="1:2">
      <c r="A853" s="45">
        <v>364</v>
      </c>
      <c r="B853" s="319" t="s">
        <v>870</v>
      </c>
    </row>
    <row r="854" spans="1:2">
      <c r="A854" s="45">
        <v>365</v>
      </c>
      <c r="B854" s="319" t="s">
        <v>869</v>
      </c>
    </row>
    <row r="855" spans="1:2">
      <c r="A855" s="45">
        <v>366</v>
      </c>
      <c r="B855" s="319" t="s">
        <v>497</v>
      </c>
    </row>
    <row r="856" spans="1:2">
      <c r="A856" s="72">
        <v>367</v>
      </c>
      <c r="B856" s="319" t="s">
        <v>740</v>
      </c>
    </row>
    <row r="857" spans="1:2">
      <c r="A857" s="45">
        <v>368</v>
      </c>
      <c r="B857" s="319" t="s">
        <v>739</v>
      </c>
    </row>
    <row r="858" spans="1:2">
      <c r="A858" s="45">
        <v>369</v>
      </c>
      <c r="B858" s="319" t="s">
        <v>738</v>
      </c>
    </row>
    <row r="859" spans="1:2">
      <c r="A859" s="45">
        <v>370</v>
      </c>
      <c r="B859" s="319" t="s">
        <v>737</v>
      </c>
    </row>
    <row r="860" spans="1:2">
      <c r="A860" s="72">
        <v>371</v>
      </c>
      <c r="B860" s="320" t="s">
        <v>955</v>
      </c>
    </row>
    <row r="861" spans="1:2">
      <c r="A861" s="45">
        <v>372</v>
      </c>
      <c r="B861" s="319" t="s">
        <v>887</v>
      </c>
    </row>
    <row r="862" spans="1:2">
      <c r="A862" s="45">
        <v>373</v>
      </c>
      <c r="B862" s="319" t="s">
        <v>886</v>
      </c>
    </row>
    <row r="863" spans="1:2">
      <c r="A863" s="45">
        <v>374</v>
      </c>
      <c r="B863" s="319" t="s">
        <v>885</v>
      </c>
    </row>
    <row r="864" spans="1:2">
      <c r="A864" s="72">
        <v>375</v>
      </c>
      <c r="B864" s="319" t="s">
        <v>884</v>
      </c>
    </row>
    <row r="865" spans="1:2">
      <c r="A865" s="45">
        <v>376</v>
      </c>
      <c r="B865" s="319" t="s">
        <v>883</v>
      </c>
    </row>
    <row r="866" spans="1:2">
      <c r="A866" s="45">
        <v>377</v>
      </c>
      <c r="B866" s="319" t="s">
        <v>868</v>
      </c>
    </row>
    <row r="867" spans="1:2">
      <c r="A867" s="45">
        <v>378</v>
      </c>
      <c r="B867" s="319" t="s">
        <v>867</v>
      </c>
    </row>
    <row r="868" spans="1:2">
      <c r="A868" s="72">
        <v>379</v>
      </c>
      <c r="B868" s="320" t="s">
        <v>954</v>
      </c>
    </row>
    <row r="869" spans="1:2">
      <c r="A869" s="45">
        <v>380</v>
      </c>
      <c r="B869" s="320" t="s">
        <v>953</v>
      </c>
    </row>
    <row r="870" spans="1:2">
      <c r="A870" s="45">
        <v>381</v>
      </c>
      <c r="B870" s="320" t="s">
        <v>952</v>
      </c>
    </row>
    <row r="871" spans="1:2">
      <c r="A871" s="45">
        <v>382</v>
      </c>
      <c r="B871" s="320" t="s">
        <v>951</v>
      </c>
    </row>
    <row r="872" spans="1:2">
      <c r="A872" s="72">
        <v>383</v>
      </c>
      <c r="B872" s="319" t="s">
        <v>736</v>
      </c>
    </row>
    <row r="873" spans="1:2">
      <c r="A873" s="45">
        <v>384</v>
      </c>
      <c r="B873" s="319" t="s">
        <v>735</v>
      </c>
    </row>
    <row r="874" spans="1:2">
      <c r="A874" s="45">
        <v>385</v>
      </c>
      <c r="B874" s="319" t="s">
        <v>595</v>
      </c>
    </row>
    <row r="875" spans="1:2">
      <c r="A875" s="45">
        <v>386</v>
      </c>
      <c r="B875" s="319" t="s">
        <v>692</v>
      </c>
    </row>
    <row r="876" spans="1:2">
      <c r="A876" s="72">
        <v>387</v>
      </c>
      <c r="B876" s="320" t="s">
        <v>950</v>
      </c>
    </row>
    <row r="877" spans="1:2">
      <c r="A877" s="45">
        <v>388</v>
      </c>
      <c r="B877" s="320" t="s">
        <v>949</v>
      </c>
    </row>
    <row r="878" spans="1:2">
      <c r="A878" s="45">
        <v>389</v>
      </c>
      <c r="B878" s="320" t="s">
        <v>948</v>
      </c>
    </row>
    <row r="879" spans="1:2">
      <c r="A879" s="45">
        <v>390</v>
      </c>
      <c r="B879" s="320" t="s">
        <v>947</v>
      </c>
    </row>
    <row r="880" spans="1:2">
      <c r="A880" s="72">
        <v>391</v>
      </c>
      <c r="B880" s="320" t="s">
        <v>946</v>
      </c>
    </row>
    <row r="881" spans="1:2">
      <c r="A881" s="45">
        <v>392</v>
      </c>
      <c r="B881" s="319" t="s">
        <v>862</v>
      </c>
    </row>
    <row r="882" spans="1:2">
      <c r="A882" s="45">
        <v>393</v>
      </c>
      <c r="B882" s="320" t="s">
        <v>945</v>
      </c>
    </row>
    <row r="883" spans="1:2">
      <c r="A883" s="45">
        <v>394</v>
      </c>
      <c r="B883" s="320" t="s">
        <v>944</v>
      </c>
    </row>
    <row r="884" spans="1:2">
      <c r="A884" s="72">
        <v>395</v>
      </c>
      <c r="B884" s="320" t="s">
        <v>943</v>
      </c>
    </row>
    <row r="885" spans="1:2">
      <c r="A885" s="45">
        <v>396</v>
      </c>
      <c r="B885" s="320" t="s">
        <v>942</v>
      </c>
    </row>
    <row r="886" spans="1:2">
      <c r="A886" s="45">
        <v>397</v>
      </c>
      <c r="B886" s="319" t="s">
        <v>734</v>
      </c>
    </row>
    <row r="887" spans="1:2">
      <c r="A887" s="45">
        <v>398</v>
      </c>
      <c r="B887" s="320" t="s">
        <v>941</v>
      </c>
    </row>
    <row r="888" spans="1:2">
      <c r="A888" s="72">
        <v>399</v>
      </c>
      <c r="B888" s="320" t="s">
        <v>540</v>
      </c>
    </row>
    <row r="889" spans="1:2">
      <c r="A889" s="45">
        <v>400</v>
      </c>
      <c r="B889" s="320" t="s">
        <v>940</v>
      </c>
    </row>
    <row r="890" spans="1:2">
      <c r="A890" s="45">
        <v>401</v>
      </c>
      <c r="B890" s="320" t="s">
        <v>939</v>
      </c>
    </row>
    <row r="891" spans="1:2">
      <c r="A891" s="45">
        <v>402</v>
      </c>
      <c r="B891" s="320" t="s">
        <v>938</v>
      </c>
    </row>
    <row r="892" spans="1:2">
      <c r="A892" s="72">
        <v>403</v>
      </c>
      <c r="B892" s="320" t="s">
        <v>937</v>
      </c>
    </row>
    <row r="893" spans="1:2">
      <c r="A893" s="45">
        <v>404</v>
      </c>
      <c r="B893" s="320" t="s">
        <v>936</v>
      </c>
    </row>
    <row r="894" spans="1:2">
      <c r="A894" s="45">
        <v>405</v>
      </c>
      <c r="B894" s="320" t="s">
        <v>935</v>
      </c>
    </row>
    <row r="895" spans="1:2">
      <c r="A895" s="45">
        <v>406</v>
      </c>
      <c r="B895" s="320" t="s">
        <v>934</v>
      </c>
    </row>
    <row r="896" spans="1:2">
      <c r="A896" s="72">
        <v>407</v>
      </c>
      <c r="B896" s="320" t="s">
        <v>933</v>
      </c>
    </row>
    <row r="897" spans="1:2">
      <c r="A897" s="45">
        <v>408</v>
      </c>
      <c r="B897" s="320" t="s">
        <v>932</v>
      </c>
    </row>
    <row r="898" spans="1:2">
      <c r="A898" s="45">
        <v>409</v>
      </c>
      <c r="B898" s="319" t="s">
        <v>733</v>
      </c>
    </row>
    <row r="899" spans="1:2">
      <c r="A899" s="45">
        <v>410</v>
      </c>
      <c r="B899" s="320" t="s">
        <v>931</v>
      </c>
    </row>
    <row r="900" spans="1:2">
      <c r="A900" s="72">
        <v>411</v>
      </c>
      <c r="B900" s="320" t="s">
        <v>930</v>
      </c>
    </row>
    <row r="901" spans="1:2">
      <c r="A901" s="45">
        <v>412</v>
      </c>
      <c r="B901" s="320" t="s">
        <v>929</v>
      </c>
    </row>
    <row r="902" spans="1:2">
      <c r="A902" s="45">
        <v>413</v>
      </c>
      <c r="B902" s="319" t="s">
        <v>599</v>
      </c>
    </row>
    <row r="903" spans="1:2">
      <c r="A903" s="45">
        <v>414</v>
      </c>
      <c r="B903" s="320" t="s">
        <v>928</v>
      </c>
    </row>
    <row r="904" spans="1:2">
      <c r="A904" s="72">
        <v>415</v>
      </c>
      <c r="B904" s="319" t="s">
        <v>688</v>
      </c>
    </row>
    <row r="905" spans="1:2">
      <c r="A905" s="45">
        <v>416</v>
      </c>
      <c r="B905" s="320" t="s">
        <v>927</v>
      </c>
    </row>
    <row r="906" spans="1:2">
      <c r="A906" s="45">
        <v>417</v>
      </c>
      <c r="B906" s="319" t="s">
        <v>866</v>
      </c>
    </row>
    <row r="907" spans="1:2">
      <c r="A907" s="45">
        <v>418</v>
      </c>
      <c r="B907" s="320" t="s">
        <v>926</v>
      </c>
    </row>
    <row r="908" spans="1:2">
      <c r="A908" s="72">
        <v>419</v>
      </c>
      <c r="B908" s="319" t="s">
        <v>662</v>
      </c>
    </row>
    <row r="909" spans="1:2">
      <c r="A909" s="45">
        <v>420</v>
      </c>
      <c r="B909" s="320" t="s">
        <v>925</v>
      </c>
    </row>
    <row r="910" spans="1:2">
      <c r="A910" s="45">
        <v>421</v>
      </c>
      <c r="B910" s="320" t="s">
        <v>924</v>
      </c>
    </row>
    <row r="911" spans="1:2">
      <c r="A911" s="45">
        <v>422</v>
      </c>
      <c r="B911" s="320" t="s">
        <v>923</v>
      </c>
    </row>
    <row r="912" spans="1:2">
      <c r="A912" s="72">
        <v>423</v>
      </c>
      <c r="B912" s="320" t="s">
        <v>922</v>
      </c>
    </row>
    <row r="913" spans="1:2">
      <c r="A913" s="45">
        <v>424</v>
      </c>
      <c r="B913" s="320" t="s">
        <v>921</v>
      </c>
    </row>
    <row r="914" spans="1:2">
      <c r="A914" s="45">
        <v>425</v>
      </c>
      <c r="B914" s="320" t="s">
        <v>920</v>
      </c>
    </row>
    <row r="915" spans="1:2">
      <c r="A915" s="45">
        <v>426</v>
      </c>
      <c r="B915" s="320" t="s">
        <v>919</v>
      </c>
    </row>
    <row r="916" spans="1:2">
      <c r="A916" s="72">
        <v>427</v>
      </c>
      <c r="B916" s="320" t="s">
        <v>918</v>
      </c>
    </row>
    <row r="917" spans="1:2">
      <c r="A917" s="45">
        <v>428</v>
      </c>
      <c r="B917" s="320" t="s">
        <v>917</v>
      </c>
    </row>
    <row r="918" spans="1:2">
      <c r="A918" s="45">
        <v>429</v>
      </c>
      <c r="B918" s="319" t="s">
        <v>916</v>
      </c>
    </row>
    <row r="919" spans="1:2">
      <c r="A919" s="45">
        <v>430</v>
      </c>
      <c r="B919" s="319" t="s">
        <v>915</v>
      </c>
    </row>
    <row r="920" spans="1:2">
      <c r="A920" s="72">
        <v>431</v>
      </c>
      <c r="B920" s="319" t="s">
        <v>914</v>
      </c>
    </row>
    <row r="921" spans="1:2">
      <c r="A921" s="45">
        <v>432</v>
      </c>
      <c r="B921" s="319" t="s">
        <v>913</v>
      </c>
    </row>
    <row r="922" spans="1:2">
      <c r="A922" s="45">
        <v>433</v>
      </c>
      <c r="B922" s="319" t="s">
        <v>912</v>
      </c>
    </row>
    <row r="923" spans="1:2">
      <c r="A923" s="45">
        <v>434</v>
      </c>
      <c r="B923" s="319" t="s">
        <v>732</v>
      </c>
    </row>
    <row r="924" spans="1:2">
      <c r="A924" s="72">
        <v>435</v>
      </c>
      <c r="B924" s="319" t="s">
        <v>911</v>
      </c>
    </row>
    <row r="925" spans="1:2">
      <c r="A925" s="45">
        <v>436</v>
      </c>
      <c r="B925" s="319" t="s">
        <v>861</v>
      </c>
    </row>
    <row r="926" spans="1:2">
      <c r="A926" s="45">
        <v>437</v>
      </c>
      <c r="B926" s="319" t="s">
        <v>910</v>
      </c>
    </row>
    <row r="927" spans="1:2">
      <c r="B927"/>
    </row>
    <row r="928" spans="1:2">
      <c r="B928"/>
    </row>
    <row r="929" spans="2:2">
      <c r="B929"/>
    </row>
    <row r="930" spans="2:2">
      <c r="B930"/>
    </row>
    <row r="931" spans="2:2">
      <c r="B931"/>
    </row>
    <row r="932" spans="2:2">
      <c r="B932"/>
    </row>
    <row r="933" spans="2:2">
      <c r="B933"/>
    </row>
    <row r="934" spans="2:2">
      <c r="B934"/>
    </row>
    <row r="935" spans="2:2">
      <c r="B935"/>
    </row>
    <row r="936" spans="2:2">
      <c r="B936"/>
    </row>
    <row r="937" spans="2:2">
      <c r="B937"/>
    </row>
    <row r="938" spans="2:2">
      <c r="B938"/>
    </row>
    <row r="939" spans="2:2">
      <c r="B939"/>
    </row>
    <row r="940" spans="2:2">
      <c r="B940"/>
    </row>
    <row r="941" spans="2:2">
      <c r="B941"/>
    </row>
    <row r="942" spans="2:2">
      <c r="B942"/>
    </row>
    <row r="943" spans="2:2">
      <c r="B943"/>
    </row>
    <row r="944" spans="2:2">
      <c r="B944"/>
    </row>
    <row r="945" spans="2:2">
      <c r="B945"/>
    </row>
    <row r="946" spans="2:2">
      <c r="B946"/>
    </row>
    <row r="947" spans="2:2">
      <c r="B947"/>
    </row>
    <row r="948" spans="2:2">
      <c r="B948"/>
    </row>
    <row r="949" spans="2:2">
      <c r="B949"/>
    </row>
    <row r="950" spans="2:2">
      <c r="B950"/>
    </row>
    <row r="951" spans="2:2">
      <c r="B951"/>
    </row>
    <row r="952" spans="2:2">
      <c r="B952"/>
    </row>
    <row r="953" spans="2:2">
      <c r="B953"/>
    </row>
    <row r="954" spans="2:2">
      <c r="B954"/>
    </row>
    <row r="955" spans="2:2">
      <c r="B955"/>
    </row>
    <row r="956" spans="2:2">
      <c r="B956"/>
    </row>
    <row r="957" spans="2:2">
      <c r="B957"/>
    </row>
    <row r="958" spans="2:2">
      <c r="B958"/>
    </row>
    <row r="959" spans="2:2">
      <c r="B959"/>
    </row>
    <row r="960" spans="2:2">
      <c r="B960"/>
    </row>
    <row r="961" spans="2:2">
      <c r="B961"/>
    </row>
    <row r="962" spans="2:2">
      <c r="B962"/>
    </row>
    <row r="963" spans="2:2">
      <c r="B963"/>
    </row>
    <row r="964" spans="2:2">
      <c r="B964"/>
    </row>
    <row r="965" spans="2:2">
      <c r="B965"/>
    </row>
    <row r="966" spans="2:2">
      <c r="B966"/>
    </row>
    <row r="967" spans="2:2">
      <c r="B967"/>
    </row>
    <row r="968" spans="2:2">
      <c r="B968"/>
    </row>
    <row r="969" spans="2:2">
      <c r="B969"/>
    </row>
    <row r="970" spans="2:2">
      <c r="B970"/>
    </row>
    <row r="971" spans="2:2">
      <c r="B971"/>
    </row>
    <row r="972" spans="2:2">
      <c r="B972"/>
    </row>
    <row r="973" spans="2:2">
      <c r="B973"/>
    </row>
  </sheetData>
  <sortState ref="A490:B926">
    <sortCondition ref="B490"/>
  </sortState>
  <conditionalFormatting sqref="B331:B335 B3:B97 B99:B320">
    <cfRule type="cellIs" dxfId="42" priority="10" operator="equal">
      <formula>"вул.Вілєсова"</formula>
    </cfRule>
  </conditionalFormatting>
  <conditionalFormatting sqref="B480">
    <cfRule type="cellIs" dxfId="41" priority="9" operator="equal">
      <formula>"вул.Вілєсова"</formula>
    </cfRule>
  </conditionalFormatting>
  <conditionalFormatting sqref="B456">
    <cfRule type="cellIs" dxfId="40" priority="8" operator="equal">
      <formula>"вул.Вілєсова"</formula>
    </cfRule>
  </conditionalFormatting>
  <dataValidations count="5">
    <dataValidation type="list" allowBlank="1" showInputMessage="1" showErrorMessage="1" sqref="E448 E481:E486 E393:E394 E372 E474:E475 E478:E479 E456:E458 E454 E404:E405 E427 E437 E460 E3:E352">
      <formula1>поверхи</formula1>
    </dataValidation>
    <dataValidation type="list" allowBlank="1" showInputMessage="1" showErrorMessage="1" sqref="E391137:E391360 E325601:E325824 E260065:E260288 E194529:E194752 E128993:E129216 IU63454:IU63677 SQ63454:SQ63677 IU128990:IU129213 SQ128990:SQ129213 IU194526:IU194749 SQ194526:SQ194749 IU260062:IU260285 SQ260062:SQ260285 IU325598:IU325821 SQ325598:SQ325821 IU391134:IU391357 SQ391134:SQ391357 IU456670:IU456893 SQ456670:SQ456893 IU522206:IU522429 SQ522206:SQ522429 IU587742:IU587965 SQ587742:SQ587965 IU653278:IU653501 SQ653278:SQ653501 IU718814:IU719037 SQ718814:SQ719037 IU784350:IU784573 SQ784350:SQ784573 IU849886:IU850109 SQ849886:SQ850109 IU915422:IU915645 SQ915422:SQ915645 IU980958:IU981181 SQ980958:SQ981181 E63457:E63680 E980961:E981184 E915425:E915648 E849889:E850112 E784353:E784576 E718817:E719040 E653281:E653504 E587745:E587968 E522209:E522432 E456673:E456896 E395:E403 E480 E353:E371 E461:E473 E438:E447 E476:E477 E449:E453 E455 E406:E426 E428:E436 E459 E373:E392 IU3:IU490 IU493:IU495 SQ493:SQ495 SQ502:SQ509 IU502:IU509 SQ3:SQ490">
      <formula1>ввввв</formula1>
    </dataValidation>
    <dataValidation type="list" allowBlank="1" showInputMessage="1" showErrorMessage="1" sqref="H7 G63457:G63680 IW63454:IW63677 SS63454:SS63677 G128993:G129216 IW128990:IW129213 SS128990:SS129213 G194529:G194752 IW194526:IW194749 SS194526:SS194749 G260065:G260288 IW260062:IW260285 SS260062:SS260285 G325601:G325824 IW325598:IW325821 SS325598:SS325821 G391137:G391360 IW391134:IW391357 SS391134:SS391357 G456673:G456896 IW456670:IW456893 SS456670:SS456893 G522209:G522432 IW522206:IW522429 SS522206:SS522429 G587745:G587968 IW587742:IW587965 SS587742:SS587965 G653281:G653504 IW653278:IW653501 SS653278:SS653501 G718817:G719040 IW718814:IW719037 SS718814:SS719037 G784353:G784576 IW784350:IW784573 SS784350:SS784573 G849889:G850112 IW849886:IW850109 SS849886:SS850109 G915425:G915648 IW915422:IW915645 SS915422:SS915645 G980961:G981184 IW980958:IW981181 SS980958:SS981181 SS502:SS509 G3:G486 IW3:IW490 SS3:SS490 IW502:IW509 SS493:SS495 IW493:IW495">
      <formula1>облік</formula1>
    </dataValidation>
    <dataValidation type="list" allowBlank="1" showInputMessage="1" showErrorMessage="1" sqref="H3:H6 H63457:H63680 IX63454:IX63677 ST63454:ST63677 H128993:H129216 IX128990:IX129213 ST128990:ST129213 H194529:H194752 IX194526:IX194749 ST194526:ST194749 H260065:H260288 IX260062:IX260285 ST260062:ST260285 H325601:H325824 IX325598:IX325821 ST325598:ST325821 H391137:H391360 IX391134:IX391357 ST391134:ST391357 H456673:H456896 IX456670:IX456893 ST456670:ST456893 H522209:H522432 IX522206:IX522429 ST522206:ST522429 H587745:H587968 IX587742:IX587965 ST587742:ST587965 H653281:H653504 IX653278:IX653501 ST653278:ST653501 H718817:H719040 IX718814:IX719037 ST718814:ST719037 H784353:H784576 IX784350:IX784573 ST784350:ST784573 H849889:H850112 IX849886:IX850109 ST849886:ST850109 H915425:H915648 IX915422:IX915645 ST915422:ST915645 H980961:H981184 IX980958:IX981181 ST980958:ST981181 ST502:ST509 H8:H486 IX3:IX490 ST3:ST490 ST493:ST495 IX493:IX495 IX502:IX509">
      <formula1>аааа</formula1>
    </dataValidation>
    <dataValidation type="list" allowBlank="1" showInputMessage="1" showErrorMessage="1" sqref="D3:D486">
      <formula1>#REF!</formula1>
    </dataValidation>
  </dataValidations>
  <pageMargins left="0.11811023622047245" right="0.11811023622047245" top="0.15748031496062992" bottom="0.15748031496062992" header="0.31496062992125984" footer="0.31496062992125984"/>
  <pageSetup paperSize="9" scale="13"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83"/>
  <sheetViews>
    <sheetView zoomScale="70" zoomScaleNormal="70" workbookViewId="0">
      <pane ySplit="6" topLeftCell="A11" activePane="bottomLeft" state="frozen"/>
      <selection activeCell="C32" sqref="C32"/>
      <selection pane="bottomLeft" activeCell="L22" sqref="L22"/>
    </sheetView>
  </sheetViews>
  <sheetFormatPr defaultRowHeight="15"/>
  <cols>
    <col min="1" max="1" width="6.5703125" style="39" customWidth="1"/>
    <col min="2" max="2" width="34.85546875" style="40" customWidth="1"/>
    <col min="3" max="3" width="7.28515625" style="5" customWidth="1"/>
    <col min="4" max="4" width="74.85546875" style="41" customWidth="1"/>
    <col min="5" max="5" width="5.7109375" style="41" bestFit="1" customWidth="1"/>
    <col min="6" max="6" width="5.85546875" style="42" customWidth="1"/>
    <col min="7" max="7" width="2.7109375" customWidth="1"/>
    <col min="8" max="8" width="6" style="43" customWidth="1"/>
  </cols>
  <sheetData>
    <row r="1" spans="1:8" s="11" customFormat="1" ht="15.75">
      <c r="A1" s="10" t="s">
        <v>149</v>
      </c>
      <c r="B1" s="10"/>
      <c r="C1" s="10"/>
      <c r="D1" s="10"/>
      <c r="E1" s="10"/>
      <c r="F1" s="10"/>
      <c r="G1" s="10"/>
      <c r="H1" s="10"/>
    </row>
    <row r="2" spans="1:8" s="11" customFormat="1" ht="31.5">
      <c r="A2" s="12" t="s">
        <v>151</v>
      </c>
      <c r="B2" s="12"/>
      <c r="C2" s="13"/>
      <c r="D2" s="14"/>
      <c r="E2" s="15"/>
      <c r="F2" s="15"/>
      <c r="G2" s="15"/>
      <c r="H2" s="15"/>
    </row>
    <row r="3" spans="1:8" s="11" customFormat="1" ht="15.75">
      <c r="A3" s="12" t="e">
        <f>#REF!</f>
        <v>#REF!</v>
      </c>
      <c r="B3" s="12"/>
      <c r="C3" s="13"/>
      <c r="D3" s="14"/>
      <c r="E3" s="15"/>
      <c r="F3" s="15"/>
      <c r="G3" s="15"/>
      <c r="H3" s="15"/>
    </row>
    <row r="4" spans="1:8" s="11" customFormat="1" ht="15.75">
      <c r="A4" s="12" t="e">
        <f>#REF!</f>
        <v>#REF!</v>
      </c>
      <c r="B4" s="12"/>
      <c r="C4" s="13"/>
      <c r="D4" s="14"/>
      <c r="E4" s="15"/>
      <c r="F4" s="15"/>
      <c r="G4" s="15"/>
      <c r="H4" s="15"/>
    </row>
    <row r="6" spans="1:8" ht="33.6" customHeight="1">
      <c r="A6" s="16" t="s">
        <v>4</v>
      </c>
      <c r="B6" s="17" t="s">
        <v>152</v>
      </c>
      <c r="C6" s="18" t="s">
        <v>153</v>
      </c>
      <c r="D6" s="19" t="s">
        <v>139</v>
      </c>
      <c r="E6" s="631" t="s">
        <v>140</v>
      </c>
      <c r="F6" s="632"/>
      <c r="G6" s="632"/>
      <c r="H6" s="633"/>
    </row>
    <row r="7" spans="1:8" ht="33.6" customHeight="1">
      <c r="A7" s="48">
        <v>1</v>
      </c>
      <c r="B7" s="47" t="s">
        <v>141</v>
      </c>
      <c r="C7" s="18"/>
      <c r="D7" s="19"/>
      <c r="E7" s="22" t="s">
        <v>156</v>
      </c>
      <c r="F7" s="23">
        <v>1</v>
      </c>
      <c r="G7" s="24" t="s">
        <v>157</v>
      </c>
      <c r="H7" s="44">
        <v>2</v>
      </c>
    </row>
    <row r="8" spans="1:8" ht="31.5">
      <c r="A8" s="54">
        <f>A7+1</f>
        <v>2</v>
      </c>
      <c r="B8" s="49" t="s">
        <v>154</v>
      </c>
      <c r="C8" s="20" t="s">
        <v>161</v>
      </c>
      <c r="D8" s="21" t="s">
        <v>155</v>
      </c>
      <c r="E8" s="22" t="s">
        <v>156</v>
      </c>
      <c r="F8" s="23">
        <f>H7+1</f>
        <v>3</v>
      </c>
      <c r="G8" s="24" t="s">
        <v>157</v>
      </c>
      <c r="H8" s="44">
        <v>5</v>
      </c>
    </row>
    <row r="9" spans="1:8" ht="31.5">
      <c r="A9" s="52"/>
      <c r="B9" s="50"/>
      <c r="C9" s="20" t="s">
        <v>163</v>
      </c>
      <c r="D9" s="21" t="s">
        <v>158</v>
      </c>
      <c r="E9" s="22" t="s">
        <v>156</v>
      </c>
      <c r="F9" s="23">
        <f t="shared" ref="F9:F10" si="0">H8+1</f>
        <v>6</v>
      </c>
      <c r="G9" s="24" t="s">
        <v>157</v>
      </c>
      <c r="H9" s="44"/>
    </row>
    <row r="10" spans="1:8" ht="31.5">
      <c r="A10" s="53"/>
      <c r="B10" s="51"/>
      <c r="C10" s="20" t="s">
        <v>165</v>
      </c>
      <c r="D10" s="21" t="s">
        <v>159</v>
      </c>
      <c r="E10" s="22" t="s">
        <v>156</v>
      </c>
      <c r="F10" s="23">
        <f t="shared" si="0"/>
        <v>1</v>
      </c>
      <c r="G10" s="24" t="s">
        <v>157</v>
      </c>
      <c r="H10" s="44"/>
    </row>
    <row r="11" spans="1:8" ht="31.5">
      <c r="A11" s="637">
        <f>A8+1</f>
        <v>3</v>
      </c>
      <c r="B11" s="634" t="s">
        <v>160</v>
      </c>
      <c r="C11" s="20" t="s">
        <v>171</v>
      </c>
      <c r="D11" s="21" t="s">
        <v>162</v>
      </c>
      <c r="E11" s="22" t="s">
        <v>156</v>
      </c>
      <c r="F11" s="23">
        <f t="shared" ref="F11:F74" si="1">H10+1</f>
        <v>1</v>
      </c>
      <c r="G11" s="24" t="s">
        <v>157</v>
      </c>
      <c r="H11" s="25"/>
    </row>
    <row r="12" spans="1:8" ht="31.5">
      <c r="A12" s="638"/>
      <c r="B12" s="635"/>
      <c r="C12" s="20" t="s">
        <v>173</v>
      </c>
      <c r="D12" s="21" t="s">
        <v>164</v>
      </c>
      <c r="E12" s="22" t="s">
        <v>156</v>
      </c>
      <c r="F12" s="23">
        <f t="shared" si="1"/>
        <v>1</v>
      </c>
      <c r="G12" s="24" t="s">
        <v>157</v>
      </c>
      <c r="H12" s="25"/>
    </row>
    <row r="13" spans="1:8" ht="31.5">
      <c r="A13" s="638"/>
      <c r="B13" s="635"/>
      <c r="C13" s="20" t="s">
        <v>276</v>
      </c>
      <c r="D13" s="21" t="s">
        <v>166</v>
      </c>
      <c r="E13" s="22" t="s">
        <v>156</v>
      </c>
      <c r="F13" s="23">
        <f t="shared" si="1"/>
        <v>1</v>
      </c>
      <c r="G13" s="24" t="s">
        <v>157</v>
      </c>
      <c r="H13" s="25"/>
    </row>
    <row r="14" spans="1:8" ht="31.5">
      <c r="A14" s="638"/>
      <c r="B14" s="635"/>
      <c r="C14" s="20" t="s">
        <v>277</v>
      </c>
      <c r="D14" s="21" t="s">
        <v>167</v>
      </c>
      <c r="E14" s="22" t="s">
        <v>156</v>
      </c>
      <c r="F14" s="23">
        <f t="shared" si="1"/>
        <v>1</v>
      </c>
      <c r="G14" s="24" t="s">
        <v>157</v>
      </c>
      <c r="H14" s="25"/>
    </row>
    <row r="15" spans="1:8" ht="31.5">
      <c r="A15" s="639"/>
      <c r="B15" s="636"/>
      <c r="C15" s="20" t="s">
        <v>278</v>
      </c>
      <c r="D15" s="21" t="s">
        <v>168</v>
      </c>
      <c r="E15" s="22" t="s">
        <v>156</v>
      </c>
      <c r="F15" s="23">
        <f t="shared" si="1"/>
        <v>1</v>
      </c>
      <c r="G15" s="24" t="s">
        <v>157</v>
      </c>
      <c r="H15" s="25"/>
    </row>
    <row r="16" spans="1:8" ht="47.25">
      <c r="A16" s="26" t="s">
        <v>169</v>
      </c>
      <c r="B16" s="27" t="s">
        <v>170</v>
      </c>
      <c r="C16" s="20" t="s">
        <v>171</v>
      </c>
      <c r="D16" s="21" t="s">
        <v>172</v>
      </c>
      <c r="E16" s="22" t="s">
        <v>156</v>
      </c>
      <c r="F16" s="23">
        <f t="shared" si="1"/>
        <v>1</v>
      </c>
      <c r="G16" s="24" t="s">
        <v>157</v>
      </c>
      <c r="H16" s="25"/>
    </row>
    <row r="17" spans="1:8" ht="47.25">
      <c r="A17" s="26" t="s">
        <v>169</v>
      </c>
      <c r="B17" s="27" t="s">
        <v>170</v>
      </c>
      <c r="C17" s="20" t="s">
        <v>173</v>
      </c>
      <c r="D17" s="21" t="s">
        <v>174</v>
      </c>
      <c r="E17" s="22" t="s">
        <v>156</v>
      </c>
      <c r="F17" s="23">
        <f t="shared" si="1"/>
        <v>1</v>
      </c>
      <c r="G17" s="24" t="s">
        <v>157</v>
      </c>
      <c r="H17" s="25"/>
    </row>
    <row r="18" spans="1:8" ht="31.5">
      <c r="A18" s="26" t="s">
        <v>175</v>
      </c>
      <c r="B18" s="27" t="s">
        <v>176</v>
      </c>
      <c r="C18" s="28" t="s">
        <v>175</v>
      </c>
      <c r="D18" s="29" t="s">
        <v>176</v>
      </c>
      <c r="E18" s="22" t="s">
        <v>156</v>
      </c>
      <c r="F18" s="23">
        <f t="shared" si="1"/>
        <v>1</v>
      </c>
      <c r="G18" s="24" t="s">
        <v>157</v>
      </c>
      <c r="H18" s="25"/>
    </row>
    <row r="19" spans="1:8" ht="47.25">
      <c r="A19" s="26" t="s">
        <v>177</v>
      </c>
      <c r="B19" s="27" t="s">
        <v>142</v>
      </c>
      <c r="C19" s="28" t="s">
        <v>177</v>
      </c>
      <c r="D19" s="29" t="s">
        <v>142</v>
      </c>
      <c r="E19" s="22" t="s">
        <v>156</v>
      </c>
      <c r="F19" s="23">
        <f t="shared" si="1"/>
        <v>1</v>
      </c>
      <c r="G19" s="24" t="s">
        <v>157</v>
      </c>
      <c r="H19" s="25"/>
    </row>
    <row r="20" spans="1:8" ht="31.5">
      <c r="A20" s="26" t="s">
        <v>178</v>
      </c>
      <c r="B20" s="27" t="s">
        <v>143</v>
      </c>
      <c r="C20" s="28" t="s">
        <v>178</v>
      </c>
      <c r="D20" s="29" t="s">
        <v>143</v>
      </c>
      <c r="E20" s="22" t="s">
        <v>156</v>
      </c>
      <c r="F20" s="23">
        <f t="shared" si="1"/>
        <v>1</v>
      </c>
      <c r="G20" s="24" t="s">
        <v>157</v>
      </c>
      <c r="H20" s="25"/>
    </row>
    <row r="21" spans="1:8" ht="31.5">
      <c r="A21" s="26" t="s">
        <v>179</v>
      </c>
      <c r="B21" s="27" t="s">
        <v>180</v>
      </c>
      <c r="C21" s="28" t="s">
        <v>179</v>
      </c>
      <c r="D21" s="29" t="s">
        <v>180</v>
      </c>
      <c r="E21" s="22" t="s">
        <v>156</v>
      </c>
      <c r="F21" s="23">
        <f t="shared" si="1"/>
        <v>1</v>
      </c>
      <c r="G21" s="24" t="s">
        <v>157</v>
      </c>
      <c r="H21" s="25"/>
    </row>
    <row r="22" spans="1:8" ht="63">
      <c r="A22" s="26" t="s">
        <v>181</v>
      </c>
      <c r="B22" s="27" t="s">
        <v>144</v>
      </c>
      <c r="C22" s="28" t="s">
        <v>181</v>
      </c>
      <c r="D22" s="29" t="s">
        <v>144</v>
      </c>
      <c r="E22" s="22" t="s">
        <v>156</v>
      </c>
      <c r="F22" s="23">
        <f t="shared" si="1"/>
        <v>1</v>
      </c>
      <c r="G22" s="24" t="s">
        <v>157</v>
      </c>
      <c r="H22" s="25"/>
    </row>
    <row r="23" spans="1:8" ht="94.5">
      <c r="A23" s="26" t="s">
        <v>78</v>
      </c>
      <c r="B23" s="27" t="s">
        <v>182</v>
      </c>
      <c r="C23" s="28" t="s">
        <v>78</v>
      </c>
      <c r="D23" s="29" t="s">
        <v>182</v>
      </c>
      <c r="E23" s="22" t="s">
        <v>156</v>
      </c>
      <c r="F23" s="23">
        <f t="shared" si="1"/>
        <v>1</v>
      </c>
      <c r="G23" s="24" t="s">
        <v>157</v>
      </c>
      <c r="H23" s="25"/>
    </row>
    <row r="24" spans="1:8" ht="94.5">
      <c r="A24" s="26" t="s">
        <v>183</v>
      </c>
      <c r="B24" s="27" t="s">
        <v>184</v>
      </c>
      <c r="C24" s="28" t="s">
        <v>183</v>
      </c>
      <c r="D24" s="29" t="s">
        <v>185</v>
      </c>
      <c r="E24" s="22" t="s">
        <v>156</v>
      </c>
      <c r="F24" s="23">
        <f t="shared" si="1"/>
        <v>1</v>
      </c>
      <c r="G24" s="24" t="s">
        <v>157</v>
      </c>
      <c r="H24" s="25"/>
    </row>
    <row r="25" spans="1:8" ht="47.25">
      <c r="A25" s="26" t="s">
        <v>186</v>
      </c>
      <c r="B25" s="27" t="s">
        <v>187</v>
      </c>
      <c r="C25" s="20" t="s">
        <v>188</v>
      </c>
      <c r="D25" s="21" t="s">
        <v>189</v>
      </c>
      <c r="E25" s="22" t="s">
        <v>156</v>
      </c>
      <c r="F25" s="23">
        <f t="shared" si="1"/>
        <v>1</v>
      </c>
      <c r="G25" s="24" t="s">
        <v>157</v>
      </c>
      <c r="H25" s="25"/>
    </row>
    <row r="26" spans="1:8" ht="47.25">
      <c r="A26" s="26" t="s">
        <v>186</v>
      </c>
      <c r="B26" s="27" t="s">
        <v>187</v>
      </c>
      <c r="C26" s="20" t="s">
        <v>190</v>
      </c>
      <c r="D26" s="21" t="s">
        <v>191</v>
      </c>
      <c r="E26" s="22" t="s">
        <v>156</v>
      </c>
      <c r="F26" s="23">
        <f t="shared" si="1"/>
        <v>1</v>
      </c>
      <c r="G26" s="24" t="s">
        <v>157</v>
      </c>
      <c r="H26" s="25"/>
    </row>
    <row r="27" spans="1:8" ht="47.25">
      <c r="A27" s="26" t="s">
        <v>186</v>
      </c>
      <c r="B27" s="27" t="s">
        <v>187</v>
      </c>
      <c r="C27" s="20" t="s">
        <v>192</v>
      </c>
      <c r="D27" s="21" t="s">
        <v>193</v>
      </c>
      <c r="E27" s="22" t="s">
        <v>156</v>
      </c>
      <c r="F27" s="23">
        <f t="shared" si="1"/>
        <v>1</v>
      </c>
      <c r="G27" s="24" t="s">
        <v>157</v>
      </c>
      <c r="H27" s="25"/>
    </row>
    <row r="28" spans="1:8" ht="47.25">
      <c r="A28" s="26" t="s">
        <v>186</v>
      </c>
      <c r="B28" s="27" t="s">
        <v>187</v>
      </c>
      <c r="C28" s="20" t="s">
        <v>194</v>
      </c>
      <c r="D28" s="21" t="s">
        <v>195</v>
      </c>
      <c r="E28" s="22" t="s">
        <v>156</v>
      </c>
      <c r="F28" s="23">
        <f t="shared" si="1"/>
        <v>1</v>
      </c>
      <c r="G28" s="24" t="s">
        <v>157</v>
      </c>
      <c r="H28" s="25"/>
    </row>
    <row r="29" spans="1:8" ht="157.5">
      <c r="A29" s="26" t="s">
        <v>196</v>
      </c>
      <c r="B29" s="27" t="s">
        <v>197</v>
      </c>
      <c r="C29" s="28" t="s">
        <v>196</v>
      </c>
      <c r="D29" s="29" t="s">
        <v>197</v>
      </c>
      <c r="E29" s="22" t="s">
        <v>156</v>
      </c>
      <c r="F29" s="23">
        <f t="shared" si="1"/>
        <v>1</v>
      </c>
      <c r="G29" s="24" t="s">
        <v>157</v>
      </c>
      <c r="H29" s="25"/>
    </row>
    <row r="30" spans="1:8" ht="204.75">
      <c r="A30" s="26" t="s">
        <v>198</v>
      </c>
      <c r="B30" s="27" t="s">
        <v>199</v>
      </c>
      <c r="C30" s="28" t="s">
        <v>198</v>
      </c>
      <c r="D30" s="29" t="s">
        <v>199</v>
      </c>
      <c r="E30" s="22" t="s">
        <v>156</v>
      </c>
      <c r="F30" s="23">
        <f t="shared" si="1"/>
        <v>1</v>
      </c>
      <c r="G30" s="24" t="s">
        <v>157</v>
      </c>
      <c r="H30" s="25"/>
    </row>
    <row r="31" spans="1:8" ht="189">
      <c r="A31" s="26" t="s">
        <v>200</v>
      </c>
      <c r="B31" s="27" t="s">
        <v>201</v>
      </c>
      <c r="C31" s="28" t="s">
        <v>200</v>
      </c>
      <c r="D31" s="29" t="s">
        <v>201</v>
      </c>
      <c r="E31" s="22" t="s">
        <v>156</v>
      </c>
      <c r="F31" s="30">
        <f t="shared" si="1"/>
        <v>1</v>
      </c>
      <c r="G31" s="31" t="s">
        <v>157</v>
      </c>
      <c r="H31" s="32"/>
    </row>
    <row r="32" spans="1:8" ht="94.5">
      <c r="A32" s="26" t="s">
        <v>202</v>
      </c>
      <c r="B32" s="27" t="s">
        <v>203</v>
      </c>
      <c r="C32" s="20" t="s">
        <v>204</v>
      </c>
      <c r="D32" s="21" t="s">
        <v>205</v>
      </c>
      <c r="E32" s="22" t="s">
        <v>156</v>
      </c>
      <c r="F32" s="23">
        <f t="shared" si="1"/>
        <v>1</v>
      </c>
      <c r="G32" s="24" t="s">
        <v>157</v>
      </c>
      <c r="H32" s="25"/>
    </row>
    <row r="33" spans="1:8" ht="94.5">
      <c r="A33" s="26" t="s">
        <v>202</v>
      </c>
      <c r="B33" s="27" t="s">
        <v>203</v>
      </c>
      <c r="C33" s="20" t="s">
        <v>206</v>
      </c>
      <c r="D33" s="21" t="s">
        <v>207</v>
      </c>
      <c r="E33" s="22" t="s">
        <v>156</v>
      </c>
      <c r="F33" s="23">
        <f t="shared" si="1"/>
        <v>1</v>
      </c>
      <c r="G33" s="24" t="s">
        <v>157</v>
      </c>
      <c r="H33" s="25"/>
    </row>
    <row r="34" spans="1:8" ht="94.5">
      <c r="A34" s="26" t="s">
        <v>202</v>
      </c>
      <c r="B34" s="27" t="s">
        <v>203</v>
      </c>
      <c r="C34" s="20" t="s">
        <v>208</v>
      </c>
      <c r="D34" s="21" t="s">
        <v>209</v>
      </c>
      <c r="E34" s="22" t="s">
        <v>156</v>
      </c>
      <c r="F34" s="23">
        <f t="shared" si="1"/>
        <v>1</v>
      </c>
      <c r="G34" s="24" t="s">
        <v>157</v>
      </c>
      <c r="H34" s="25"/>
    </row>
    <row r="35" spans="1:8" ht="94.5">
      <c r="A35" s="26" t="s">
        <v>202</v>
      </c>
      <c r="B35" s="27" t="s">
        <v>203</v>
      </c>
      <c r="C35" s="20" t="s">
        <v>210</v>
      </c>
      <c r="D35" s="21" t="s">
        <v>211</v>
      </c>
      <c r="E35" s="22" t="s">
        <v>156</v>
      </c>
      <c r="F35" s="30">
        <f t="shared" si="1"/>
        <v>1</v>
      </c>
      <c r="G35" s="31" t="s">
        <v>157</v>
      </c>
      <c r="H35" s="32"/>
    </row>
    <row r="36" spans="1:8" ht="110.25">
      <c r="A36" s="26" t="s">
        <v>212</v>
      </c>
      <c r="B36" s="27" t="s">
        <v>213</v>
      </c>
      <c r="C36" s="20" t="s">
        <v>214</v>
      </c>
      <c r="D36" s="21" t="s">
        <v>215</v>
      </c>
      <c r="E36" s="22" t="s">
        <v>156</v>
      </c>
      <c r="F36" s="30">
        <f t="shared" si="1"/>
        <v>1</v>
      </c>
      <c r="G36" s="31" t="s">
        <v>157</v>
      </c>
      <c r="H36" s="32"/>
    </row>
    <row r="37" spans="1:8" ht="110.25">
      <c r="A37" s="26" t="s">
        <v>212</v>
      </c>
      <c r="B37" s="27" t="s">
        <v>213</v>
      </c>
      <c r="C37" s="20" t="s">
        <v>216</v>
      </c>
      <c r="D37" s="21" t="s">
        <v>217</v>
      </c>
      <c r="E37" s="22" t="s">
        <v>156</v>
      </c>
      <c r="F37" s="30">
        <f t="shared" si="1"/>
        <v>1</v>
      </c>
      <c r="G37" s="31" t="s">
        <v>157</v>
      </c>
      <c r="H37" s="32"/>
    </row>
    <row r="38" spans="1:8" ht="110.25">
      <c r="A38" s="26" t="s">
        <v>212</v>
      </c>
      <c r="B38" s="27" t="s">
        <v>213</v>
      </c>
      <c r="C38" s="20" t="s">
        <v>218</v>
      </c>
      <c r="D38" s="21" t="s">
        <v>219</v>
      </c>
      <c r="E38" s="22" t="s">
        <v>156</v>
      </c>
      <c r="F38" s="23">
        <f t="shared" si="1"/>
        <v>1</v>
      </c>
      <c r="G38" s="24" t="s">
        <v>157</v>
      </c>
      <c r="H38" s="25"/>
    </row>
    <row r="39" spans="1:8" ht="63">
      <c r="A39" s="26" t="s">
        <v>220</v>
      </c>
      <c r="B39" s="27" t="s">
        <v>145</v>
      </c>
      <c r="C39" s="28" t="s">
        <v>220</v>
      </c>
      <c r="D39" s="29" t="s">
        <v>145</v>
      </c>
      <c r="E39" s="22" t="s">
        <v>156</v>
      </c>
      <c r="F39" s="23">
        <f t="shared" si="1"/>
        <v>1</v>
      </c>
      <c r="G39" s="24" t="s">
        <v>157</v>
      </c>
      <c r="H39" s="25"/>
    </row>
    <row r="40" spans="1:8" ht="94.5">
      <c r="A40" s="26" t="s">
        <v>221</v>
      </c>
      <c r="B40" s="27" t="s">
        <v>222</v>
      </c>
      <c r="C40" s="20" t="s">
        <v>223</v>
      </c>
      <c r="D40" s="21" t="s">
        <v>224</v>
      </c>
      <c r="E40" s="22" t="s">
        <v>156</v>
      </c>
      <c r="F40" s="23">
        <f t="shared" si="1"/>
        <v>1</v>
      </c>
      <c r="G40" s="24" t="s">
        <v>157</v>
      </c>
      <c r="H40" s="25"/>
    </row>
    <row r="41" spans="1:8" ht="94.5">
      <c r="A41" s="26" t="s">
        <v>221</v>
      </c>
      <c r="B41" s="27" t="s">
        <v>222</v>
      </c>
      <c r="C41" s="20" t="s">
        <v>225</v>
      </c>
      <c r="D41" s="21" t="s">
        <v>226</v>
      </c>
      <c r="E41" s="22" t="s">
        <v>156</v>
      </c>
      <c r="F41" s="23">
        <f t="shared" si="1"/>
        <v>1</v>
      </c>
      <c r="G41" s="24" t="s">
        <v>157</v>
      </c>
      <c r="H41" s="25"/>
    </row>
    <row r="42" spans="1:8" ht="94.5">
      <c r="A42" s="26" t="s">
        <v>221</v>
      </c>
      <c r="B42" s="27" t="s">
        <v>222</v>
      </c>
      <c r="C42" s="20" t="s">
        <v>227</v>
      </c>
      <c r="D42" s="21" t="s">
        <v>228</v>
      </c>
      <c r="E42" s="22" t="s">
        <v>156</v>
      </c>
      <c r="F42" s="23">
        <f t="shared" si="1"/>
        <v>1</v>
      </c>
      <c r="G42" s="24" t="s">
        <v>157</v>
      </c>
      <c r="H42" s="25"/>
    </row>
    <row r="43" spans="1:8" ht="94.5">
      <c r="A43" s="26" t="s">
        <v>221</v>
      </c>
      <c r="B43" s="27" t="s">
        <v>222</v>
      </c>
      <c r="C43" s="20" t="s">
        <v>229</v>
      </c>
      <c r="D43" s="21" t="s">
        <v>230</v>
      </c>
      <c r="E43" s="22" t="s">
        <v>156</v>
      </c>
      <c r="F43" s="23">
        <f t="shared" si="1"/>
        <v>1</v>
      </c>
      <c r="G43" s="24" t="s">
        <v>157</v>
      </c>
      <c r="H43" s="25"/>
    </row>
    <row r="44" spans="1:8" ht="63">
      <c r="A44" s="26" t="s">
        <v>231</v>
      </c>
      <c r="B44" s="27" t="s">
        <v>232</v>
      </c>
      <c r="C44" s="28" t="s">
        <v>231</v>
      </c>
      <c r="D44" s="29" t="s">
        <v>232</v>
      </c>
      <c r="E44" s="22" t="s">
        <v>156</v>
      </c>
      <c r="F44" s="23">
        <f t="shared" si="1"/>
        <v>1</v>
      </c>
      <c r="G44" s="24" t="s">
        <v>157</v>
      </c>
      <c r="H44" s="25"/>
    </row>
    <row r="45" spans="1:8" ht="47.25">
      <c r="A45" s="26" t="s">
        <v>233</v>
      </c>
      <c r="B45" s="27" t="s">
        <v>146</v>
      </c>
      <c r="C45" s="28" t="s">
        <v>233</v>
      </c>
      <c r="D45" s="29" t="s">
        <v>146</v>
      </c>
      <c r="E45" s="22" t="s">
        <v>156</v>
      </c>
      <c r="F45" s="23">
        <f t="shared" si="1"/>
        <v>1</v>
      </c>
      <c r="G45" s="24" t="s">
        <v>157</v>
      </c>
      <c r="H45" s="25"/>
    </row>
    <row r="46" spans="1:8" ht="110.25">
      <c r="A46" s="26" t="s">
        <v>234</v>
      </c>
      <c r="B46" s="27" t="s">
        <v>235</v>
      </c>
      <c r="C46" s="28" t="s">
        <v>234</v>
      </c>
      <c r="D46" s="29" t="s">
        <v>235</v>
      </c>
      <c r="E46" s="22" t="s">
        <v>156</v>
      </c>
      <c r="F46" s="23">
        <f t="shared" si="1"/>
        <v>1</v>
      </c>
      <c r="G46" s="24" t="s">
        <v>157</v>
      </c>
      <c r="H46" s="25"/>
    </row>
    <row r="47" spans="1:8" ht="78.75">
      <c r="A47" s="26" t="s">
        <v>236</v>
      </c>
      <c r="B47" s="27" t="s">
        <v>237</v>
      </c>
      <c r="C47" s="28" t="s">
        <v>236</v>
      </c>
      <c r="D47" s="29" t="s">
        <v>237</v>
      </c>
      <c r="E47" s="22" t="s">
        <v>156</v>
      </c>
      <c r="F47" s="23">
        <f t="shared" si="1"/>
        <v>1</v>
      </c>
      <c r="G47" s="24" t="s">
        <v>157</v>
      </c>
      <c r="H47" s="25"/>
    </row>
    <row r="48" spans="1:8" ht="94.5">
      <c r="A48" s="26" t="s">
        <v>238</v>
      </c>
      <c r="B48" s="27" t="s">
        <v>147</v>
      </c>
      <c r="C48" s="28" t="s">
        <v>238</v>
      </c>
      <c r="D48" s="29" t="s">
        <v>147</v>
      </c>
      <c r="E48" s="22" t="s">
        <v>156</v>
      </c>
      <c r="F48" s="23">
        <f t="shared" si="1"/>
        <v>1</v>
      </c>
      <c r="G48" s="24" t="s">
        <v>157</v>
      </c>
      <c r="H48" s="25"/>
    </row>
    <row r="49" spans="1:8" ht="63">
      <c r="A49" s="26" t="s">
        <v>239</v>
      </c>
      <c r="B49" s="27" t="s">
        <v>148</v>
      </c>
      <c r="C49" s="28" t="s">
        <v>239</v>
      </c>
      <c r="D49" s="29" t="s">
        <v>148</v>
      </c>
      <c r="E49" s="22" t="s">
        <v>156</v>
      </c>
      <c r="F49" s="23">
        <f t="shared" si="1"/>
        <v>1</v>
      </c>
      <c r="G49" s="24" t="s">
        <v>157</v>
      </c>
      <c r="H49" s="25"/>
    </row>
    <row r="50" spans="1:8" ht="63">
      <c r="A50" s="26" t="s">
        <v>240</v>
      </c>
      <c r="B50" s="27" t="s">
        <v>241</v>
      </c>
      <c r="C50" s="28" t="s">
        <v>240</v>
      </c>
      <c r="D50" s="29" t="s">
        <v>241</v>
      </c>
      <c r="E50" s="22" t="s">
        <v>156</v>
      </c>
      <c r="F50" s="23">
        <f t="shared" si="1"/>
        <v>1</v>
      </c>
      <c r="G50" s="24" t="s">
        <v>157</v>
      </c>
      <c r="H50" s="25"/>
    </row>
    <row r="51" spans="1:8" ht="110.25">
      <c r="A51" s="26" t="s">
        <v>242</v>
      </c>
      <c r="B51" s="27" t="s">
        <v>243</v>
      </c>
      <c r="C51" s="28" t="s">
        <v>242</v>
      </c>
      <c r="D51" s="29" t="s">
        <v>243</v>
      </c>
      <c r="E51" s="22" t="s">
        <v>156</v>
      </c>
      <c r="F51" s="23">
        <f t="shared" si="1"/>
        <v>1</v>
      </c>
      <c r="G51" s="24" t="s">
        <v>157</v>
      </c>
      <c r="H51" s="25"/>
    </row>
    <row r="52" spans="1:8" ht="63">
      <c r="A52" s="26" t="s">
        <v>244</v>
      </c>
      <c r="B52" s="27" t="s">
        <v>245</v>
      </c>
      <c r="C52" s="20" t="s">
        <v>246</v>
      </c>
      <c r="D52" s="21" t="s">
        <v>247</v>
      </c>
      <c r="E52" s="22" t="s">
        <v>156</v>
      </c>
      <c r="F52" s="23">
        <f t="shared" si="1"/>
        <v>1</v>
      </c>
      <c r="G52" s="24" t="s">
        <v>157</v>
      </c>
      <c r="H52" s="25"/>
    </row>
    <row r="53" spans="1:8" ht="63">
      <c r="A53" s="26" t="s">
        <v>244</v>
      </c>
      <c r="B53" s="27" t="s">
        <v>245</v>
      </c>
      <c r="C53" s="20" t="s">
        <v>248</v>
      </c>
      <c r="D53" s="21" t="s">
        <v>249</v>
      </c>
      <c r="E53" s="22" t="s">
        <v>156</v>
      </c>
      <c r="F53" s="23">
        <f t="shared" si="1"/>
        <v>1</v>
      </c>
      <c r="G53" s="24" t="s">
        <v>157</v>
      </c>
      <c r="H53" s="25"/>
    </row>
    <row r="54" spans="1:8" ht="63">
      <c r="A54" s="26" t="s">
        <v>244</v>
      </c>
      <c r="B54" s="27" t="s">
        <v>245</v>
      </c>
      <c r="C54" s="20" t="s">
        <v>250</v>
      </c>
      <c r="D54" s="21" t="s">
        <v>251</v>
      </c>
      <c r="E54" s="22" t="s">
        <v>156</v>
      </c>
      <c r="F54" s="23">
        <f t="shared" si="1"/>
        <v>1</v>
      </c>
      <c r="G54" s="24" t="s">
        <v>157</v>
      </c>
      <c r="H54" s="25"/>
    </row>
    <row r="55" spans="1:8" ht="63">
      <c r="A55" s="26" t="s">
        <v>244</v>
      </c>
      <c r="B55" s="27" t="s">
        <v>245</v>
      </c>
      <c r="C55" s="20" t="s">
        <v>252</v>
      </c>
      <c r="D55" s="21" t="s">
        <v>253</v>
      </c>
      <c r="E55" s="22" t="s">
        <v>156</v>
      </c>
      <c r="F55" s="23">
        <f t="shared" si="1"/>
        <v>1</v>
      </c>
      <c r="G55" s="24" t="s">
        <v>157</v>
      </c>
      <c r="H55" s="25"/>
    </row>
    <row r="56" spans="1:8" ht="63">
      <c r="A56" s="26" t="s">
        <v>244</v>
      </c>
      <c r="B56" s="27" t="s">
        <v>245</v>
      </c>
      <c r="C56" s="20" t="s">
        <v>254</v>
      </c>
      <c r="D56" s="21" t="s">
        <v>255</v>
      </c>
      <c r="E56" s="22" t="s">
        <v>156</v>
      </c>
      <c r="F56" s="23">
        <f t="shared" si="1"/>
        <v>1</v>
      </c>
      <c r="G56" s="24" t="s">
        <v>157</v>
      </c>
      <c r="H56" s="25"/>
    </row>
    <row r="57" spans="1:8" ht="63">
      <c r="A57" s="26" t="s">
        <v>244</v>
      </c>
      <c r="B57" s="27" t="s">
        <v>245</v>
      </c>
      <c r="C57" s="20" t="s">
        <v>256</v>
      </c>
      <c r="D57" s="21" t="s">
        <v>257</v>
      </c>
      <c r="E57" s="22" t="s">
        <v>156</v>
      </c>
      <c r="F57" s="23">
        <f t="shared" si="1"/>
        <v>1</v>
      </c>
      <c r="G57" s="24" t="s">
        <v>157</v>
      </c>
      <c r="H57" s="25"/>
    </row>
    <row r="58" spans="1:8" ht="63">
      <c r="A58" s="26" t="s">
        <v>244</v>
      </c>
      <c r="B58" s="27" t="s">
        <v>245</v>
      </c>
      <c r="C58" s="20" t="s">
        <v>258</v>
      </c>
      <c r="D58" s="21" t="s">
        <v>259</v>
      </c>
      <c r="E58" s="22" t="s">
        <v>156</v>
      </c>
      <c r="F58" s="23">
        <f t="shared" si="1"/>
        <v>1</v>
      </c>
      <c r="G58" s="24" t="s">
        <v>157</v>
      </c>
      <c r="H58" s="25"/>
    </row>
    <row r="59" spans="1:8" ht="63">
      <c r="A59" s="26" t="s">
        <v>244</v>
      </c>
      <c r="B59" s="27" t="s">
        <v>245</v>
      </c>
      <c r="C59" s="20" t="s">
        <v>260</v>
      </c>
      <c r="D59" s="21" t="s">
        <v>261</v>
      </c>
      <c r="E59" s="22" t="s">
        <v>156</v>
      </c>
      <c r="F59" s="23">
        <f t="shared" si="1"/>
        <v>1</v>
      </c>
      <c r="G59" s="24" t="s">
        <v>157</v>
      </c>
      <c r="H59" s="25"/>
    </row>
    <row r="60" spans="1:8" ht="63">
      <c r="A60" s="26" t="s">
        <v>244</v>
      </c>
      <c r="B60" s="27" t="s">
        <v>245</v>
      </c>
      <c r="C60" s="20" t="s">
        <v>262</v>
      </c>
      <c r="D60" s="21" t="s">
        <v>263</v>
      </c>
      <c r="E60" s="22" t="s">
        <v>156</v>
      </c>
      <c r="F60" s="23">
        <f t="shared" si="1"/>
        <v>1</v>
      </c>
      <c r="G60" s="24" t="s">
        <v>157</v>
      </c>
      <c r="H60" s="25"/>
    </row>
    <row r="61" spans="1:8" ht="63">
      <c r="A61" s="26" t="s">
        <v>244</v>
      </c>
      <c r="B61" s="27" t="s">
        <v>245</v>
      </c>
      <c r="C61" s="20" t="s">
        <v>264</v>
      </c>
      <c r="D61" s="21" t="s">
        <v>265</v>
      </c>
      <c r="E61" s="22" t="s">
        <v>156</v>
      </c>
      <c r="F61" s="23">
        <f t="shared" si="1"/>
        <v>1</v>
      </c>
      <c r="G61" s="24" t="s">
        <v>157</v>
      </c>
      <c r="H61" s="25"/>
    </row>
    <row r="62" spans="1:8" ht="63">
      <c r="A62" s="26" t="s">
        <v>244</v>
      </c>
      <c r="B62" s="27" t="s">
        <v>245</v>
      </c>
      <c r="C62" s="20" t="s">
        <v>266</v>
      </c>
      <c r="D62" s="21" t="s">
        <v>267</v>
      </c>
      <c r="E62" s="22" t="s">
        <v>156</v>
      </c>
      <c r="F62" s="23">
        <f t="shared" si="1"/>
        <v>1</v>
      </c>
      <c r="G62" s="24" t="s">
        <v>157</v>
      </c>
      <c r="H62" s="25"/>
    </row>
    <row r="63" spans="1:8" ht="63">
      <c r="A63" s="26" t="s">
        <v>244</v>
      </c>
      <c r="B63" s="27" t="s">
        <v>245</v>
      </c>
      <c r="C63" s="20" t="s">
        <v>268</v>
      </c>
      <c r="D63" s="21" t="s">
        <v>269</v>
      </c>
      <c r="E63" s="22" t="s">
        <v>156</v>
      </c>
      <c r="F63" s="23">
        <f t="shared" si="1"/>
        <v>1</v>
      </c>
      <c r="G63" s="24" t="s">
        <v>157</v>
      </c>
      <c r="H63" s="25"/>
    </row>
    <row r="64" spans="1:8" ht="63">
      <c r="A64" s="26" t="s">
        <v>244</v>
      </c>
      <c r="B64" s="27" t="s">
        <v>245</v>
      </c>
      <c r="C64" s="20" t="s">
        <v>270</v>
      </c>
      <c r="D64" s="21" t="s">
        <v>271</v>
      </c>
      <c r="E64" s="22" t="s">
        <v>156</v>
      </c>
      <c r="F64" s="23">
        <f t="shared" si="1"/>
        <v>1</v>
      </c>
      <c r="G64" s="24" t="s">
        <v>157</v>
      </c>
      <c r="H64" s="25"/>
    </row>
    <row r="65" spans="1:8" ht="63">
      <c r="A65" s="26" t="s">
        <v>244</v>
      </c>
      <c r="B65" s="27" t="s">
        <v>245</v>
      </c>
      <c r="C65" s="20" t="s">
        <v>272</v>
      </c>
      <c r="D65" s="21" t="s">
        <v>273</v>
      </c>
      <c r="E65" s="22" t="s">
        <v>156</v>
      </c>
      <c r="F65" s="23">
        <f t="shared" si="1"/>
        <v>1</v>
      </c>
      <c r="G65" s="24" t="s">
        <v>157</v>
      </c>
      <c r="H65" s="25"/>
    </row>
    <row r="66" spans="1:8" ht="63">
      <c r="A66" s="26" t="s">
        <v>274</v>
      </c>
      <c r="B66" s="27" t="s">
        <v>275</v>
      </c>
      <c r="C66" s="28" t="s">
        <v>274</v>
      </c>
      <c r="D66" s="29" t="s">
        <v>275</v>
      </c>
      <c r="E66" s="22" t="s">
        <v>156</v>
      </c>
      <c r="F66" s="23">
        <f t="shared" si="1"/>
        <v>1</v>
      </c>
      <c r="G66" s="24" t="s">
        <v>157</v>
      </c>
      <c r="H66" s="25"/>
    </row>
    <row r="67" spans="1:8" ht="31.5">
      <c r="A67" s="26"/>
      <c r="B67" s="27"/>
      <c r="C67" s="20"/>
      <c r="D67" s="21"/>
      <c r="E67" s="22" t="s">
        <v>156</v>
      </c>
      <c r="F67" s="23">
        <f t="shared" si="1"/>
        <v>1</v>
      </c>
      <c r="G67" s="24" t="s">
        <v>157</v>
      </c>
      <c r="H67" s="25"/>
    </row>
    <row r="68" spans="1:8" ht="31.5">
      <c r="A68" s="26"/>
      <c r="B68" s="27"/>
      <c r="C68" s="20"/>
      <c r="D68" s="21"/>
      <c r="E68" s="22" t="s">
        <v>156</v>
      </c>
      <c r="F68" s="23">
        <f t="shared" si="1"/>
        <v>1</v>
      </c>
      <c r="G68" s="24" t="s">
        <v>157</v>
      </c>
      <c r="H68" s="25"/>
    </row>
    <row r="69" spans="1:8" ht="31.5">
      <c r="A69" s="26"/>
      <c r="B69" s="27"/>
      <c r="C69" s="20"/>
      <c r="D69" s="21"/>
      <c r="E69" s="22" t="s">
        <v>156</v>
      </c>
      <c r="F69" s="23">
        <f t="shared" si="1"/>
        <v>1</v>
      </c>
      <c r="G69" s="24" t="s">
        <v>157</v>
      </c>
      <c r="H69" s="25"/>
    </row>
    <row r="70" spans="1:8" ht="31.5">
      <c r="A70" s="26"/>
      <c r="B70" s="27"/>
      <c r="C70" s="20"/>
      <c r="D70" s="21"/>
      <c r="E70" s="22" t="s">
        <v>156</v>
      </c>
      <c r="F70" s="23">
        <f t="shared" si="1"/>
        <v>1</v>
      </c>
      <c r="G70" s="24" t="s">
        <v>157</v>
      </c>
      <c r="H70" s="25"/>
    </row>
    <row r="71" spans="1:8" ht="31.5">
      <c r="A71" s="26"/>
      <c r="B71" s="27"/>
      <c r="C71" s="20"/>
      <c r="D71" s="21"/>
      <c r="E71" s="22" t="s">
        <v>156</v>
      </c>
      <c r="F71" s="23">
        <f t="shared" si="1"/>
        <v>1</v>
      </c>
      <c r="G71" s="24" t="s">
        <v>157</v>
      </c>
      <c r="H71" s="25"/>
    </row>
    <row r="72" spans="1:8" ht="31.5">
      <c r="A72" s="26"/>
      <c r="B72" s="27"/>
      <c r="C72" s="20"/>
      <c r="D72" s="21"/>
      <c r="E72" s="22" t="s">
        <v>156</v>
      </c>
      <c r="F72" s="23">
        <f t="shared" si="1"/>
        <v>1</v>
      </c>
      <c r="G72" s="24" t="s">
        <v>157</v>
      </c>
      <c r="H72" s="25"/>
    </row>
    <row r="73" spans="1:8" ht="31.5">
      <c r="A73" s="26"/>
      <c r="B73" s="27"/>
      <c r="C73" s="20"/>
      <c r="D73" s="21"/>
      <c r="E73" s="22" t="s">
        <v>156</v>
      </c>
      <c r="F73" s="23">
        <f t="shared" si="1"/>
        <v>1</v>
      </c>
      <c r="G73" s="24" t="s">
        <v>157</v>
      </c>
      <c r="H73" s="25"/>
    </row>
    <row r="74" spans="1:8" ht="31.5">
      <c r="A74" s="26"/>
      <c r="B74" s="27"/>
      <c r="C74" s="20"/>
      <c r="D74" s="21"/>
      <c r="E74" s="22" t="s">
        <v>156</v>
      </c>
      <c r="F74" s="23">
        <f t="shared" si="1"/>
        <v>1</v>
      </c>
      <c r="G74" s="24" t="s">
        <v>157</v>
      </c>
      <c r="H74" s="25"/>
    </row>
    <row r="75" spans="1:8" ht="31.5">
      <c r="A75" s="26"/>
      <c r="B75" s="27"/>
      <c r="C75" s="20"/>
      <c r="D75" s="21"/>
      <c r="E75" s="22" t="s">
        <v>156</v>
      </c>
      <c r="F75" s="23">
        <f t="shared" ref="F75:F119" si="2">H74+1</f>
        <v>1</v>
      </c>
      <c r="G75" s="24" t="s">
        <v>157</v>
      </c>
      <c r="H75" s="25"/>
    </row>
    <row r="76" spans="1:8" ht="31.5">
      <c r="A76" s="26"/>
      <c r="B76" s="27"/>
      <c r="C76" s="20"/>
      <c r="D76" s="21"/>
      <c r="E76" s="22" t="s">
        <v>156</v>
      </c>
      <c r="F76" s="23">
        <f t="shared" si="2"/>
        <v>1</v>
      </c>
      <c r="G76" s="24" t="s">
        <v>157</v>
      </c>
      <c r="H76" s="25"/>
    </row>
    <row r="77" spans="1:8" ht="31.5">
      <c r="A77" s="26"/>
      <c r="B77" s="27"/>
      <c r="C77" s="20"/>
      <c r="D77" s="21"/>
      <c r="E77" s="22" t="s">
        <v>156</v>
      </c>
      <c r="F77" s="23">
        <f t="shared" si="2"/>
        <v>1</v>
      </c>
      <c r="G77" s="24" t="s">
        <v>157</v>
      </c>
      <c r="H77" s="25"/>
    </row>
    <row r="78" spans="1:8" ht="31.5">
      <c r="A78" s="26"/>
      <c r="B78" s="27"/>
      <c r="C78" s="20"/>
      <c r="D78" s="21"/>
      <c r="E78" s="22" t="s">
        <v>156</v>
      </c>
      <c r="F78" s="23">
        <f t="shared" si="2"/>
        <v>1</v>
      </c>
      <c r="G78" s="24" t="s">
        <v>157</v>
      </c>
      <c r="H78" s="25"/>
    </row>
    <row r="79" spans="1:8" ht="31.5">
      <c r="A79" s="26"/>
      <c r="B79" s="27"/>
      <c r="C79" s="20"/>
      <c r="D79" s="21"/>
      <c r="E79" s="22" t="s">
        <v>156</v>
      </c>
      <c r="F79" s="23">
        <f t="shared" si="2"/>
        <v>1</v>
      </c>
      <c r="G79" s="24" t="s">
        <v>157</v>
      </c>
      <c r="H79" s="25"/>
    </row>
    <row r="80" spans="1:8" ht="31.5">
      <c r="A80" s="26"/>
      <c r="B80" s="27"/>
      <c r="C80" s="20"/>
      <c r="D80" s="21"/>
      <c r="E80" s="22" t="s">
        <v>156</v>
      </c>
      <c r="F80" s="23">
        <f t="shared" si="2"/>
        <v>1</v>
      </c>
      <c r="G80" s="24" t="s">
        <v>157</v>
      </c>
      <c r="H80" s="25"/>
    </row>
    <row r="81" spans="1:8" ht="31.5">
      <c r="A81" s="26"/>
      <c r="B81" s="27"/>
      <c r="C81" s="20"/>
      <c r="D81" s="21"/>
      <c r="E81" s="22" t="s">
        <v>156</v>
      </c>
      <c r="F81" s="23">
        <f t="shared" si="2"/>
        <v>1</v>
      </c>
      <c r="G81" s="24" t="s">
        <v>157</v>
      </c>
      <c r="H81" s="25"/>
    </row>
    <row r="82" spans="1:8" ht="31.5">
      <c r="A82" s="26"/>
      <c r="B82" s="27"/>
      <c r="C82" s="20"/>
      <c r="D82" s="21"/>
      <c r="E82" s="22" t="s">
        <v>156</v>
      </c>
      <c r="F82" s="23">
        <f t="shared" si="2"/>
        <v>1</v>
      </c>
      <c r="G82" s="24" t="s">
        <v>157</v>
      </c>
      <c r="H82" s="25"/>
    </row>
    <row r="83" spans="1:8" ht="31.5">
      <c r="A83" s="26"/>
      <c r="B83" s="27"/>
      <c r="C83" s="20"/>
      <c r="D83" s="21"/>
      <c r="E83" s="22" t="s">
        <v>156</v>
      </c>
      <c r="F83" s="23">
        <f t="shared" si="2"/>
        <v>1</v>
      </c>
      <c r="G83" s="24" t="s">
        <v>157</v>
      </c>
      <c r="H83" s="25"/>
    </row>
    <row r="84" spans="1:8" ht="31.5">
      <c r="A84" s="26"/>
      <c r="B84" s="27"/>
      <c r="C84" s="20"/>
      <c r="D84" s="21"/>
      <c r="E84" s="22" t="s">
        <v>156</v>
      </c>
      <c r="F84" s="23">
        <f t="shared" si="2"/>
        <v>1</v>
      </c>
      <c r="G84" s="24" t="s">
        <v>157</v>
      </c>
      <c r="H84" s="25"/>
    </row>
    <row r="85" spans="1:8" ht="31.5">
      <c r="A85" s="26"/>
      <c r="B85" s="27"/>
      <c r="C85" s="20"/>
      <c r="D85" s="21"/>
      <c r="E85" s="22" t="s">
        <v>156</v>
      </c>
      <c r="F85" s="23">
        <f t="shared" si="2"/>
        <v>1</v>
      </c>
      <c r="G85" s="24" t="s">
        <v>157</v>
      </c>
      <c r="H85" s="25"/>
    </row>
    <row r="86" spans="1:8" ht="31.5">
      <c r="A86" s="26"/>
      <c r="B86" s="27"/>
      <c r="C86" s="20"/>
      <c r="D86" s="21"/>
      <c r="E86" s="22" t="s">
        <v>156</v>
      </c>
      <c r="F86" s="23">
        <f t="shared" si="2"/>
        <v>1</v>
      </c>
      <c r="G86" s="24" t="s">
        <v>157</v>
      </c>
      <c r="H86" s="25"/>
    </row>
    <row r="87" spans="1:8" ht="31.5">
      <c r="A87" s="26"/>
      <c r="B87" s="27"/>
      <c r="C87" s="20"/>
      <c r="D87" s="21"/>
      <c r="E87" s="22" t="s">
        <v>156</v>
      </c>
      <c r="F87" s="23">
        <f t="shared" si="2"/>
        <v>1</v>
      </c>
      <c r="G87" s="24" t="s">
        <v>157</v>
      </c>
      <c r="H87" s="25"/>
    </row>
    <row r="88" spans="1:8" ht="31.5">
      <c r="A88" s="26"/>
      <c r="B88" s="27"/>
      <c r="C88" s="20"/>
      <c r="D88" s="21"/>
      <c r="E88" s="22" t="s">
        <v>156</v>
      </c>
      <c r="F88" s="23">
        <f t="shared" si="2"/>
        <v>1</v>
      </c>
      <c r="G88" s="24" t="s">
        <v>157</v>
      </c>
      <c r="H88" s="25"/>
    </row>
    <row r="89" spans="1:8" ht="31.5">
      <c r="A89" s="26"/>
      <c r="B89" s="27"/>
      <c r="C89" s="20"/>
      <c r="D89" s="21"/>
      <c r="E89" s="22" t="s">
        <v>156</v>
      </c>
      <c r="F89" s="23">
        <f t="shared" si="2"/>
        <v>1</v>
      </c>
      <c r="G89" s="24" t="s">
        <v>157</v>
      </c>
      <c r="H89" s="25"/>
    </row>
    <row r="90" spans="1:8" ht="31.5">
      <c r="A90" s="26"/>
      <c r="B90" s="27"/>
      <c r="C90" s="20"/>
      <c r="D90" s="21"/>
      <c r="E90" s="22" t="s">
        <v>156</v>
      </c>
      <c r="F90" s="23">
        <f t="shared" si="2"/>
        <v>1</v>
      </c>
      <c r="G90" s="24" t="s">
        <v>157</v>
      </c>
      <c r="H90" s="25"/>
    </row>
    <row r="91" spans="1:8" ht="31.5">
      <c r="A91" s="26"/>
      <c r="B91" s="27"/>
      <c r="C91" s="20"/>
      <c r="D91" s="21"/>
      <c r="E91" s="22" t="s">
        <v>156</v>
      </c>
      <c r="F91" s="23">
        <f t="shared" si="2"/>
        <v>1</v>
      </c>
      <c r="G91" s="24" t="s">
        <v>157</v>
      </c>
      <c r="H91" s="25"/>
    </row>
    <row r="92" spans="1:8" ht="31.5">
      <c r="A92" s="26"/>
      <c r="B92" s="27"/>
      <c r="C92" s="20"/>
      <c r="D92" s="21"/>
      <c r="E92" s="22" t="s">
        <v>156</v>
      </c>
      <c r="F92" s="23">
        <f t="shared" si="2"/>
        <v>1</v>
      </c>
      <c r="G92" s="24" t="s">
        <v>157</v>
      </c>
      <c r="H92" s="25"/>
    </row>
    <row r="93" spans="1:8" ht="31.5">
      <c r="A93" s="26"/>
      <c r="B93" s="27"/>
      <c r="C93" s="20"/>
      <c r="D93" s="21"/>
      <c r="E93" s="22" t="s">
        <v>156</v>
      </c>
      <c r="F93" s="23">
        <f t="shared" si="2"/>
        <v>1</v>
      </c>
      <c r="G93" s="24" t="s">
        <v>157</v>
      </c>
      <c r="H93" s="25"/>
    </row>
    <row r="94" spans="1:8" ht="31.5">
      <c r="A94" s="26"/>
      <c r="B94" s="27"/>
      <c r="C94" s="20"/>
      <c r="D94" s="21"/>
      <c r="E94" s="22" t="s">
        <v>156</v>
      </c>
      <c r="F94" s="23">
        <f t="shared" si="2"/>
        <v>1</v>
      </c>
      <c r="G94" s="24" t="s">
        <v>157</v>
      </c>
      <c r="H94" s="25"/>
    </row>
    <row r="95" spans="1:8" ht="31.5">
      <c r="A95" s="26"/>
      <c r="B95" s="27"/>
      <c r="C95" s="20"/>
      <c r="D95" s="21"/>
      <c r="E95" s="22" t="s">
        <v>156</v>
      </c>
      <c r="F95" s="23">
        <f t="shared" si="2"/>
        <v>1</v>
      </c>
      <c r="G95" s="24" t="s">
        <v>157</v>
      </c>
      <c r="H95" s="25"/>
    </row>
    <row r="96" spans="1:8" ht="31.5">
      <c r="A96" s="26"/>
      <c r="B96" s="27"/>
      <c r="C96" s="20"/>
      <c r="D96" s="21"/>
      <c r="E96" s="22" t="s">
        <v>156</v>
      </c>
      <c r="F96" s="23">
        <f t="shared" si="2"/>
        <v>1</v>
      </c>
      <c r="G96" s="24" t="s">
        <v>157</v>
      </c>
      <c r="H96" s="25"/>
    </row>
    <row r="97" spans="1:8" ht="31.5">
      <c r="A97" s="26"/>
      <c r="B97" s="27"/>
      <c r="C97" s="20"/>
      <c r="D97" s="21"/>
      <c r="E97" s="22" t="s">
        <v>156</v>
      </c>
      <c r="F97" s="23">
        <f t="shared" si="2"/>
        <v>1</v>
      </c>
      <c r="G97" s="24" t="s">
        <v>157</v>
      </c>
      <c r="H97" s="25"/>
    </row>
    <row r="98" spans="1:8" ht="31.5">
      <c r="A98" s="26"/>
      <c r="B98" s="27"/>
      <c r="C98" s="20"/>
      <c r="D98" s="21"/>
      <c r="E98" s="22" t="s">
        <v>156</v>
      </c>
      <c r="F98" s="23">
        <f t="shared" si="2"/>
        <v>1</v>
      </c>
      <c r="G98" s="24" t="s">
        <v>157</v>
      </c>
      <c r="H98" s="25"/>
    </row>
    <row r="99" spans="1:8" ht="31.5">
      <c r="A99" s="26"/>
      <c r="B99" s="27"/>
      <c r="C99" s="20"/>
      <c r="D99" s="21"/>
      <c r="E99" s="22" t="s">
        <v>156</v>
      </c>
      <c r="F99" s="23">
        <f t="shared" si="2"/>
        <v>1</v>
      </c>
      <c r="G99" s="24" t="s">
        <v>157</v>
      </c>
      <c r="H99" s="25"/>
    </row>
    <row r="100" spans="1:8" ht="31.5">
      <c r="A100" s="26"/>
      <c r="B100" s="27"/>
      <c r="C100" s="20"/>
      <c r="D100" s="21"/>
      <c r="E100" s="22" t="s">
        <v>156</v>
      </c>
      <c r="F100" s="23">
        <f t="shared" si="2"/>
        <v>1</v>
      </c>
      <c r="G100" s="24" t="s">
        <v>157</v>
      </c>
      <c r="H100" s="25"/>
    </row>
    <row r="101" spans="1:8" ht="31.5">
      <c r="A101" s="26"/>
      <c r="B101" s="27"/>
      <c r="C101" s="20"/>
      <c r="D101" s="21"/>
      <c r="E101" s="22" t="s">
        <v>156</v>
      </c>
      <c r="F101" s="23">
        <f t="shared" si="2"/>
        <v>1</v>
      </c>
      <c r="G101" s="24" t="s">
        <v>157</v>
      </c>
      <c r="H101" s="25"/>
    </row>
    <row r="102" spans="1:8" ht="31.5">
      <c r="A102" s="26"/>
      <c r="B102" s="27"/>
      <c r="C102" s="20"/>
      <c r="D102" s="21"/>
      <c r="E102" s="22" t="s">
        <v>156</v>
      </c>
      <c r="F102" s="23">
        <f t="shared" si="2"/>
        <v>1</v>
      </c>
      <c r="G102" s="24" t="s">
        <v>157</v>
      </c>
      <c r="H102" s="25"/>
    </row>
    <row r="103" spans="1:8" ht="31.5">
      <c r="A103" s="26"/>
      <c r="B103" s="27"/>
      <c r="C103" s="20"/>
      <c r="D103" s="21"/>
      <c r="E103" s="22" t="s">
        <v>156</v>
      </c>
      <c r="F103" s="23">
        <f t="shared" si="2"/>
        <v>1</v>
      </c>
      <c r="G103" s="24" t="s">
        <v>157</v>
      </c>
      <c r="H103" s="25"/>
    </row>
    <row r="104" spans="1:8" ht="31.5">
      <c r="A104" s="26"/>
      <c r="B104" s="27"/>
      <c r="C104" s="20"/>
      <c r="D104" s="21"/>
      <c r="E104" s="22" t="s">
        <v>156</v>
      </c>
      <c r="F104" s="23">
        <f t="shared" si="2"/>
        <v>1</v>
      </c>
      <c r="G104" s="24" t="s">
        <v>157</v>
      </c>
      <c r="H104" s="25"/>
    </row>
    <row r="105" spans="1:8" ht="31.5">
      <c r="A105" s="26"/>
      <c r="B105" s="27"/>
      <c r="C105" s="20"/>
      <c r="D105" s="21"/>
      <c r="E105" s="22" t="s">
        <v>156</v>
      </c>
      <c r="F105" s="23">
        <f t="shared" si="2"/>
        <v>1</v>
      </c>
      <c r="G105" s="24" t="s">
        <v>157</v>
      </c>
      <c r="H105" s="25"/>
    </row>
    <row r="106" spans="1:8" ht="31.5">
      <c r="A106" s="26"/>
      <c r="B106" s="27"/>
      <c r="C106" s="20"/>
      <c r="D106" s="21"/>
      <c r="E106" s="22" t="s">
        <v>156</v>
      </c>
      <c r="F106" s="23">
        <f t="shared" si="2"/>
        <v>1</v>
      </c>
      <c r="G106" s="24" t="s">
        <v>157</v>
      </c>
      <c r="H106" s="25"/>
    </row>
    <row r="107" spans="1:8" ht="31.5">
      <c r="A107" s="26"/>
      <c r="B107" s="27"/>
      <c r="C107" s="20"/>
      <c r="D107" s="21"/>
      <c r="E107" s="22" t="s">
        <v>156</v>
      </c>
      <c r="F107" s="23">
        <f t="shared" si="2"/>
        <v>1</v>
      </c>
      <c r="G107" s="24" t="s">
        <v>157</v>
      </c>
      <c r="H107" s="25"/>
    </row>
    <row r="108" spans="1:8" ht="31.5">
      <c r="A108" s="26"/>
      <c r="B108" s="27"/>
      <c r="C108" s="20"/>
      <c r="D108" s="21"/>
      <c r="E108" s="22" t="s">
        <v>156</v>
      </c>
      <c r="F108" s="23">
        <f t="shared" si="2"/>
        <v>1</v>
      </c>
      <c r="G108" s="24" t="s">
        <v>157</v>
      </c>
      <c r="H108" s="25"/>
    </row>
    <row r="109" spans="1:8" ht="31.5">
      <c r="A109" s="26"/>
      <c r="B109" s="27"/>
      <c r="C109" s="20"/>
      <c r="D109" s="21"/>
      <c r="E109" s="22" t="s">
        <v>156</v>
      </c>
      <c r="F109" s="23">
        <f t="shared" si="2"/>
        <v>1</v>
      </c>
      <c r="G109" s="24" t="s">
        <v>157</v>
      </c>
      <c r="H109" s="25"/>
    </row>
    <row r="110" spans="1:8" ht="31.5">
      <c r="A110" s="26"/>
      <c r="B110" s="27"/>
      <c r="C110" s="20"/>
      <c r="D110" s="21"/>
      <c r="E110" s="22" t="s">
        <v>156</v>
      </c>
      <c r="F110" s="23">
        <f t="shared" si="2"/>
        <v>1</v>
      </c>
      <c r="G110" s="24" t="s">
        <v>157</v>
      </c>
      <c r="H110" s="25"/>
    </row>
    <row r="111" spans="1:8" ht="31.5">
      <c r="A111" s="26"/>
      <c r="B111" s="27"/>
      <c r="C111" s="20"/>
      <c r="D111" s="21"/>
      <c r="E111" s="22" t="s">
        <v>156</v>
      </c>
      <c r="F111" s="23">
        <f t="shared" si="2"/>
        <v>1</v>
      </c>
      <c r="G111" s="24" t="s">
        <v>157</v>
      </c>
      <c r="H111" s="25"/>
    </row>
    <row r="112" spans="1:8" ht="31.5">
      <c r="A112" s="26"/>
      <c r="B112" s="27"/>
      <c r="C112" s="20"/>
      <c r="D112" s="21"/>
      <c r="E112" s="22" t="s">
        <v>156</v>
      </c>
      <c r="F112" s="23">
        <f t="shared" si="2"/>
        <v>1</v>
      </c>
      <c r="G112" s="24" t="s">
        <v>157</v>
      </c>
      <c r="H112" s="25"/>
    </row>
    <row r="113" spans="1:8" ht="31.5">
      <c r="A113" s="26"/>
      <c r="B113" s="27"/>
      <c r="C113" s="20"/>
      <c r="D113" s="21"/>
      <c r="E113" s="22" t="s">
        <v>156</v>
      </c>
      <c r="F113" s="23">
        <f t="shared" si="2"/>
        <v>1</v>
      </c>
      <c r="G113" s="24" t="s">
        <v>157</v>
      </c>
      <c r="H113" s="25"/>
    </row>
    <row r="114" spans="1:8" ht="31.5">
      <c r="A114" s="26"/>
      <c r="B114" s="27"/>
      <c r="C114" s="20"/>
      <c r="D114" s="21"/>
      <c r="E114" s="22" t="s">
        <v>156</v>
      </c>
      <c r="F114" s="23">
        <f t="shared" si="2"/>
        <v>1</v>
      </c>
      <c r="G114" s="24" t="s">
        <v>157</v>
      </c>
      <c r="H114" s="25"/>
    </row>
    <row r="115" spans="1:8" ht="31.5">
      <c r="A115" s="26"/>
      <c r="B115" s="27"/>
      <c r="C115" s="20"/>
      <c r="D115" s="21"/>
      <c r="E115" s="22" t="s">
        <v>156</v>
      </c>
      <c r="F115" s="23">
        <f t="shared" si="2"/>
        <v>1</v>
      </c>
      <c r="G115" s="24" t="s">
        <v>157</v>
      </c>
      <c r="H115" s="25"/>
    </row>
    <row r="116" spans="1:8" ht="31.5">
      <c r="A116" s="26"/>
      <c r="B116" s="27"/>
      <c r="C116" s="20"/>
      <c r="D116" s="21"/>
      <c r="E116" s="22" t="s">
        <v>156</v>
      </c>
      <c r="F116" s="23">
        <f t="shared" si="2"/>
        <v>1</v>
      </c>
      <c r="G116" s="24" t="s">
        <v>157</v>
      </c>
      <c r="H116" s="25"/>
    </row>
    <row r="117" spans="1:8" ht="31.5">
      <c r="A117" s="26"/>
      <c r="B117" s="27"/>
      <c r="C117" s="20"/>
      <c r="D117" s="21"/>
      <c r="E117" s="22" t="s">
        <v>156</v>
      </c>
      <c r="F117" s="23">
        <f t="shared" si="2"/>
        <v>1</v>
      </c>
      <c r="G117" s="24" t="s">
        <v>157</v>
      </c>
      <c r="H117" s="25"/>
    </row>
    <row r="118" spans="1:8" ht="31.5">
      <c r="A118" s="26"/>
      <c r="B118" s="27"/>
      <c r="C118" s="20"/>
      <c r="D118" s="21"/>
      <c r="E118" s="22" t="s">
        <v>156</v>
      </c>
      <c r="F118" s="23">
        <f t="shared" si="2"/>
        <v>1</v>
      </c>
      <c r="G118" s="24" t="s">
        <v>157</v>
      </c>
      <c r="H118" s="25"/>
    </row>
    <row r="119" spans="1:8" ht="31.5">
      <c r="A119" s="26"/>
      <c r="B119" s="27"/>
      <c r="C119" s="20"/>
      <c r="D119" s="21"/>
      <c r="E119" s="22" t="s">
        <v>156</v>
      </c>
      <c r="F119" s="23">
        <f t="shared" si="2"/>
        <v>1</v>
      </c>
      <c r="G119" s="24" t="s">
        <v>157</v>
      </c>
      <c r="H119" s="25"/>
    </row>
    <row r="120" spans="1:8" ht="15.75">
      <c r="A120" s="33"/>
      <c r="B120" s="34"/>
      <c r="C120" s="35"/>
      <c r="D120" s="36"/>
      <c r="E120" s="36"/>
      <c r="F120" s="37"/>
      <c r="G120" s="11"/>
      <c r="H120" s="38"/>
    </row>
    <row r="121" spans="1:8" ht="15.75">
      <c r="A121" s="33"/>
      <c r="B121" s="34"/>
      <c r="C121" s="35"/>
      <c r="D121" s="36"/>
      <c r="E121" s="36"/>
      <c r="F121" s="37"/>
      <c r="G121" s="11"/>
      <c r="H121" s="38"/>
    </row>
    <row r="122" spans="1:8" ht="15.75">
      <c r="A122" s="33"/>
      <c r="B122" s="34"/>
      <c r="C122" s="35"/>
      <c r="D122" s="36"/>
      <c r="E122" s="36"/>
      <c r="F122" s="37"/>
      <c r="G122" s="11"/>
      <c r="H122" s="38"/>
    </row>
    <row r="123" spans="1:8" ht="15.75">
      <c r="A123" s="33"/>
      <c r="B123" s="34"/>
      <c r="C123" s="35"/>
      <c r="D123" s="36"/>
      <c r="E123" s="36"/>
      <c r="F123" s="37"/>
      <c r="G123" s="11"/>
      <c r="H123" s="38"/>
    </row>
    <row r="124" spans="1:8" ht="15.75">
      <c r="A124" s="33"/>
      <c r="B124" s="34"/>
      <c r="C124" s="35"/>
      <c r="D124" s="36"/>
      <c r="E124" s="36"/>
      <c r="F124" s="37"/>
      <c r="G124" s="11"/>
      <c r="H124" s="38"/>
    </row>
    <row r="125" spans="1:8" ht="15.75">
      <c r="A125" s="33"/>
      <c r="B125" s="34"/>
      <c r="C125" s="35"/>
      <c r="D125" s="36"/>
      <c r="E125" s="36"/>
      <c r="F125" s="37"/>
      <c r="G125" s="11"/>
      <c r="H125" s="38"/>
    </row>
    <row r="126" spans="1:8" ht="15.75">
      <c r="A126" s="33"/>
      <c r="B126" s="34"/>
      <c r="C126" s="35"/>
      <c r="D126" s="36"/>
      <c r="E126" s="36"/>
      <c r="F126" s="37"/>
      <c r="G126" s="11"/>
      <c r="H126" s="38"/>
    </row>
    <row r="127" spans="1:8" ht="15.75">
      <c r="A127" s="33"/>
      <c r="B127" s="34"/>
      <c r="C127" s="35"/>
      <c r="D127" s="36"/>
      <c r="E127" s="36"/>
      <c r="F127" s="37"/>
      <c r="G127" s="11"/>
      <c r="H127" s="38"/>
    </row>
    <row r="128" spans="1:8" ht="15.75">
      <c r="A128" s="33"/>
      <c r="B128" s="34"/>
      <c r="C128" s="35"/>
      <c r="D128" s="36"/>
      <c r="E128" s="36"/>
      <c r="F128" s="37"/>
      <c r="G128" s="11"/>
      <c r="H128" s="38"/>
    </row>
    <row r="129" spans="1:8" ht="15.75">
      <c r="A129" s="33"/>
      <c r="B129" s="34"/>
      <c r="C129" s="35"/>
      <c r="D129" s="36"/>
      <c r="E129" s="36"/>
      <c r="F129" s="37"/>
      <c r="G129" s="11"/>
      <c r="H129" s="38"/>
    </row>
    <row r="130" spans="1:8" ht="15.75">
      <c r="A130" s="33"/>
      <c r="B130" s="34"/>
      <c r="C130" s="35"/>
      <c r="D130" s="36"/>
      <c r="E130" s="36"/>
      <c r="F130" s="37"/>
      <c r="G130" s="11"/>
      <c r="H130" s="38"/>
    </row>
    <row r="131" spans="1:8" ht="15.75">
      <c r="A131" s="33"/>
      <c r="B131" s="34"/>
      <c r="C131" s="35"/>
      <c r="D131" s="36"/>
      <c r="E131" s="36"/>
      <c r="F131" s="37"/>
      <c r="G131" s="11"/>
      <c r="H131" s="38"/>
    </row>
    <row r="132" spans="1:8" ht="15.75">
      <c r="A132" s="33"/>
      <c r="B132" s="34"/>
      <c r="C132" s="35"/>
      <c r="D132" s="36"/>
      <c r="E132" s="36"/>
      <c r="F132" s="37"/>
      <c r="G132" s="11"/>
      <c r="H132" s="38"/>
    </row>
    <row r="133" spans="1:8" ht="15.75">
      <c r="A133" s="33"/>
      <c r="B133" s="34"/>
      <c r="C133" s="35"/>
      <c r="D133" s="36"/>
      <c r="E133" s="36"/>
      <c r="F133" s="37"/>
      <c r="G133" s="11"/>
      <c r="H133" s="38"/>
    </row>
    <row r="134" spans="1:8" ht="15.75">
      <c r="A134" s="33"/>
      <c r="B134" s="34"/>
      <c r="C134" s="35"/>
      <c r="D134" s="36"/>
      <c r="E134" s="36"/>
      <c r="F134" s="37"/>
      <c r="G134" s="11"/>
      <c r="H134" s="38"/>
    </row>
    <row r="135" spans="1:8" ht="15.75">
      <c r="A135" s="33"/>
      <c r="B135" s="34"/>
      <c r="C135" s="35"/>
      <c r="D135" s="36"/>
      <c r="E135" s="36"/>
      <c r="F135" s="37"/>
      <c r="G135" s="11"/>
      <c r="H135" s="38"/>
    </row>
    <row r="136" spans="1:8" ht="15.75">
      <c r="A136" s="33"/>
      <c r="B136" s="34"/>
      <c r="C136" s="35"/>
      <c r="D136" s="36"/>
      <c r="E136" s="36"/>
      <c r="F136" s="37"/>
      <c r="G136" s="11"/>
      <c r="H136" s="38"/>
    </row>
    <row r="137" spans="1:8" ht="15.75">
      <c r="A137" s="33"/>
      <c r="B137" s="34"/>
      <c r="C137" s="35"/>
      <c r="D137" s="36"/>
      <c r="E137" s="36"/>
      <c r="F137" s="37"/>
      <c r="G137" s="11"/>
      <c r="H137" s="38"/>
    </row>
    <row r="138" spans="1:8" ht="15.75">
      <c r="A138" s="33"/>
      <c r="B138" s="34"/>
      <c r="C138" s="35"/>
      <c r="D138" s="36"/>
      <c r="E138" s="36"/>
      <c r="F138" s="37"/>
      <c r="G138" s="11"/>
      <c r="H138" s="38"/>
    </row>
    <row r="139" spans="1:8" ht="15.75">
      <c r="A139" s="33"/>
      <c r="B139" s="34"/>
      <c r="C139" s="35"/>
      <c r="D139" s="36"/>
      <c r="E139" s="36"/>
      <c r="F139" s="37"/>
      <c r="G139" s="11"/>
      <c r="H139" s="38"/>
    </row>
    <row r="140" spans="1:8" ht="15.75">
      <c r="A140" s="33"/>
      <c r="B140" s="34"/>
      <c r="C140" s="35"/>
      <c r="D140" s="36"/>
      <c r="E140" s="36"/>
      <c r="F140" s="37"/>
      <c r="G140" s="11"/>
      <c r="H140" s="38"/>
    </row>
    <row r="141" spans="1:8" ht="15.75">
      <c r="A141" s="33"/>
      <c r="B141" s="34"/>
      <c r="C141" s="35"/>
      <c r="D141" s="36"/>
      <c r="E141" s="36"/>
      <c r="F141" s="37"/>
      <c r="G141" s="11"/>
      <c r="H141" s="38"/>
    </row>
    <row r="142" spans="1:8" ht="15.75">
      <c r="A142" s="33"/>
      <c r="B142" s="34"/>
      <c r="C142" s="35"/>
      <c r="D142" s="36"/>
      <c r="E142" s="36"/>
      <c r="F142" s="37"/>
      <c r="G142" s="11"/>
      <c r="H142" s="38"/>
    </row>
    <row r="143" spans="1:8" ht="15.75">
      <c r="A143" s="33"/>
      <c r="B143" s="34"/>
      <c r="C143" s="35"/>
      <c r="D143" s="36"/>
      <c r="E143" s="36"/>
      <c r="F143" s="37"/>
      <c r="G143" s="11"/>
      <c r="H143" s="38"/>
    </row>
    <row r="144" spans="1:8" ht="15.75">
      <c r="A144" s="33"/>
      <c r="B144" s="34"/>
      <c r="C144" s="35"/>
      <c r="D144" s="36"/>
      <c r="E144" s="36"/>
      <c r="F144" s="37"/>
      <c r="G144" s="11"/>
      <c r="H144" s="38"/>
    </row>
    <row r="145" spans="1:8" ht="15.75">
      <c r="A145" s="33"/>
      <c r="B145" s="34"/>
      <c r="C145" s="35"/>
      <c r="D145" s="36"/>
      <c r="E145" s="36"/>
      <c r="F145" s="37"/>
      <c r="G145" s="11"/>
      <c r="H145" s="38"/>
    </row>
    <row r="146" spans="1:8" ht="15.75">
      <c r="A146" s="33"/>
      <c r="B146" s="34"/>
      <c r="C146" s="35"/>
      <c r="D146" s="36"/>
      <c r="E146" s="36"/>
      <c r="F146" s="37"/>
      <c r="G146" s="11"/>
      <c r="H146" s="38"/>
    </row>
    <row r="147" spans="1:8" ht="15.75">
      <c r="A147" s="33"/>
      <c r="B147" s="34"/>
      <c r="C147" s="35"/>
      <c r="D147" s="36"/>
      <c r="E147" s="36"/>
      <c r="F147" s="37"/>
      <c r="G147" s="11"/>
      <c r="H147" s="38"/>
    </row>
    <row r="148" spans="1:8" ht="15.75">
      <c r="A148" s="33"/>
      <c r="B148" s="34"/>
      <c r="C148" s="35"/>
      <c r="D148" s="36"/>
      <c r="E148" s="36"/>
      <c r="F148" s="37"/>
      <c r="G148" s="11"/>
      <c r="H148" s="38"/>
    </row>
    <row r="149" spans="1:8" ht="15.75">
      <c r="A149" s="33"/>
      <c r="B149" s="34"/>
      <c r="C149" s="35"/>
      <c r="D149" s="36"/>
      <c r="E149" s="36"/>
      <c r="F149" s="37"/>
      <c r="G149" s="11"/>
      <c r="H149" s="38"/>
    </row>
    <row r="150" spans="1:8" ht="15.75">
      <c r="A150" s="33"/>
      <c r="B150" s="34"/>
      <c r="C150" s="35"/>
      <c r="D150" s="36"/>
      <c r="E150" s="36"/>
      <c r="F150" s="37"/>
      <c r="G150" s="11"/>
      <c r="H150" s="38"/>
    </row>
    <row r="151" spans="1:8" ht="15.75">
      <c r="A151" s="33"/>
      <c r="B151" s="34"/>
      <c r="C151" s="35"/>
      <c r="D151" s="36"/>
      <c r="E151" s="36"/>
      <c r="F151" s="37"/>
      <c r="G151" s="11"/>
      <c r="H151" s="38"/>
    </row>
    <row r="152" spans="1:8" ht="15.75">
      <c r="A152" s="33"/>
      <c r="B152" s="34"/>
      <c r="C152" s="35"/>
      <c r="D152" s="36"/>
      <c r="E152" s="36"/>
      <c r="F152" s="37"/>
      <c r="G152" s="11"/>
      <c r="H152" s="38"/>
    </row>
    <row r="153" spans="1:8" ht="15.75">
      <c r="A153" s="33"/>
      <c r="B153" s="34"/>
      <c r="C153" s="35"/>
      <c r="D153" s="36"/>
      <c r="E153" s="36"/>
      <c r="F153" s="37"/>
      <c r="G153" s="11"/>
      <c r="H153" s="38"/>
    </row>
    <row r="154" spans="1:8" ht="15.75">
      <c r="A154" s="33"/>
      <c r="B154" s="34"/>
      <c r="C154" s="35"/>
      <c r="D154" s="36"/>
      <c r="E154" s="36"/>
      <c r="F154" s="37"/>
      <c r="G154" s="11"/>
      <c r="H154" s="38"/>
    </row>
    <row r="155" spans="1:8" ht="15.75">
      <c r="A155" s="33"/>
      <c r="B155" s="34"/>
      <c r="C155" s="35"/>
      <c r="D155" s="36"/>
      <c r="E155" s="36"/>
      <c r="F155" s="37"/>
      <c r="G155" s="11"/>
      <c r="H155" s="38"/>
    </row>
    <row r="156" spans="1:8" ht="15.75">
      <c r="A156" s="33"/>
      <c r="B156" s="34"/>
      <c r="C156" s="35"/>
      <c r="D156" s="36"/>
      <c r="E156" s="36"/>
      <c r="F156" s="37"/>
      <c r="G156" s="11"/>
      <c r="H156" s="38"/>
    </row>
    <row r="157" spans="1:8" ht="15.75">
      <c r="A157" s="33"/>
      <c r="B157" s="34"/>
      <c r="C157" s="35"/>
      <c r="D157" s="36"/>
      <c r="E157" s="36"/>
      <c r="F157" s="37"/>
      <c r="G157" s="11"/>
      <c r="H157" s="38"/>
    </row>
    <row r="158" spans="1:8" ht="15.75">
      <c r="A158" s="33"/>
      <c r="B158" s="34"/>
      <c r="C158" s="35"/>
      <c r="D158" s="36"/>
      <c r="E158" s="36"/>
      <c r="F158" s="37"/>
      <c r="G158" s="11"/>
      <c r="H158" s="38"/>
    </row>
    <row r="159" spans="1:8" ht="15.75">
      <c r="A159" s="33"/>
      <c r="B159" s="34"/>
      <c r="C159" s="35"/>
      <c r="D159" s="36"/>
      <c r="E159" s="36"/>
      <c r="F159" s="37"/>
      <c r="G159" s="11"/>
      <c r="H159" s="38"/>
    </row>
    <row r="160" spans="1:8" ht="15.75">
      <c r="A160" s="33"/>
      <c r="B160" s="34"/>
      <c r="C160" s="35"/>
      <c r="D160" s="36"/>
      <c r="E160" s="36"/>
      <c r="F160" s="37"/>
      <c r="G160" s="11"/>
      <c r="H160" s="38"/>
    </row>
    <row r="161" spans="1:8" ht="15.75">
      <c r="A161" s="33"/>
      <c r="B161" s="34"/>
      <c r="C161" s="35"/>
      <c r="D161" s="36"/>
      <c r="E161" s="36"/>
      <c r="F161" s="37"/>
      <c r="G161" s="11"/>
      <c r="H161" s="38"/>
    </row>
    <row r="162" spans="1:8" ht="15.75">
      <c r="A162" s="33"/>
      <c r="B162" s="34"/>
      <c r="C162" s="35"/>
      <c r="D162" s="36"/>
      <c r="E162" s="36"/>
      <c r="F162" s="37"/>
      <c r="G162" s="11"/>
      <c r="H162" s="38"/>
    </row>
    <row r="163" spans="1:8" ht="15.75">
      <c r="A163" s="33"/>
      <c r="B163" s="34"/>
      <c r="C163" s="35"/>
      <c r="D163" s="36"/>
      <c r="E163" s="36"/>
      <c r="F163" s="37"/>
      <c r="G163" s="11"/>
      <c r="H163" s="38"/>
    </row>
    <row r="164" spans="1:8" ht="15.75">
      <c r="A164" s="33"/>
      <c r="B164" s="34"/>
      <c r="C164" s="35"/>
      <c r="D164" s="36"/>
      <c r="E164" s="36"/>
      <c r="F164" s="37"/>
      <c r="G164" s="11"/>
      <c r="H164" s="38"/>
    </row>
    <row r="165" spans="1:8" ht="15.75">
      <c r="A165" s="33"/>
      <c r="B165" s="34"/>
      <c r="C165" s="35"/>
      <c r="D165" s="36"/>
      <c r="E165" s="36"/>
      <c r="F165" s="37"/>
      <c r="G165" s="11"/>
      <c r="H165" s="38"/>
    </row>
    <row r="166" spans="1:8" ht="15.75">
      <c r="A166" s="33"/>
      <c r="B166" s="34"/>
      <c r="C166" s="35"/>
      <c r="D166" s="36"/>
      <c r="E166" s="36"/>
      <c r="F166" s="37"/>
      <c r="G166" s="11"/>
      <c r="H166" s="38"/>
    </row>
    <row r="167" spans="1:8" ht="15.75">
      <c r="A167" s="33"/>
      <c r="B167" s="34"/>
      <c r="C167" s="35"/>
      <c r="D167" s="36"/>
      <c r="E167" s="36"/>
      <c r="F167" s="37"/>
      <c r="G167" s="11"/>
      <c r="H167" s="38"/>
    </row>
    <row r="168" spans="1:8" ht="15.75">
      <c r="A168" s="33"/>
      <c r="B168" s="34"/>
      <c r="C168" s="35"/>
      <c r="D168" s="36"/>
      <c r="E168" s="36"/>
      <c r="F168" s="37"/>
      <c r="G168" s="11"/>
      <c r="H168" s="38"/>
    </row>
    <row r="169" spans="1:8" ht="15.75">
      <c r="A169" s="33"/>
      <c r="B169" s="34"/>
      <c r="C169" s="35"/>
      <c r="D169" s="36"/>
      <c r="E169" s="36"/>
      <c r="F169" s="37"/>
      <c r="G169" s="11"/>
      <c r="H169" s="38"/>
    </row>
    <row r="170" spans="1:8" ht="15.75">
      <c r="A170" s="33"/>
      <c r="B170" s="34"/>
      <c r="C170" s="35"/>
      <c r="D170" s="36"/>
      <c r="E170" s="36"/>
      <c r="F170" s="37"/>
      <c r="G170" s="11"/>
      <c r="H170" s="38"/>
    </row>
    <row r="171" spans="1:8" ht="15.75">
      <c r="A171" s="33"/>
      <c r="B171" s="34"/>
      <c r="C171" s="35"/>
      <c r="D171" s="36"/>
      <c r="E171" s="36"/>
      <c r="F171" s="37"/>
      <c r="G171" s="11"/>
      <c r="H171" s="38"/>
    </row>
    <row r="172" spans="1:8" ht="15.75">
      <c r="A172" s="33"/>
      <c r="B172" s="34"/>
      <c r="C172" s="35"/>
      <c r="D172" s="36"/>
      <c r="E172" s="36"/>
      <c r="F172" s="37"/>
      <c r="G172" s="11"/>
      <c r="H172" s="38"/>
    </row>
    <row r="173" spans="1:8" ht="15.75">
      <c r="A173" s="33"/>
      <c r="B173" s="34"/>
      <c r="C173" s="35"/>
      <c r="D173" s="36"/>
      <c r="E173" s="36"/>
      <c r="F173" s="37"/>
      <c r="G173" s="11"/>
      <c r="H173" s="38"/>
    </row>
    <row r="174" spans="1:8" ht="15.75">
      <c r="A174" s="33"/>
      <c r="B174" s="34"/>
      <c r="C174" s="35"/>
      <c r="D174" s="36"/>
      <c r="E174" s="36"/>
      <c r="F174" s="37"/>
      <c r="G174" s="11"/>
      <c r="H174" s="38"/>
    </row>
    <row r="175" spans="1:8" ht="15.75">
      <c r="A175" s="33"/>
      <c r="B175" s="34"/>
      <c r="C175" s="35"/>
      <c r="D175" s="36"/>
      <c r="E175" s="36"/>
      <c r="F175" s="37"/>
      <c r="G175" s="11"/>
      <c r="H175" s="38"/>
    </row>
    <row r="176" spans="1:8" ht="15.75">
      <c r="A176" s="33"/>
      <c r="B176" s="34"/>
      <c r="C176" s="35"/>
      <c r="D176" s="36"/>
      <c r="E176" s="36"/>
      <c r="F176" s="37"/>
      <c r="G176" s="11"/>
      <c r="H176" s="38"/>
    </row>
    <row r="177" spans="1:8" ht="15.75">
      <c r="A177" s="33"/>
      <c r="B177" s="34"/>
      <c r="C177" s="35"/>
      <c r="D177" s="36"/>
      <c r="E177" s="36"/>
      <c r="F177" s="37"/>
      <c r="G177" s="11"/>
      <c r="H177" s="38"/>
    </row>
    <row r="178" spans="1:8" ht="15.75">
      <c r="A178" s="33"/>
      <c r="B178" s="34"/>
      <c r="C178" s="35"/>
      <c r="D178" s="36"/>
      <c r="E178" s="36"/>
      <c r="F178" s="37"/>
      <c r="G178" s="11"/>
      <c r="H178" s="38"/>
    </row>
    <row r="179" spans="1:8" ht="15.75">
      <c r="A179" s="33"/>
      <c r="B179" s="34"/>
      <c r="C179" s="35"/>
      <c r="D179" s="36"/>
      <c r="E179" s="36"/>
      <c r="F179" s="37"/>
      <c r="G179" s="11"/>
      <c r="H179" s="38"/>
    </row>
    <row r="180" spans="1:8" ht="15.75">
      <c r="A180" s="33"/>
      <c r="B180" s="34"/>
      <c r="C180" s="35"/>
      <c r="D180" s="36"/>
      <c r="E180" s="36"/>
      <c r="F180" s="37"/>
      <c r="G180" s="11"/>
      <c r="H180" s="38"/>
    </row>
    <row r="181" spans="1:8" ht="15.75">
      <c r="A181" s="33"/>
      <c r="B181" s="34"/>
      <c r="C181" s="35"/>
      <c r="D181" s="36"/>
      <c r="E181" s="36"/>
      <c r="F181" s="37"/>
      <c r="G181" s="11"/>
      <c r="H181" s="38"/>
    </row>
    <row r="182" spans="1:8" ht="15.75">
      <c r="A182" s="33"/>
      <c r="B182" s="34"/>
      <c r="C182" s="35"/>
      <c r="D182" s="36"/>
      <c r="E182" s="36"/>
      <c r="F182" s="37"/>
      <c r="G182" s="11"/>
      <c r="H182" s="38"/>
    </row>
    <row r="183" spans="1:8" ht="15.75">
      <c r="A183" s="33"/>
      <c r="B183" s="34"/>
      <c r="C183" s="35"/>
      <c r="D183" s="36"/>
      <c r="E183" s="36"/>
      <c r="F183" s="37"/>
      <c r="G183" s="11"/>
      <c r="H183" s="38"/>
    </row>
    <row r="184" spans="1:8" ht="15.75">
      <c r="A184" s="33"/>
      <c r="B184" s="34"/>
      <c r="C184" s="35"/>
      <c r="D184" s="36"/>
      <c r="E184" s="36"/>
      <c r="F184" s="37"/>
      <c r="G184" s="11"/>
      <c r="H184" s="38"/>
    </row>
    <row r="185" spans="1:8" ht="15.75">
      <c r="A185" s="33"/>
      <c r="B185" s="34"/>
      <c r="C185" s="35"/>
      <c r="D185" s="36"/>
      <c r="E185" s="36"/>
      <c r="F185" s="37"/>
      <c r="G185" s="11"/>
      <c r="H185" s="38"/>
    </row>
    <row r="186" spans="1:8" ht="15.75">
      <c r="A186" s="33"/>
      <c r="B186" s="34"/>
      <c r="C186" s="35"/>
      <c r="D186" s="36"/>
      <c r="E186" s="36"/>
      <c r="F186" s="37"/>
      <c r="G186" s="11"/>
      <c r="H186" s="38"/>
    </row>
    <row r="187" spans="1:8" ht="15.75">
      <c r="A187" s="33"/>
      <c r="B187" s="34"/>
      <c r="C187" s="35"/>
      <c r="D187" s="36"/>
      <c r="E187" s="36"/>
      <c r="F187" s="37"/>
      <c r="G187" s="11"/>
      <c r="H187" s="38"/>
    </row>
    <row r="188" spans="1:8" ht="15.75">
      <c r="A188" s="33"/>
      <c r="B188" s="34"/>
      <c r="C188" s="35"/>
      <c r="D188" s="36"/>
      <c r="E188" s="36"/>
      <c r="F188" s="37"/>
      <c r="G188" s="11"/>
      <c r="H188" s="38"/>
    </row>
    <row r="189" spans="1:8" ht="15.75">
      <c r="A189" s="33"/>
      <c r="B189" s="34"/>
      <c r="C189" s="35"/>
      <c r="D189" s="36"/>
      <c r="E189" s="36"/>
      <c r="F189" s="37"/>
      <c r="G189" s="11"/>
      <c r="H189" s="38"/>
    </row>
    <row r="190" spans="1:8" ht="15.75">
      <c r="A190" s="33"/>
      <c r="B190" s="34"/>
      <c r="C190" s="35"/>
      <c r="D190" s="36"/>
      <c r="E190" s="36"/>
      <c r="F190" s="37"/>
      <c r="G190" s="11"/>
      <c r="H190" s="38"/>
    </row>
    <row r="191" spans="1:8" ht="15.75">
      <c r="A191" s="33"/>
      <c r="B191" s="34"/>
      <c r="C191" s="35"/>
      <c r="D191" s="36"/>
      <c r="E191" s="36"/>
      <c r="F191" s="37"/>
      <c r="G191" s="11"/>
      <c r="H191" s="38"/>
    </row>
    <row r="192" spans="1:8" ht="15.75">
      <c r="A192" s="33"/>
      <c r="B192" s="34"/>
      <c r="C192" s="35"/>
      <c r="D192" s="36"/>
      <c r="E192" s="36"/>
      <c r="F192" s="37"/>
      <c r="G192" s="11"/>
      <c r="H192" s="38"/>
    </row>
    <row r="193" spans="1:8" ht="15.75">
      <c r="A193" s="33"/>
      <c r="B193" s="34"/>
      <c r="C193" s="35"/>
      <c r="D193" s="36"/>
      <c r="E193" s="36"/>
      <c r="F193" s="37"/>
      <c r="G193" s="11"/>
      <c r="H193" s="38"/>
    </row>
    <row r="194" spans="1:8" ht="15.75">
      <c r="A194" s="33"/>
      <c r="B194" s="34"/>
      <c r="C194" s="35"/>
      <c r="D194" s="36"/>
      <c r="E194" s="36"/>
      <c r="F194" s="37"/>
      <c r="G194" s="11"/>
      <c r="H194" s="38"/>
    </row>
    <row r="195" spans="1:8" ht="15.75">
      <c r="A195" s="33"/>
      <c r="B195" s="34"/>
      <c r="C195" s="35"/>
      <c r="D195" s="36"/>
      <c r="E195" s="36"/>
      <c r="F195" s="37"/>
      <c r="G195" s="11"/>
      <c r="H195" s="38"/>
    </row>
    <row r="196" spans="1:8" ht="15.75">
      <c r="A196" s="33"/>
      <c r="B196" s="34"/>
      <c r="C196" s="35"/>
      <c r="D196" s="36"/>
      <c r="E196" s="36"/>
      <c r="F196" s="37"/>
      <c r="G196" s="11"/>
      <c r="H196" s="38"/>
    </row>
    <row r="197" spans="1:8" ht="15.75">
      <c r="A197" s="33"/>
      <c r="B197" s="34"/>
      <c r="C197" s="35"/>
      <c r="D197" s="36"/>
      <c r="E197" s="36"/>
      <c r="F197" s="37"/>
      <c r="G197" s="11"/>
      <c r="H197" s="38"/>
    </row>
    <row r="198" spans="1:8" ht="15.75">
      <c r="A198" s="33"/>
      <c r="B198" s="34"/>
      <c r="C198" s="35"/>
      <c r="D198" s="36"/>
      <c r="E198" s="36"/>
      <c r="F198" s="37"/>
      <c r="G198" s="11"/>
      <c r="H198" s="38"/>
    </row>
    <row r="199" spans="1:8" ht="15.75">
      <c r="A199" s="33"/>
      <c r="B199" s="34"/>
      <c r="C199" s="35"/>
      <c r="D199" s="36"/>
      <c r="E199" s="36"/>
      <c r="F199" s="37"/>
      <c r="G199" s="11"/>
      <c r="H199" s="38"/>
    </row>
    <row r="200" spans="1:8" ht="15.75">
      <c r="A200" s="33"/>
      <c r="B200" s="34"/>
      <c r="C200" s="35"/>
      <c r="D200" s="36"/>
      <c r="E200" s="36"/>
      <c r="F200" s="37"/>
      <c r="G200" s="11"/>
      <c r="H200" s="38"/>
    </row>
    <row r="201" spans="1:8" ht="15.75">
      <c r="A201" s="33"/>
      <c r="B201" s="34"/>
      <c r="C201" s="35"/>
      <c r="D201" s="36"/>
      <c r="E201" s="36"/>
      <c r="F201" s="37"/>
      <c r="G201" s="11"/>
      <c r="H201" s="38"/>
    </row>
    <row r="202" spans="1:8" ht="15.75">
      <c r="A202" s="33"/>
      <c r="B202" s="34"/>
      <c r="C202" s="35"/>
      <c r="D202" s="36"/>
      <c r="E202" s="36"/>
      <c r="F202" s="37"/>
      <c r="G202" s="11"/>
      <c r="H202" s="38"/>
    </row>
    <row r="203" spans="1:8" ht="15.75">
      <c r="A203" s="33"/>
      <c r="B203" s="34"/>
      <c r="C203" s="35"/>
      <c r="D203" s="36"/>
      <c r="E203" s="36"/>
      <c r="F203" s="37"/>
      <c r="G203" s="11"/>
      <c r="H203" s="38"/>
    </row>
    <row r="204" spans="1:8" ht="15.75">
      <c r="A204" s="33"/>
      <c r="B204" s="34"/>
      <c r="C204" s="35"/>
      <c r="D204" s="36"/>
      <c r="E204" s="36"/>
      <c r="F204" s="37"/>
      <c r="G204" s="11"/>
      <c r="H204" s="38"/>
    </row>
    <row r="205" spans="1:8" ht="15.75">
      <c r="A205" s="33"/>
      <c r="B205" s="34"/>
      <c r="C205" s="35"/>
      <c r="D205" s="36"/>
      <c r="E205" s="36"/>
      <c r="F205" s="37"/>
      <c r="G205" s="11"/>
      <c r="H205" s="38"/>
    </row>
    <row r="206" spans="1:8" ht="15.75">
      <c r="A206" s="33"/>
      <c r="B206" s="34"/>
      <c r="C206" s="35"/>
      <c r="D206" s="36"/>
      <c r="E206" s="36"/>
      <c r="F206" s="37"/>
      <c r="G206" s="11"/>
      <c r="H206" s="38"/>
    </row>
    <row r="207" spans="1:8" ht="15.75">
      <c r="A207" s="33"/>
      <c r="B207" s="34"/>
      <c r="C207" s="35"/>
      <c r="D207" s="36"/>
      <c r="E207" s="36"/>
      <c r="F207" s="37"/>
      <c r="G207" s="11"/>
      <c r="H207" s="38"/>
    </row>
    <row r="208" spans="1:8" ht="15.75">
      <c r="A208" s="33"/>
      <c r="B208" s="34"/>
      <c r="C208" s="35"/>
      <c r="D208" s="36"/>
      <c r="E208" s="36"/>
      <c r="F208" s="37"/>
      <c r="G208" s="11"/>
      <c r="H208" s="38"/>
    </row>
    <row r="209" spans="1:8" ht="15.75">
      <c r="A209" s="33"/>
      <c r="B209" s="34"/>
      <c r="C209" s="35"/>
      <c r="D209" s="36"/>
      <c r="E209" s="36"/>
      <c r="F209" s="37"/>
      <c r="G209" s="11"/>
      <c r="H209" s="38"/>
    </row>
    <row r="210" spans="1:8" ht="15.75">
      <c r="A210" s="33"/>
      <c r="B210" s="34"/>
      <c r="C210" s="35"/>
      <c r="D210" s="36"/>
      <c r="E210" s="36"/>
      <c r="F210" s="37"/>
      <c r="G210" s="11"/>
      <c r="H210" s="38"/>
    </row>
    <row r="211" spans="1:8" ht="15.75">
      <c r="A211" s="33"/>
      <c r="B211" s="34"/>
      <c r="C211" s="35"/>
      <c r="D211" s="36"/>
      <c r="E211" s="36"/>
      <c r="F211" s="37"/>
      <c r="G211" s="11"/>
      <c r="H211" s="38"/>
    </row>
    <row r="212" spans="1:8" ht="15.75">
      <c r="A212" s="33"/>
      <c r="B212" s="34"/>
      <c r="C212" s="35"/>
      <c r="D212" s="36"/>
      <c r="E212" s="36"/>
      <c r="F212" s="37"/>
      <c r="G212" s="11"/>
      <c r="H212" s="38"/>
    </row>
    <row r="213" spans="1:8" ht="15.75">
      <c r="A213" s="33"/>
      <c r="B213" s="34"/>
      <c r="C213" s="35"/>
      <c r="D213" s="36"/>
      <c r="E213" s="36"/>
      <c r="F213" s="37"/>
      <c r="G213" s="11"/>
      <c r="H213" s="38"/>
    </row>
    <row r="214" spans="1:8" ht="15.75">
      <c r="A214" s="33"/>
      <c r="B214" s="34"/>
      <c r="C214" s="35"/>
      <c r="D214" s="36"/>
      <c r="E214" s="36"/>
      <c r="F214" s="37"/>
      <c r="G214" s="11"/>
      <c r="H214" s="38"/>
    </row>
    <row r="215" spans="1:8" ht="15.75">
      <c r="A215" s="33"/>
      <c r="B215" s="34"/>
      <c r="C215" s="35"/>
      <c r="D215" s="36"/>
      <c r="E215" s="36"/>
      <c r="F215" s="37"/>
      <c r="G215" s="11"/>
      <c r="H215" s="38"/>
    </row>
    <row r="216" spans="1:8" ht="15.75">
      <c r="A216" s="33"/>
      <c r="B216" s="34"/>
      <c r="C216" s="35"/>
      <c r="D216" s="36"/>
      <c r="E216" s="36"/>
      <c r="F216" s="37"/>
      <c r="G216" s="11"/>
      <c r="H216" s="38"/>
    </row>
    <row r="217" spans="1:8" ht="15.75">
      <c r="A217" s="33"/>
      <c r="B217" s="34"/>
      <c r="C217" s="35"/>
      <c r="D217" s="36"/>
      <c r="E217" s="36"/>
      <c r="F217" s="37"/>
      <c r="G217" s="11"/>
      <c r="H217" s="38"/>
    </row>
    <row r="218" spans="1:8" ht="15.75">
      <c r="A218" s="33"/>
      <c r="B218" s="34"/>
      <c r="C218" s="35"/>
      <c r="D218" s="36"/>
      <c r="E218" s="36"/>
      <c r="F218" s="37"/>
      <c r="G218" s="11"/>
      <c r="H218" s="38"/>
    </row>
    <row r="219" spans="1:8" ht="15.75">
      <c r="A219" s="33"/>
      <c r="B219" s="34"/>
      <c r="C219" s="35"/>
      <c r="D219" s="36"/>
      <c r="E219" s="36"/>
      <c r="F219" s="37"/>
      <c r="G219" s="11"/>
      <c r="H219" s="38"/>
    </row>
    <row r="220" spans="1:8" ht="15.75">
      <c r="A220" s="33"/>
      <c r="B220" s="34"/>
      <c r="C220" s="35"/>
      <c r="D220" s="36"/>
      <c r="E220" s="36"/>
      <c r="F220" s="37"/>
      <c r="G220" s="11"/>
      <c r="H220" s="38"/>
    </row>
    <row r="221" spans="1:8" ht="15.75">
      <c r="A221" s="33"/>
      <c r="B221" s="34"/>
      <c r="C221" s="35"/>
      <c r="D221" s="36"/>
      <c r="E221" s="36"/>
      <c r="F221" s="37"/>
      <c r="G221" s="11"/>
      <c r="H221" s="38"/>
    </row>
    <row r="222" spans="1:8" ht="15.75">
      <c r="A222" s="33"/>
      <c r="B222" s="34"/>
      <c r="C222" s="35"/>
      <c r="D222" s="36"/>
      <c r="E222" s="36"/>
      <c r="F222" s="37"/>
      <c r="G222" s="11"/>
      <c r="H222" s="38"/>
    </row>
    <row r="223" spans="1:8" ht="15.75">
      <c r="A223" s="33"/>
      <c r="B223" s="34"/>
      <c r="C223" s="35"/>
      <c r="D223" s="36"/>
      <c r="E223" s="36"/>
      <c r="F223" s="37"/>
      <c r="G223" s="11"/>
      <c r="H223" s="38"/>
    </row>
    <row r="224" spans="1:8" ht="15.75">
      <c r="A224" s="33"/>
      <c r="B224" s="34"/>
      <c r="C224" s="35"/>
      <c r="D224" s="36"/>
      <c r="E224" s="36"/>
      <c r="F224" s="37"/>
      <c r="G224" s="11"/>
      <c r="H224" s="38"/>
    </row>
    <row r="225" spans="1:8" ht="15.75">
      <c r="A225" s="33"/>
      <c r="B225" s="34"/>
      <c r="C225" s="35"/>
      <c r="D225" s="36"/>
      <c r="E225" s="36"/>
      <c r="F225" s="37"/>
      <c r="G225" s="11"/>
      <c r="H225" s="38"/>
    </row>
    <row r="226" spans="1:8" ht="15.75">
      <c r="A226" s="33"/>
      <c r="B226" s="34"/>
      <c r="C226" s="35"/>
      <c r="D226" s="36"/>
      <c r="E226" s="36"/>
      <c r="F226" s="37"/>
      <c r="G226" s="11"/>
      <c r="H226" s="38"/>
    </row>
    <row r="227" spans="1:8" ht="15.75">
      <c r="A227" s="33"/>
      <c r="B227" s="34"/>
      <c r="C227" s="35"/>
      <c r="D227" s="36"/>
      <c r="E227" s="36"/>
      <c r="F227" s="37"/>
      <c r="G227" s="11"/>
      <c r="H227" s="38"/>
    </row>
    <row r="228" spans="1:8" ht="15.75">
      <c r="A228" s="33"/>
      <c r="B228" s="34"/>
      <c r="C228" s="35"/>
      <c r="D228" s="36"/>
      <c r="E228" s="36"/>
      <c r="F228" s="37"/>
      <c r="G228" s="11"/>
      <c r="H228" s="38"/>
    </row>
    <row r="229" spans="1:8" ht="15.75">
      <c r="A229" s="33"/>
      <c r="B229" s="34"/>
      <c r="C229" s="35"/>
      <c r="D229" s="36"/>
      <c r="E229" s="36"/>
      <c r="F229" s="37"/>
      <c r="G229" s="11"/>
      <c r="H229" s="38"/>
    </row>
    <row r="230" spans="1:8" ht="15.75">
      <c r="A230" s="33"/>
      <c r="B230" s="34"/>
      <c r="C230" s="35"/>
      <c r="D230" s="36"/>
      <c r="E230" s="36"/>
      <c r="F230" s="37"/>
      <c r="G230" s="11"/>
      <c r="H230" s="38"/>
    </row>
    <row r="231" spans="1:8" ht="15.75">
      <c r="A231" s="33"/>
      <c r="B231" s="34"/>
      <c r="C231" s="35"/>
      <c r="D231" s="36"/>
      <c r="E231" s="36"/>
      <c r="F231" s="37"/>
      <c r="G231" s="11"/>
      <c r="H231" s="38"/>
    </row>
    <row r="232" spans="1:8" ht="15.75">
      <c r="A232" s="33"/>
      <c r="B232" s="34"/>
      <c r="C232" s="35"/>
      <c r="D232" s="36"/>
      <c r="E232" s="36"/>
      <c r="F232" s="37"/>
      <c r="G232" s="11"/>
      <c r="H232" s="38"/>
    </row>
    <row r="233" spans="1:8" ht="15.75">
      <c r="A233" s="33"/>
      <c r="B233" s="34"/>
      <c r="C233" s="35"/>
      <c r="D233" s="36"/>
      <c r="E233" s="36"/>
      <c r="F233" s="37"/>
      <c r="G233" s="11"/>
      <c r="H233" s="38"/>
    </row>
    <row r="234" spans="1:8" ht="15.75">
      <c r="A234" s="33"/>
      <c r="B234" s="34"/>
      <c r="C234" s="35"/>
      <c r="D234" s="36"/>
      <c r="E234" s="36"/>
      <c r="F234" s="37"/>
      <c r="G234" s="11"/>
      <c r="H234" s="38"/>
    </row>
    <row r="235" spans="1:8" ht="15.75">
      <c r="A235" s="33"/>
      <c r="B235" s="34"/>
      <c r="C235" s="35"/>
      <c r="D235" s="36"/>
      <c r="E235" s="36"/>
      <c r="F235" s="37"/>
      <c r="G235" s="11"/>
      <c r="H235" s="38"/>
    </row>
    <row r="236" spans="1:8" ht="15.75">
      <c r="A236" s="33"/>
      <c r="B236" s="34"/>
      <c r="C236" s="35"/>
      <c r="D236" s="36"/>
      <c r="E236" s="36"/>
      <c r="F236" s="37"/>
      <c r="G236" s="11"/>
      <c r="H236" s="38"/>
    </row>
    <row r="237" spans="1:8" ht="15.75">
      <c r="A237" s="33"/>
      <c r="B237" s="34"/>
      <c r="C237" s="35"/>
      <c r="D237" s="36"/>
      <c r="E237" s="36"/>
      <c r="F237" s="37"/>
      <c r="G237" s="11"/>
      <c r="H237" s="38"/>
    </row>
    <row r="238" spans="1:8" ht="15.75">
      <c r="A238" s="33"/>
      <c r="B238" s="34"/>
      <c r="C238" s="35"/>
      <c r="D238" s="36"/>
      <c r="E238" s="36"/>
      <c r="F238" s="37"/>
      <c r="G238" s="11"/>
      <c r="H238" s="38"/>
    </row>
    <row r="239" spans="1:8" ht="15.75">
      <c r="A239" s="33"/>
      <c r="B239" s="34"/>
      <c r="C239" s="35"/>
      <c r="D239" s="36"/>
      <c r="E239" s="36"/>
      <c r="F239" s="37"/>
      <c r="G239" s="11"/>
      <c r="H239" s="38"/>
    </row>
    <row r="240" spans="1:8" ht="15.75">
      <c r="A240" s="33"/>
      <c r="B240" s="34"/>
      <c r="C240" s="35"/>
      <c r="D240" s="36"/>
      <c r="E240" s="36"/>
      <c r="F240" s="37"/>
      <c r="G240" s="11"/>
      <c r="H240" s="38"/>
    </row>
    <row r="241" spans="1:8" ht="15.75">
      <c r="A241" s="33"/>
      <c r="B241" s="34"/>
      <c r="C241" s="35"/>
      <c r="D241" s="36"/>
      <c r="E241" s="36"/>
      <c r="F241" s="37"/>
      <c r="G241" s="11"/>
      <c r="H241" s="38"/>
    </row>
    <row r="242" spans="1:8" ht="15.75">
      <c r="A242" s="33"/>
      <c r="B242" s="34"/>
      <c r="C242" s="35"/>
      <c r="D242" s="36"/>
      <c r="E242" s="36"/>
      <c r="F242" s="37"/>
      <c r="G242" s="11"/>
      <c r="H242" s="38"/>
    </row>
    <row r="243" spans="1:8" ht="15.75">
      <c r="A243" s="33"/>
      <c r="B243" s="34"/>
      <c r="C243" s="35"/>
      <c r="D243" s="36"/>
      <c r="E243" s="36"/>
      <c r="F243" s="37"/>
      <c r="G243" s="11"/>
      <c r="H243" s="38"/>
    </row>
    <row r="244" spans="1:8" ht="15.75">
      <c r="A244" s="33"/>
      <c r="B244" s="34"/>
      <c r="C244" s="35"/>
      <c r="D244" s="36"/>
      <c r="E244" s="36"/>
      <c r="F244" s="37"/>
      <c r="G244" s="11"/>
      <c r="H244" s="38"/>
    </row>
    <row r="245" spans="1:8" ht="15.75">
      <c r="A245" s="33"/>
      <c r="B245" s="34"/>
      <c r="C245" s="35"/>
      <c r="D245" s="36"/>
      <c r="E245" s="36"/>
      <c r="F245" s="37"/>
      <c r="G245" s="11"/>
      <c r="H245" s="38"/>
    </row>
    <row r="246" spans="1:8" ht="15.75">
      <c r="A246" s="33"/>
      <c r="B246" s="34"/>
      <c r="C246" s="35"/>
      <c r="D246" s="36"/>
      <c r="E246" s="36"/>
      <c r="F246" s="37"/>
      <c r="G246" s="11"/>
      <c r="H246" s="38"/>
    </row>
    <row r="247" spans="1:8" ht="15.75">
      <c r="A247" s="33"/>
      <c r="B247" s="34"/>
      <c r="C247" s="35"/>
      <c r="D247" s="36"/>
      <c r="E247" s="36"/>
      <c r="F247" s="37"/>
      <c r="G247" s="11"/>
      <c r="H247" s="38"/>
    </row>
    <row r="248" spans="1:8" ht="15.75">
      <c r="A248" s="33"/>
      <c r="B248" s="34"/>
      <c r="C248" s="35"/>
      <c r="D248" s="36"/>
      <c r="E248" s="36"/>
      <c r="F248" s="37"/>
      <c r="G248" s="11"/>
      <c r="H248" s="38"/>
    </row>
    <row r="249" spans="1:8" ht="15.75">
      <c r="A249" s="33"/>
      <c r="B249" s="34"/>
      <c r="C249" s="35"/>
      <c r="D249" s="36"/>
      <c r="E249" s="36"/>
      <c r="F249" s="37"/>
      <c r="G249" s="11"/>
      <c r="H249" s="38"/>
    </row>
    <row r="250" spans="1:8" ht="15.75">
      <c r="A250" s="33"/>
      <c r="B250" s="34"/>
      <c r="C250" s="35"/>
      <c r="D250" s="36"/>
      <c r="E250" s="36"/>
      <c r="F250" s="37"/>
      <c r="G250" s="11"/>
      <c r="H250" s="38"/>
    </row>
    <row r="251" spans="1:8" ht="15.75">
      <c r="A251" s="33"/>
      <c r="B251" s="34"/>
      <c r="C251" s="35"/>
      <c r="D251" s="36"/>
      <c r="E251" s="36"/>
      <c r="F251" s="37"/>
      <c r="G251" s="11"/>
      <c r="H251" s="38"/>
    </row>
    <row r="252" spans="1:8" ht="15.75">
      <c r="A252" s="33"/>
      <c r="B252" s="34"/>
      <c r="C252" s="35"/>
      <c r="D252" s="36"/>
      <c r="E252" s="36"/>
      <c r="F252" s="37"/>
      <c r="G252" s="11"/>
      <c r="H252" s="38"/>
    </row>
    <row r="253" spans="1:8" ht="15.75">
      <c r="A253" s="33"/>
      <c r="B253" s="34"/>
      <c r="C253" s="35"/>
      <c r="D253" s="36"/>
      <c r="E253" s="36"/>
      <c r="F253" s="37"/>
      <c r="G253" s="11"/>
      <c r="H253" s="38"/>
    </row>
    <row r="254" spans="1:8" ht="15.75">
      <c r="A254" s="33"/>
      <c r="B254" s="34"/>
      <c r="C254" s="35"/>
      <c r="D254" s="36"/>
      <c r="E254" s="36"/>
      <c r="F254" s="37"/>
      <c r="G254" s="11"/>
      <c r="H254" s="38"/>
    </row>
    <row r="255" spans="1:8" ht="15.75">
      <c r="A255" s="33"/>
      <c r="B255" s="34"/>
      <c r="C255" s="35"/>
      <c r="D255" s="36"/>
      <c r="E255" s="36"/>
      <c r="F255" s="37"/>
      <c r="G255" s="11"/>
      <c r="H255" s="38"/>
    </row>
    <row r="256" spans="1:8" ht="15.75">
      <c r="A256" s="33"/>
      <c r="B256" s="34"/>
      <c r="C256" s="35"/>
      <c r="D256" s="36"/>
      <c r="E256" s="36"/>
      <c r="F256" s="37"/>
      <c r="G256" s="11"/>
      <c r="H256" s="38"/>
    </row>
    <row r="257" spans="1:8" ht="15.75">
      <c r="A257" s="33"/>
      <c r="B257" s="34"/>
      <c r="C257" s="35"/>
      <c r="D257" s="36"/>
      <c r="E257" s="36"/>
      <c r="F257" s="37"/>
      <c r="G257" s="11"/>
      <c r="H257" s="38"/>
    </row>
    <row r="258" spans="1:8" ht="15.75">
      <c r="A258" s="33"/>
      <c r="B258" s="34"/>
      <c r="C258" s="35"/>
      <c r="D258" s="36"/>
      <c r="E258" s="36"/>
      <c r="F258" s="37"/>
      <c r="G258" s="11"/>
      <c r="H258" s="38"/>
    </row>
    <row r="259" spans="1:8" ht="15.75">
      <c r="A259" s="33"/>
      <c r="B259" s="34"/>
      <c r="C259" s="35"/>
      <c r="D259" s="36"/>
      <c r="E259" s="36"/>
      <c r="F259" s="37"/>
      <c r="G259" s="11"/>
      <c r="H259" s="38"/>
    </row>
    <row r="260" spans="1:8" ht="15.75">
      <c r="A260" s="33"/>
      <c r="B260" s="34"/>
      <c r="C260" s="35"/>
      <c r="D260" s="36"/>
      <c r="E260" s="36"/>
      <c r="F260" s="37"/>
      <c r="G260" s="11"/>
      <c r="H260" s="38"/>
    </row>
    <row r="261" spans="1:8" ht="15.75">
      <c r="A261" s="33"/>
      <c r="B261" s="34"/>
      <c r="C261" s="35"/>
      <c r="D261" s="36"/>
      <c r="E261" s="36"/>
      <c r="F261" s="37"/>
      <c r="G261" s="11"/>
      <c r="H261" s="38"/>
    </row>
    <row r="262" spans="1:8" ht="15.75">
      <c r="A262" s="33"/>
      <c r="B262" s="34"/>
      <c r="C262" s="35"/>
      <c r="D262" s="36"/>
      <c r="E262" s="36"/>
      <c r="F262" s="37"/>
      <c r="G262" s="11"/>
      <c r="H262" s="38"/>
    </row>
    <row r="263" spans="1:8" ht="15.75">
      <c r="A263" s="33"/>
      <c r="B263" s="34"/>
      <c r="C263" s="35"/>
      <c r="D263" s="36"/>
      <c r="E263" s="36"/>
      <c r="F263" s="37"/>
      <c r="G263" s="11"/>
      <c r="H263" s="38"/>
    </row>
    <row r="264" spans="1:8" ht="15.75">
      <c r="A264" s="33"/>
      <c r="B264" s="34"/>
      <c r="C264" s="35"/>
      <c r="D264" s="36"/>
      <c r="E264" s="36"/>
      <c r="F264" s="37"/>
      <c r="G264" s="11"/>
      <c r="H264" s="38"/>
    </row>
    <row r="265" spans="1:8" ht="15.75">
      <c r="A265" s="33"/>
      <c r="B265" s="34"/>
      <c r="C265" s="35"/>
      <c r="D265" s="36"/>
      <c r="E265" s="36"/>
      <c r="F265" s="37"/>
      <c r="G265" s="11"/>
      <c r="H265" s="38"/>
    </row>
    <row r="266" spans="1:8" ht="15.75">
      <c r="A266" s="33"/>
      <c r="B266" s="34"/>
      <c r="C266" s="35"/>
      <c r="D266" s="36"/>
      <c r="E266" s="36"/>
      <c r="F266" s="37"/>
      <c r="G266" s="11"/>
      <c r="H266" s="38"/>
    </row>
    <row r="267" spans="1:8" ht="15.75">
      <c r="A267" s="33"/>
      <c r="B267" s="34"/>
      <c r="C267" s="35"/>
      <c r="D267" s="36"/>
      <c r="E267" s="36"/>
      <c r="F267" s="37"/>
      <c r="G267" s="11"/>
      <c r="H267" s="38"/>
    </row>
    <row r="268" spans="1:8" ht="15.75">
      <c r="A268" s="33"/>
      <c r="B268" s="34"/>
      <c r="C268" s="35"/>
      <c r="D268" s="36"/>
      <c r="E268" s="36"/>
      <c r="F268" s="37"/>
      <c r="G268" s="11"/>
      <c r="H268" s="38"/>
    </row>
    <row r="269" spans="1:8" ht="15.75">
      <c r="A269" s="33"/>
      <c r="B269" s="34"/>
      <c r="C269" s="35"/>
      <c r="D269" s="36"/>
      <c r="E269" s="36"/>
      <c r="F269" s="37"/>
      <c r="G269" s="11"/>
      <c r="H269" s="38"/>
    </row>
    <row r="270" spans="1:8" ht="15.75">
      <c r="A270" s="33"/>
      <c r="B270" s="34"/>
      <c r="C270" s="35"/>
      <c r="D270" s="36"/>
      <c r="E270" s="36"/>
      <c r="F270" s="37"/>
      <c r="G270" s="11"/>
      <c r="H270" s="38"/>
    </row>
    <row r="271" spans="1:8" ht="15.75">
      <c r="A271" s="33"/>
      <c r="B271" s="34"/>
      <c r="C271" s="35"/>
      <c r="D271" s="36"/>
      <c r="E271" s="36"/>
      <c r="F271" s="37"/>
      <c r="G271" s="11"/>
      <c r="H271" s="38"/>
    </row>
    <row r="272" spans="1:8" ht="15.75">
      <c r="A272" s="33"/>
      <c r="B272" s="34"/>
      <c r="C272" s="35"/>
      <c r="D272" s="36"/>
      <c r="E272" s="36"/>
      <c r="F272" s="37"/>
      <c r="G272" s="11"/>
      <c r="H272" s="38"/>
    </row>
    <row r="273" spans="1:8" ht="15.75">
      <c r="A273" s="33"/>
      <c r="B273" s="34"/>
      <c r="C273" s="35"/>
      <c r="D273" s="36"/>
      <c r="E273" s="36"/>
      <c r="F273" s="37"/>
      <c r="G273" s="11"/>
      <c r="H273" s="38"/>
    </row>
    <row r="274" spans="1:8" ht="15.75">
      <c r="A274" s="33"/>
      <c r="B274" s="34"/>
      <c r="C274" s="35"/>
      <c r="D274" s="36"/>
      <c r="E274" s="36"/>
      <c r="F274" s="37"/>
      <c r="G274" s="11"/>
      <c r="H274" s="38"/>
    </row>
    <row r="275" spans="1:8" ht="15.75">
      <c r="A275" s="33"/>
      <c r="B275" s="34"/>
      <c r="C275" s="35"/>
      <c r="D275" s="36"/>
      <c r="E275" s="36"/>
      <c r="F275" s="37"/>
      <c r="G275" s="11"/>
      <c r="H275" s="38"/>
    </row>
    <row r="276" spans="1:8" ht="15.75">
      <c r="A276" s="33"/>
      <c r="B276" s="34"/>
      <c r="C276" s="35"/>
      <c r="D276" s="36"/>
      <c r="E276" s="36"/>
      <c r="F276" s="37"/>
      <c r="G276" s="11"/>
      <c r="H276" s="38"/>
    </row>
    <row r="277" spans="1:8" ht="15.75">
      <c r="A277" s="33"/>
      <c r="B277" s="34"/>
      <c r="C277" s="35"/>
      <c r="D277" s="36"/>
      <c r="E277" s="36"/>
      <c r="F277" s="37"/>
      <c r="G277" s="11"/>
      <c r="H277" s="38"/>
    </row>
    <row r="278" spans="1:8" ht="15.75">
      <c r="A278" s="33"/>
      <c r="B278" s="34"/>
      <c r="C278" s="35"/>
      <c r="D278" s="36"/>
      <c r="E278" s="36"/>
      <c r="F278" s="37"/>
      <c r="G278" s="11"/>
      <c r="H278" s="38"/>
    </row>
    <row r="279" spans="1:8" ht="15.75">
      <c r="A279" s="33"/>
      <c r="B279" s="34"/>
      <c r="C279" s="35"/>
      <c r="D279" s="36"/>
      <c r="E279" s="36"/>
      <c r="F279" s="37"/>
      <c r="G279" s="11"/>
      <c r="H279" s="38"/>
    </row>
    <row r="280" spans="1:8" ht="15.75">
      <c r="A280" s="33"/>
      <c r="B280" s="34"/>
      <c r="C280" s="35"/>
      <c r="D280" s="36"/>
      <c r="E280" s="36"/>
      <c r="F280" s="37"/>
      <c r="G280" s="11"/>
      <c r="H280" s="38"/>
    </row>
    <row r="281" spans="1:8" ht="15.75">
      <c r="A281" s="33"/>
      <c r="B281" s="34"/>
      <c r="C281" s="35"/>
      <c r="D281" s="36"/>
      <c r="E281" s="36"/>
      <c r="F281" s="37"/>
      <c r="G281" s="11"/>
      <c r="H281" s="38"/>
    </row>
    <row r="282" spans="1:8" ht="15.75">
      <c r="A282" s="33"/>
      <c r="B282" s="34"/>
      <c r="C282" s="35"/>
      <c r="D282" s="36"/>
      <c r="E282" s="36"/>
      <c r="F282" s="37"/>
      <c r="G282" s="11"/>
      <c r="H282" s="38"/>
    </row>
    <row r="283" spans="1:8" ht="15.75">
      <c r="A283" s="33"/>
      <c r="B283" s="34"/>
      <c r="C283" s="35"/>
      <c r="D283" s="36"/>
      <c r="E283" s="36"/>
      <c r="F283" s="37"/>
      <c r="G283" s="11"/>
      <c r="H283" s="38"/>
    </row>
    <row r="284" spans="1:8" ht="15.75">
      <c r="A284" s="33"/>
      <c r="B284" s="34"/>
      <c r="C284" s="35"/>
      <c r="D284" s="36"/>
      <c r="E284" s="36"/>
      <c r="F284" s="37"/>
      <c r="G284" s="11"/>
      <c r="H284" s="38"/>
    </row>
    <row r="285" spans="1:8" ht="15.75">
      <c r="A285" s="33"/>
      <c r="B285" s="34"/>
      <c r="C285" s="35"/>
      <c r="D285" s="36"/>
      <c r="E285" s="36"/>
      <c r="F285" s="37"/>
      <c r="G285" s="11"/>
      <c r="H285" s="38"/>
    </row>
    <row r="286" spans="1:8" ht="15.75">
      <c r="A286" s="33"/>
      <c r="B286" s="34"/>
      <c r="C286" s="35"/>
      <c r="D286" s="36"/>
      <c r="E286" s="36"/>
      <c r="F286" s="37"/>
      <c r="G286" s="11"/>
      <c r="H286" s="38"/>
    </row>
    <row r="287" spans="1:8" ht="15.75">
      <c r="A287" s="33"/>
      <c r="B287" s="34"/>
      <c r="C287" s="35"/>
      <c r="D287" s="36"/>
      <c r="E287" s="36"/>
      <c r="F287" s="37"/>
      <c r="G287" s="11"/>
      <c r="H287" s="38"/>
    </row>
    <row r="288" spans="1:8" ht="15.75">
      <c r="A288" s="33"/>
      <c r="B288" s="34"/>
      <c r="C288" s="35"/>
      <c r="D288" s="36"/>
      <c r="E288" s="36"/>
      <c r="F288" s="37"/>
      <c r="G288" s="11"/>
      <c r="H288" s="38"/>
    </row>
    <row r="289" spans="1:8" ht="15.75">
      <c r="A289" s="33"/>
      <c r="B289" s="34"/>
      <c r="C289" s="35"/>
      <c r="D289" s="36"/>
      <c r="E289" s="36"/>
      <c r="F289" s="37"/>
      <c r="G289" s="11"/>
      <c r="H289" s="38"/>
    </row>
    <row r="290" spans="1:8" ht="15.75">
      <c r="A290" s="33"/>
      <c r="B290" s="34"/>
      <c r="C290" s="35"/>
      <c r="D290" s="36"/>
      <c r="E290" s="36"/>
      <c r="F290" s="37"/>
      <c r="G290" s="11"/>
      <c r="H290" s="38"/>
    </row>
    <row r="291" spans="1:8" ht="15.75">
      <c r="A291" s="33"/>
      <c r="B291" s="34"/>
      <c r="C291" s="35"/>
      <c r="D291" s="36"/>
      <c r="E291" s="36"/>
      <c r="F291" s="37"/>
      <c r="G291" s="11"/>
      <c r="H291" s="38"/>
    </row>
    <row r="292" spans="1:8" ht="15.75">
      <c r="A292" s="33"/>
      <c r="B292" s="34"/>
      <c r="C292" s="35"/>
      <c r="D292" s="36"/>
      <c r="E292" s="36"/>
      <c r="F292" s="37"/>
      <c r="G292" s="11"/>
      <c r="H292" s="38"/>
    </row>
    <row r="293" spans="1:8" ht="15.75">
      <c r="A293" s="33"/>
      <c r="B293" s="34"/>
      <c r="C293" s="35"/>
      <c r="D293" s="36"/>
      <c r="E293" s="36"/>
      <c r="F293" s="37"/>
      <c r="G293" s="11"/>
      <c r="H293" s="38"/>
    </row>
    <row r="294" spans="1:8" ht="15.75">
      <c r="A294" s="33"/>
      <c r="B294" s="34"/>
      <c r="C294" s="35"/>
      <c r="D294" s="36"/>
      <c r="E294" s="36"/>
      <c r="F294" s="37"/>
      <c r="G294" s="11"/>
      <c r="H294" s="38"/>
    </row>
    <row r="295" spans="1:8" ht="15.75">
      <c r="A295" s="33"/>
      <c r="B295" s="34"/>
      <c r="C295" s="35"/>
      <c r="D295" s="36"/>
      <c r="E295" s="36"/>
      <c r="F295" s="37"/>
      <c r="G295" s="11"/>
      <c r="H295" s="38"/>
    </row>
    <row r="296" spans="1:8" ht="15.75">
      <c r="A296" s="33"/>
      <c r="B296" s="34"/>
      <c r="C296" s="35"/>
      <c r="D296" s="36"/>
      <c r="E296" s="36"/>
      <c r="F296" s="37"/>
      <c r="G296" s="11"/>
      <c r="H296" s="38"/>
    </row>
    <row r="297" spans="1:8" ht="15.75">
      <c r="A297" s="33"/>
      <c r="B297" s="34"/>
      <c r="C297" s="35"/>
      <c r="D297" s="36"/>
      <c r="E297" s="36"/>
      <c r="F297" s="37"/>
      <c r="G297" s="11"/>
      <c r="H297" s="38"/>
    </row>
    <row r="298" spans="1:8" ht="15.75">
      <c r="A298" s="33"/>
      <c r="B298" s="34"/>
      <c r="C298" s="35"/>
      <c r="D298" s="36"/>
      <c r="E298" s="36"/>
      <c r="F298" s="37"/>
      <c r="G298" s="11"/>
      <c r="H298" s="38"/>
    </row>
    <row r="299" spans="1:8" ht="15.75">
      <c r="A299" s="33"/>
      <c r="B299" s="34"/>
      <c r="C299" s="35"/>
      <c r="D299" s="36"/>
      <c r="E299" s="36"/>
      <c r="F299" s="37"/>
      <c r="G299" s="11"/>
      <c r="H299" s="38"/>
    </row>
    <row r="300" spans="1:8" ht="15.75">
      <c r="A300" s="33"/>
      <c r="B300" s="34"/>
      <c r="C300" s="35"/>
      <c r="D300" s="36"/>
      <c r="E300" s="36"/>
      <c r="F300" s="37"/>
      <c r="G300" s="11"/>
      <c r="H300" s="38"/>
    </row>
    <row r="301" spans="1:8" ht="15.75">
      <c r="A301" s="33"/>
      <c r="B301" s="34"/>
      <c r="C301" s="35"/>
      <c r="D301" s="36"/>
      <c r="E301" s="36"/>
      <c r="F301" s="37"/>
      <c r="G301" s="11"/>
      <c r="H301" s="38"/>
    </row>
    <row r="302" spans="1:8" ht="15.75">
      <c r="A302" s="33"/>
      <c r="B302" s="34"/>
      <c r="C302" s="35"/>
      <c r="D302" s="36"/>
      <c r="E302" s="36"/>
      <c r="F302" s="37"/>
      <c r="G302" s="11"/>
      <c r="H302" s="38"/>
    </row>
    <row r="303" spans="1:8" ht="15.75">
      <c r="A303" s="33"/>
      <c r="B303" s="34"/>
      <c r="C303" s="35"/>
      <c r="D303" s="36"/>
      <c r="E303" s="36"/>
      <c r="F303" s="37"/>
      <c r="G303" s="11"/>
      <c r="H303" s="38"/>
    </row>
    <row r="304" spans="1:8" ht="15.75">
      <c r="A304" s="33"/>
      <c r="B304" s="34"/>
      <c r="C304" s="35"/>
      <c r="D304" s="36"/>
      <c r="E304" s="36"/>
      <c r="F304" s="37"/>
      <c r="G304" s="11"/>
      <c r="H304" s="38"/>
    </row>
    <row r="305" spans="1:8" ht="15.75">
      <c r="A305" s="33"/>
      <c r="B305" s="34"/>
      <c r="C305" s="35"/>
      <c r="D305" s="36"/>
      <c r="E305" s="36"/>
      <c r="F305" s="37"/>
      <c r="G305" s="11"/>
      <c r="H305" s="38"/>
    </row>
    <row r="306" spans="1:8" ht="15.75">
      <c r="A306" s="33"/>
      <c r="B306" s="34"/>
      <c r="C306" s="35"/>
      <c r="D306" s="36"/>
      <c r="E306" s="36"/>
      <c r="F306" s="37"/>
      <c r="G306" s="11"/>
      <c r="H306" s="38"/>
    </row>
    <row r="307" spans="1:8" ht="15.75">
      <c r="A307" s="33"/>
      <c r="B307" s="34"/>
      <c r="C307" s="35"/>
      <c r="D307" s="36"/>
      <c r="E307" s="36"/>
      <c r="F307" s="37"/>
      <c r="G307" s="11"/>
      <c r="H307" s="38"/>
    </row>
    <row r="308" spans="1:8" ht="15.75">
      <c r="A308" s="33"/>
      <c r="B308" s="34"/>
      <c r="C308" s="35"/>
      <c r="D308" s="36"/>
      <c r="E308" s="36"/>
      <c r="F308" s="37"/>
      <c r="G308" s="11"/>
      <c r="H308" s="38"/>
    </row>
    <row r="309" spans="1:8" ht="15.75">
      <c r="A309" s="33"/>
      <c r="B309" s="34"/>
      <c r="C309" s="35"/>
      <c r="D309" s="36"/>
      <c r="E309" s="36"/>
      <c r="F309" s="37"/>
      <c r="G309" s="11"/>
      <c r="H309" s="38"/>
    </row>
    <row r="310" spans="1:8" ht="15.75">
      <c r="A310" s="33"/>
      <c r="B310" s="34"/>
      <c r="C310" s="35"/>
      <c r="D310" s="36"/>
      <c r="E310" s="36"/>
      <c r="F310" s="37"/>
      <c r="G310" s="11"/>
      <c r="H310" s="38"/>
    </row>
    <row r="311" spans="1:8" ht="15.75">
      <c r="A311" s="33"/>
      <c r="B311" s="34"/>
      <c r="C311" s="35"/>
      <c r="D311" s="36"/>
      <c r="E311" s="36"/>
      <c r="F311" s="37"/>
      <c r="G311" s="11"/>
      <c r="H311" s="38"/>
    </row>
    <row r="312" spans="1:8" ht="15.75">
      <c r="A312" s="33"/>
      <c r="B312" s="34"/>
      <c r="C312" s="35"/>
      <c r="D312" s="36"/>
      <c r="E312" s="36"/>
      <c r="F312" s="37"/>
      <c r="G312" s="11"/>
      <c r="H312" s="38"/>
    </row>
    <row r="313" spans="1:8" ht="15.75">
      <c r="A313" s="33"/>
      <c r="B313" s="34"/>
      <c r="C313" s="35"/>
      <c r="D313" s="36"/>
      <c r="E313" s="36"/>
      <c r="F313" s="37"/>
      <c r="G313" s="11"/>
      <c r="H313" s="38"/>
    </row>
    <row r="314" spans="1:8" ht="15.75">
      <c r="A314" s="33"/>
      <c r="B314" s="34"/>
      <c r="C314" s="35"/>
      <c r="D314" s="36"/>
      <c r="E314" s="36"/>
      <c r="F314" s="37"/>
      <c r="G314" s="11"/>
      <c r="H314" s="38"/>
    </row>
    <row r="315" spans="1:8" ht="15.75">
      <c r="A315" s="33"/>
      <c r="B315" s="34"/>
      <c r="C315" s="35"/>
      <c r="D315" s="36"/>
      <c r="E315" s="36"/>
      <c r="F315" s="37"/>
      <c r="G315" s="11"/>
      <c r="H315" s="38"/>
    </row>
    <row r="316" spans="1:8" ht="15.75">
      <c r="A316" s="33"/>
      <c r="B316" s="34"/>
      <c r="C316" s="35"/>
      <c r="D316" s="36"/>
      <c r="E316" s="36"/>
      <c r="F316" s="37"/>
      <c r="G316" s="11"/>
      <c r="H316" s="38"/>
    </row>
    <row r="317" spans="1:8" ht="15.75">
      <c r="A317" s="33"/>
      <c r="B317" s="34"/>
      <c r="C317" s="35"/>
      <c r="D317" s="36"/>
      <c r="E317" s="36"/>
      <c r="F317" s="37"/>
      <c r="G317" s="11"/>
      <c r="H317" s="38"/>
    </row>
    <row r="318" spans="1:8" ht="15.75">
      <c r="A318" s="33"/>
      <c r="B318" s="34"/>
      <c r="C318" s="35"/>
      <c r="D318" s="36"/>
      <c r="E318" s="36"/>
      <c r="F318" s="37"/>
      <c r="G318" s="11"/>
      <c r="H318" s="38"/>
    </row>
    <row r="319" spans="1:8" ht="15.75">
      <c r="A319" s="33"/>
      <c r="B319" s="34"/>
      <c r="C319" s="35"/>
      <c r="D319" s="36"/>
      <c r="E319" s="36"/>
      <c r="F319" s="37"/>
      <c r="G319" s="11"/>
      <c r="H319" s="38"/>
    </row>
    <row r="320" spans="1:8" ht="15.75">
      <c r="A320" s="33"/>
      <c r="B320" s="34"/>
      <c r="C320" s="35"/>
      <c r="D320" s="36"/>
      <c r="E320" s="36"/>
      <c r="F320" s="37"/>
      <c r="G320" s="11"/>
      <c r="H320" s="38"/>
    </row>
    <row r="321" spans="1:8" ht="15.75">
      <c r="A321" s="33"/>
      <c r="B321" s="34"/>
      <c r="C321" s="35"/>
      <c r="D321" s="36"/>
      <c r="E321" s="36"/>
      <c r="F321" s="37"/>
      <c r="G321" s="11"/>
      <c r="H321" s="38"/>
    </row>
    <row r="322" spans="1:8" ht="15.75">
      <c r="A322" s="33"/>
      <c r="B322" s="34"/>
      <c r="C322" s="35"/>
      <c r="D322" s="36"/>
      <c r="E322" s="36"/>
      <c r="F322" s="37"/>
      <c r="G322" s="11"/>
      <c r="H322" s="38"/>
    </row>
    <row r="323" spans="1:8" ht="15.75">
      <c r="A323" s="33"/>
      <c r="B323" s="34"/>
      <c r="C323" s="35"/>
      <c r="D323" s="36"/>
      <c r="E323" s="36"/>
      <c r="F323" s="37"/>
      <c r="G323" s="11"/>
      <c r="H323" s="38"/>
    </row>
    <row r="324" spans="1:8" ht="15.75">
      <c r="A324" s="33"/>
      <c r="B324" s="34"/>
      <c r="C324" s="35"/>
      <c r="D324" s="36"/>
      <c r="E324" s="36"/>
      <c r="F324" s="37"/>
      <c r="G324" s="11"/>
      <c r="H324" s="38"/>
    </row>
    <row r="325" spans="1:8" ht="15.75">
      <c r="A325" s="33"/>
      <c r="B325" s="34"/>
      <c r="C325" s="35"/>
      <c r="D325" s="36"/>
      <c r="E325" s="36"/>
      <c r="F325" s="37"/>
      <c r="G325" s="11"/>
      <c r="H325" s="38"/>
    </row>
    <row r="326" spans="1:8" ht="15.75">
      <c r="A326" s="33"/>
      <c r="B326" s="34"/>
      <c r="C326" s="35"/>
      <c r="D326" s="36"/>
      <c r="E326" s="36"/>
      <c r="F326" s="37"/>
      <c r="G326" s="11"/>
      <c r="H326" s="38"/>
    </row>
    <row r="327" spans="1:8" ht="15.75">
      <c r="A327" s="33"/>
      <c r="B327" s="34"/>
      <c r="C327" s="35"/>
      <c r="D327" s="36"/>
      <c r="E327" s="36"/>
      <c r="F327" s="37"/>
      <c r="G327" s="11"/>
      <c r="H327" s="38"/>
    </row>
    <row r="328" spans="1:8" ht="15.75">
      <c r="A328" s="33"/>
      <c r="B328" s="34"/>
      <c r="C328" s="35"/>
      <c r="D328" s="36"/>
      <c r="E328" s="36"/>
      <c r="F328" s="37"/>
      <c r="G328" s="11"/>
      <c r="H328" s="38"/>
    </row>
    <row r="329" spans="1:8" ht="15.75">
      <c r="A329" s="33"/>
      <c r="B329" s="34"/>
      <c r="C329" s="35"/>
      <c r="D329" s="36"/>
      <c r="E329" s="36"/>
      <c r="F329" s="37"/>
      <c r="G329" s="11"/>
      <c r="H329" s="38"/>
    </row>
    <row r="330" spans="1:8" ht="15.75">
      <c r="A330" s="33"/>
      <c r="B330" s="34"/>
      <c r="C330" s="35"/>
      <c r="D330" s="36"/>
      <c r="E330" s="36"/>
      <c r="F330" s="37"/>
      <c r="G330" s="11"/>
      <c r="H330" s="38"/>
    </row>
    <row r="331" spans="1:8" ht="15.75">
      <c r="A331" s="33"/>
      <c r="B331" s="34"/>
      <c r="C331" s="35"/>
      <c r="D331" s="36"/>
      <c r="E331" s="36"/>
      <c r="F331" s="37"/>
      <c r="G331" s="11"/>
      <c r="H331" s="38"/>
    </row>
    <row r="332" spans="1:8" ht="15.75">
      <c r="A332" s="33"/>
      <c r="B332" s="34"/>
      <c r="C332" s="35"/>
      <c r="D332" s="36"/>
      <c r="E332" s="36"/>
      <c r="F332" s="37"/>
      <c r="G332" s="11"/>
      <c r="H332" s="38"/>
    </row>
    <row r="333" spans="1:8" ht="15.75">
      <c r="A333" s="33"/>
      <c r="B333" s="34"/>
      <c r="C333" s="35"/>
      <c r="D333" s="36"/>
      <c r="E333" s="36"/>
      <c r="F333" s="37"/>
      <c r="G333" s="11"/>
      <c r="H333" s="38"/>
    </row>
    <row r="334" spans="1:8" ht="15.75">
      <c r="A334" s="33"/>
      <c r="B334" s="34"/>
      <c r="C334" s="35"/>
      <c r="D334" s="36"/>
      <c r="E334" s="36"/>
      <c r="F334" s="37"/>
      <c r="G334" s="11"/>
      <c r="H334" s="38"/>
    </row>
    <row r="335" spans="1:8" ht="15.75">
      <c r="A335" s="33"/>
      <c r="B335" s="34"/>
      <c r="C335" s="35"/>
      <c r="D335" s="36"/>
      <c r="E335" s="36"/>
      <c r="F335" s="37"/>
      <c r="G335" s="11"/>
      <c r="H335" s="38"/>
    </row>
    <row r="336" spans="1:8" ht="15.75">
      <c r="A336" s="33"/>
      <c r="B336" s="34"/>
      <c r="C336" s="35"/>
      <c r="D336" s="36"/>
      <c r="E336" s="36"/>
      <c r="F336" s="37"/>
      <c r="G336" s="11"/>
      <c r="H336" s="38"/>
    </row>
    <row r="337" spans="1:8" ht="15.75">
      <c r="A337" s="33"/>
      <c r="B337" s="34"/>
      <c r="C337" s="35"/>
      <c r="D337" s="36"/>
      <c r="E337" s="36"/>
      <c r="F337" s="37"/>
      <c r="G337" s="11"/>
      <c r="H337" s="38"/>
    </row>
    <row r="338" spans="1:8" ht="15.75">
      <c r="A338" s="33"/>
      <c r="B338" s="34"/>
      <c r="C338" s="35"/>
      <c r="D338" s="36"/>
      <c r="E338" s="36"/>
      <c r="F338" s="37"/>
      <c r="G338" s="11"/>
      <c r="H338" s="38"/>
    </row>
    <row r="339" spans="1:8" ht="15.75">
      <c r="A339" s="33"/>
      <c r="B339" s="34"/>
      <c r="C339" s="35"/>
      <c r="D339" s="36"/>
      <c r="E339" s="36"/>
      <c r="F339" s="37"/>
      <c r="G339" s="11"/>
      <c r="H339" s="38"/>
    </row>
    <row r="340" spans="1:8" ht="15.75">
      <c r="A340" s="33"/>
      <c r="B340" s="34"/>
      <c r="C340" s="35"/>
      <c r="D340" s="36"/>
      <c r="E340" s="36"/>
      <c r="F340" s="37"/>
      <c r="G340" s="11"/>
      <c r="H340" s="38"/>
    </row>
    <row r="341" spans="1:8" ht="15.75">
      <c r="A341" s="33"/>
      <c r="B341" s="34"/>
      <c r="C341" s="35"/>
      <c r="D341" s="36"/>
      <c r="E341" s="36"/>
      <c r="F341" s="37"/>
      <c r="G341" s="11"/>
      <c r="H341" s="38"/>
    </row>
    <row r="342" spans="1:8" ht="15.75">
      <c r="A342" s="33"/>
      <c r="B342" s="34"/>
      <c r="C342" s="35"/>
      <c r="D342" s="36"/>
      <c r="E342" s="36"/>
      <c r="F342" s="37"/>
      <c r="G342" s="11"/>
      <c r="H342" s="38"/>
    </row>
    <row r="343" spans="1:8" ht="15.75">
      <c r="A343" s="33"/>
      <c r="B343" s="34"/>
      <c r="C343" s="35"/>
      <c r="D343" s="36"/>
      <c r="E343" s="36"/>
      <c r="F343" s="37"/>
      <c r="G343" s="11"/>
      <c r="H343" s="38"/>
    </row>
    <row r="344" spans="1:8" ht="15.75">
      <c r="A344" s="33"/>
      <c r="B344" s="34"/>
      <c r="C344" s="35"/>
      <c r="D344" s="36"/>
      <c r="E344" s="36"/>
      <c r="F344" s="37"/>
      <c r="G344" s="11"/>
      <c r="H344" s="38"/>
    </row>
    <row r="345" spans="1:8" ht="15.75">
      <c r="A345" s="33"/>
      <c r="B345" s="34"/>
      <c r="C345" s="35"/>
      <c r="D345" s="36"/>
      <c r="E345" s="36"/>
      <c r="F345" s="37"/>
      <c r="G345" s="11"/>
      <c r="H345" s="38"/>
    </row>
    <row r="346" spans="1:8" ht="15.75">
      <c r="A346" s="33"/>
      <c r="B346" s="34"/>
      <c r="C346" s="35"/>
      <c r="D346" s="36"/>
      <c r="E346" s="36"/>
      <c r="F346" s="37"/>
      <c r="G346" s="11"/>
      <c r="H346" s="38"/>
    </row>
    <row r="347" spans="1:8" ht="15.75">
      <c r="A347" s="33"/>
      <c r="B347" s="34"/>
      <c r="C347" s="35"/>
      <c r="D347" s="36"/>
      <c r="E347" s="36"/>
      <c r="F347" s="37"/>
      <c r="G347" s="11"/>
      <c r="H347" s="38"/>
    </row>
    <row r="348" spans="1:8" ht="15.75">
      <c r="A348" s="33"/>
      <c r="B348" s="34"/>
      <c r="C348" s="35"/>
      <c r="D348" s="36"/>
      <c r="E348" s="36"/>
      <c r="F348" s="37"/>
      <c r="G348" s="11"/>
      <c r="H348" s="38"/>
    </row>
    <row r="349" spans="1:8" ht="15.75">
      <c r="A349" s="33"/>
      <c r="B349" s="34"/>
      <c r="C349" s="35"/>
      <c r="D349" s="36"/>
      <c r="E349" s="36"/>
      <c r="F349" s="37"/>
      <c r="G349" s="11"/>
      <c r="H349" s="38"/>
    </row>
    <row r="350" spans="1:8" ht="15.75">
      <c r="A350" s="33"/>
      <c r="B350" s="34"/>
      <c r="C350" s="35"/>
      <c r="D350" s="36"/>
      <c r="E350" s="36"/>
      <c r="F350" s="37"/>
      <c r="G350" s="11"/>
      <c r="H350" s="38"/>
    </row>
    <row r="351" spans="1:8" ht="15.75">
      <c r="A351" s="33"/>
      <c r="B351" s="34"/>
      <c r="C351" s="35"/>
      <c r="D351" s="36"/>
      <c r="E351" s="36"/>
      <c r="F351" s="37"/>
      <c r="G351" s="11"/>
      <c r="H351" s="38"/>
    </row>
    <row r="352" spans="1:8" ht="15.75">
      <c r="A352" s="33"/>
      <c r="B352" s="34"/>
      <c r="C352" s="35"/>
      <c r="D352" s="36"/>
      <c r="E352" s="36"/>
      <c r="F352" s="37"/>
      <c r="G352" s="11"/>
      <c r="H352" s="38"/>
    </row>
    <row r="353" spans="1:8" ht="15.75">
      <c r="A353" s="33"/>
      <c r="B353" s="34"/>
      <c r="C353" s="35"/>
      <c r="D353" s="36"/>
      <c r="E353" s="36"/>
      <c r="F353" s="37"/>
      <c r="G353" s="11"/>
      <c r="H353" s="38"/>
    </row>
    <row r="354" spans="1:8" ht="15.75">
      <c r="A354" s="33"/>
      <c r="B354" s="34"/>
      <c r="C354" s="35"/>
      <c r="D354" s="36"/>
      <c r="E354" s="36"/>
      <c r="F354" s="37"/>
      <c r="G354" s="11"/>
      <c r="H354" s="38"/>
    </row>
    <row r="355" spans="1:8" ht="15.75">
      <c r="A355" s="33"/>
      <c r="B355" s="34"/>
      <c r="C355" s="35"/>
      <c r="D355" s="36"/>
      <c r="E355" s="36"/>
      <c r="F355" s="37"/>
      <c r="G355" s="11"/>
      <c r="H355" s="38"/>
    </row>
    <row r="356" spans="1:8" ht="15.75">
      <c r="A356" s="33"/>
      <c r="B356" s="34"/>
      <c r="C356" s="35"/>
      <c r="D356" s="36"/>
      <c r="E356" s="36"/>
      <c r="F356" s="37"/>
      <c r="G356" s="11"/>
      <c r="H356" s="38"/>
    </row>
    <row r="357" spans="1:8" ht="15.75">
      <c r="A357" s="33"/>
      <c r="B357" s="34"/>
      <c r="C357" s="35"/>
      <c r="D357" s="36"/>
      <c r="E357" s="36"/>
      <c r="F357" s="37"/>
      <c r="G357" s="11"/>
      <c r="H357" s="38"/>
    </row>
    <row r="358" spans="1:8" ht="15.75">
      <c r="A358" s="33"/>
      <c r="B358" s="34"/>
      <c r="C358" s="35"/>
      <c r="D358" s="36"/>
      <c r="E358" s="36"/>
      <c r="F358" s="37"/>
      <c r="G358" s="11"/>
      <c r="H358" s="38"/>
    </row>
    <row r="359" spans="1:8" ht="15.75">
      <c r="A359" s="33"/>
      <c r="B359" s="34"/>
      <c r="C359" s="35"/>
      <c r="D359" s="36"/>
      <c r="E359" s="36"/>
      <c r="F359" s="37"/>
      <c r="G359" s="11"/>
      <c r="H359" s="38"/>
    </row>
    <row r="360" spans="1:8" ht="15.75">
      <c r="A360" s="33"/>
      <c r="B360" s="34"/>
      <c r="C360" s="35"/>
      <c r="D360" s="36"/>
      <c r="E360" s="36"/>
      <c r="F360" s="37"/>
      <c r="G360" s="11"/>
      <c r="H360" s="38"/>
    </row>
    <row r="361" spans="1:8" ht="15.75">
      <c r="A361" s="33"/>
      <c r="B361" s="34"/>
      <c r="C361" s="35"/>
      <c r="D361" s="36"/>
      <c r="E361" s="36"/>
      <c r="F361" s="37"/>
      <c r="G361" s="11"/>
      <c r="H361" s="38"/>
    </row>
    <row r="362" spans="1:8" ht="15.75">
      <c r="A362" s="33"/>
      <c r="B362" s="34"/>
      <c r="C362" s="35"/>
      <c r="D362" s="36"/>
      <c r="E362" s="36"/>
      <c r="F362" s="37"/>
      <c r="G362" s="11"/>
      <c r="H362" s="38"/>
    </row>
    <row r="363" spans="1:8" ht="15.75">
      <c r="A363" s="33"/>
      <c r="B363" s="34"/>
      <c r="C363" s="35"/>
      <c r="D363" s="36"/>
      <c r="E363" s="36"/>
      <c r="F363" s="37"/>
      <c r="G363" s="11"/>
      <c r="H363" s="38"/>
    </row>
    <row r="364" spans="1:8" ht="15.75">
      <c r="A364" s="33"/>
      <c r="B364" s="34"/>
      <c r="C364" s="35"/>
      <c r="D364" s="36"/>
      <c r="E364" s="36"/>
      <c r="F364" s="37"/>
      <c r="G364" s="11"/>
      <c r="H364" s="38"/>
    </row>
    <row r="365" spans="1:8" ht="15.75">
      <c r="A365" s="33"/>
      <c r="B365" s="34"/>
      <c r="C365" s="35"/>
      <c r="D365" s="36"/>
      <c r="E365" s="36"/>
      <c r="F365" s="37"/>
      <c r="G365" s="11"/>
      <c r="H365" s="38"/>
    </row>
    <row r="366" spans="1:8" ht="15.75">
      <c r="A366" s="33"/>
      <c r="B366" s="34"/>
      <c r="C366" s="35"/>
      <c r="D366" s="36"/>
      <c r="E366" s="36"/>
      <c r="F366" s="37"/>
      <c r="G366" s="11"/>
      <c r="H366" s="38"/>
    </row>
    <row r="367" spans="1:8" ht="15.75">
      <c r="A367" s="33"/>
      <c r="B367" s="34"/>
      <c r="C367" s="35"/>
      <c r="D367" s="36"/>
      <c r="E367" s="36"/>
      <c r="F367" s="37"/>
      <c r="G367" s="11"/>
      <c r="H367" s="38"/>
    </row>
    <row r="368" spans="1:8" ht="15.75">
      <c r="A368" s="33"/>
      <c r="B368" s="34"/>
      <c r="C368" s="35"/>
      <c r="D368" s="36"/>
      <c r="E368" s="36"/>
      <c r="F368" s="37"/>
      <c r="G368" s="11"/>
      <c r="H368" s="38"/>
    </row>
    <row r="369" spans="1:8" ht="15.75">
      <c r="A369" s="33"/>
      <c r="B369" s="34"/>
      <c r="C369" s="35"/>
      <c r="D369" s="36"/>
      <c r="E369" s="36"/>
      <c r="F369" s="37"/>
      <c r="G369" s="11"/>
      <c r="H369" s="38"/>
    </row>
    <row r="370" spans="1:8" ht="15.75">
      <c r="A370" s="33"/>
      <c r="B370" s="34"/>
      <c r="C370" s="35"/>
      <c r="D370" s="36"/>
      <c r="E370" s="36"/>
      <c r="F370" s="37"/>
      <c r="G370" s="11"/>
      <c r="H370" s="38"/>
    </row>
    <row r="371" spans="1:8" ht="15.75">
      <c r="A371" s="33"/>
      <c r="B371" s="34"/>
      <c r="C371" s="35"/>
      <c r="D371" s="36"/>
      <c r="E371" s="36"/>
      <c r="F371" s="37"/>
      <c r="G371" s="11"/>
      <c r="H371" s="38"/>
    </row>
    <row r="372" spans="1:8" ht="15.75">
      <c r="A372" s="33"/>
      <c r="B372" s="34"/>
      <c r="C372" s="35"/>
      <c r="D372" s="36"/>
      <c r="E372" s="36"/>
      <c r="F372" s="37"/>
      <c r="G372" s="11"/>
      <c r="H372" s="38"/>
    </row>
    <row r="373" spans="1:8" ht="15.75">
      <c r="A373" s="33"/>
      <c r="B373" s="34"/>
      <c r="C373" s="35"/>
      <c r="D373" s="36"/>
      <c r="E373" s="36"/>
      <c r="F373" s="37"/>
      <c r="G373" s="11"/>
      <c r="H373" s="38"/>
    </row>
    <row r="374" spans="1:8" ht="15.75">
      <c r="A374" s="33"/>
      <c r="B374" s="34"/>
      <c r="C374" s="35"/>
      <c r="D374" s="36"/>
      <c r="E374" s="36"/>
      <c r="F374" s="37"/>
      <c r="G374" s="11"/>
      <c r="H374" s="38"/>
    </row>
    <row r="375" spans="1:8" ht="15.75">
      <c r="A375" s="33"/>
      <c r="B375" s="34"/>
      <c r="C375" s="35"/>
      <c r="D375" s="36"/>
      <c r="E375" s="36"/>
      <c r="F375" s="37"/>
      <c r="G375" s="11"/>
      <c r="H375" s="38"/>
    </row>
    <row r="376" spans="1:8" ht="15.75">
      <c r="A376" s="33"/>
      <c r="B376" s="34"/>
      <c r="C376" s="35"/>
      <c r="D376" s="36"/>
      <c r="E376" s="36"/>
      <c r="F376" s="37"/>
      <c r="G376" s="11"/>
      <c r="H376" s="38"/>
    </row>
    <row r="377" spans="1:8" ht="15.75">
      <c r="A377" s="33"/>
      <c r="B377" s="34"/>
      <c r="C377" s="35"/>
      <c r="D377" s="36"/>
      <c r="E377" s="36"/>
      <c r="F377" s="37"/>
      <c r="G377" s="11"/>
      <c r="H377" s="38"/>
    </row>
    <row r="378" spans="1:8" ht="15.75">
      <c r="A378" s="33"/>
      <c r="B378" s="34"/>
      <c r="C378" s="35"/>
      <c r="D378" s="36"/>
      <c r="E378" s="36"/>
      <c r="F378" s="37"/>
      <c r="G378" s="11"/>
      <c r="H378" s="38"/>
    </row>
    <row r="379" spans="1:8" ht="15.75">
      <c r="A379" s="33"/>
      <c r="B379" s="34"/>
      <c r="C379" s="35"/>
      <c r="D379" s="36"/>
      <c r="E379" s="36"/>
      <c r="F379" s="37"/>
      <c r="G379" s="11"/>
      <c r="H379" s="38"/>
    </row>
    <row r="380" spans="1:8" ht="15.75">
      <c r="A380" s="33"/>
      <c r="B380" s="34"/>
      <c r="C380" s="35"/>
      <c r="D380" s="36"/>
      <c r="E380" s="36"/>
      <c r="F380" s="37"/>
      <c r="G380" s="11"/>
      <c r="H380" s="38"/>
    </row>
    <row r="381" spans="1:8" ht="15.75">
      <c r="A381" s="33"/>
      <c r="B381" s="34"/>
      <c r="C381" s="35"/>
      <c r="D381" s="36"/>
      <c r="E381" s="36"/>
      <c r="F381" s="37"/>
      <c r="G381" s="11"/>
      <c r="H381" s="38"/>
    </row>
    <row r="382" spans="1:8" ht="15.75">
      <c r="A382" s="33"/>
      <c r="B382" s="34"/>
      <c r="C382" s="35"/>
      <c r="D382" s="36"/>
      <c r="E382" s="36"/>
      <c r="F382" s="37"/>
      <c r="G382" s="11"/>
      <c r="H382" s="38"/>
    </row>
    <row r="383" spans="1:8" ht="15.75">
      <c r="A383" s="33"/>
      <c r="B383" s="34"/>
      <c r="C383" s="35"/>
      <c r="D383" s="36"/>
      <c r="E383" s="36"/>
      <c r="F383" s="37"/>
      <c r="G383" s="11"/>
      <c r="H383" s="38"/>
    </row>
  </sheetData>
  <mergeCells count="3">
    <mergeCell ref="E6:H6"/>
    <mergeCell ref="B11:B15"/>
    <mergeCell ref="A11:A15"/>
  </mergeCells>
  <pageMargins left="0.7" right="0.7" top="0.75" bottom="0.75" header="0.3" footer="0.3"/>
  <pageSetup paperSize="9" scale="62" fitToHeight="0"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64"/>
  <sheetViews>
    <sheetView tabSelected="1" zoomScale="120" zoomScaleNormal="120" zoomScaleSheetLayoutView="55" workbookViewId="0">
      <selection activeCell="E13" sqref="E13"/>
    </sheetView>
  </sheetViews>
  <sheetFormatPr defaultColWidth="29.5703125" defaultRowHeight="15"/>
  <cols>
    <col min="1" max="1" width="7.7109375" style="325" customWidth="1"/>
    <col min="2" max="2" width="46.5703125" style="323" customWidth="1"/>
    <col min="3" max="3" width="11.140625" style="323" customWidth="1"/>
    <col min="4" max="6" width="16" style="323" customWidth="1"/>
    <col min="7" max="16384" width="29.5703125" style="323"/>
  </cols>
  <sheetData>
    <row r="1" spans="1:6" ht="60" customHeight="1">
      <c r="A1" s="654" t="s">
        <v>1086</v>
      </c>
      <c r="B1" s="655"/>
      <c r="C1" s="655"/>
      <c r="D1" s="655"/>
      <c r="E1" s="655"/>
      <c r="F1" s="655"/>
    </row>
    <row r="2" spans="1:6" ht="18.75">
      <c r="A2" s="654" t="s">
        <v>1087</v>
      </c>
      <c r="B2" s="655"/>
      <c r="C2" s="655"/>
      <c r="D2" s="655"/>
      <c r="E2" s="655"/>
      <c r="F2" s="655"/>
    </row>
    <row r="3" spans="1:6" ht="18" thickBot="1">
      <c r="A3" s="326"/>
      <c r="B3" s="327"/>
      <c r="C3" s="326"/>
      <c r="D3" s="326"/>
      <c r="E3" s="326"/>
      <c r="F3" s="326"/>
    </row>
    <row r="4" spans="1:6" s="375" customFormat="1" ht="18" hidden="1" thickBot="1">
      <c r="A4" s="376"/>
      <c r="B4" s="377" t="s">
        <v>1073</v>
      </c>
      <c r="C4" s="376"/>
      <c r="D4" s="376"/>
      <c r="E4" s="376"/>
      <c r="F4" s="376"/>
    </row>
    <row r="5" spans="1:6" ht="18" hidden="1" thickBot="1">
      <c r="A5" s="326"/>
      <c r="B5" s="374" t="s">
        <v>1082</v>
      </c>
      <c r="C5" s="326"/>
      <c r="D5" s="326"/>
      <c r="E5" s="326"/>
      <c r="F5" s="326"/>
    </row>
    <row r="6" spans="1:6" ht="21.6" hidden="1" customHeight="1" thickBot="1">
      <c r="B6" s="373" t="s">
        <v>1077</v>
      </c>
      <c r="C6" s="328"/>
      <c r="D6" s="328"/>
      <c r="E6" s="328"/>
      <c r="F6" s="328"/>
    </row>
    <row r="7" spans="1:6" ht="23.25" customHeight="1">
      <c r="A7" s="663" t="s">
        <v>4</v>
      </c>
      <c r="B7" s="666" t="s">
        <v>308</v>
      </c>
      <c r="C7" s="669" t="s">
        <v>425</v>
      </c>
      <c r="D7" s="672" t="s">
        <v>426</v>
      </c>
      <c r="E7" s="673"/>
      <c r="F7" s="674"/>
    </row>
    <row r="8" spans="1:6" ht="15.75" customHeight="1">
      <c r="A8" s="664"/>
      <c r="B8" s="667"/>
      <c r="C8" s="670"/>
      <c r="D8" s="675"/>
      <c r="E8" s="676"/>
      <c r="F8" s="677"/>
    </row>
    <row r="9" spans="1:6" ht="15.6" customHeight="1">
      <c r="A9" s="664"/>
      <c r="B9" s="667"/>
      <c r="C9" s="670"/>
      <c r="D9" s="644" t="s">
        <v>427</v>
      </c>
      <c r="E9" s="646" t="s">
        <v>428</v>
      </c>
      <c r="F9" s="648"/>
    </row>
    <row r="10" spans="1:6" ht="15.75" customHeight="1">
      <c r="A10" s="664"/>
      <c r="B10" s="667"/>
      <c r="C10" s="670"/>
      <c r="D10" s="644"/>
      <c r="E10" s="646" t="s">
        <v>429</v>
      </c>
      <c r="F10" s="648" t="s">
        <v>430</v>
      </c>
    </row>
    <row r="11" spans="1:6" ht="34.5" customHeight="1" thickBot="1">
      <c r="A11" s="665"/>
      <c r="B11" s="668"/>
      <c r="C11" s="671"/>
      <c r="D11" s="645"/>
      <c r="E11" s="647"/>
      <c r="F11" s="649"/>
    </row>
    <row r="12" spans="1:6" s="329" customFormat="1" ht="19.5" customHeight="1">
      <c r="A12" s="549">
        <v>1</v>
      </c>
      <c r="B12" s="555">
        <v>2</v>
      </c>
      <c r="C12" s="341">
        <v>3</v>
      </c>
      <c r="D12" s="550">
        <v>4</v>
      </c>
      <c r="E12" s="340">
        <v>5</v>
      </c>
      <c r="F12" s="351">
        <v>6</v>
      </c>
    </row>
    <row r="13" spans="1:6" ht="35.450000000000003" customHeight="1">
      <c r="A13" s="330" t="s">
        <v>312</v>
      </c>
      <c r="B13" s="556" t="s">
        <v>431</v>
      </c>
      <c r="C13" s="424" t="s">
        <v>432</v>
      </c>
      <c r="D13" s="334">
        <f>E13</f>
        <v>49.38</v>
      </c>
      <c r="E13" s="333">
        <v>49.38</v>
      </c>
      <c r="F13" s="332" t="s">
        <v>101</v>
      </c>
    </row>
    <row r="14" spans="1:6" ht="15.75">
      <c r="A14" s="330" t="s">
        <v>321</v>
      </c>
      <c r="B14" s="557" t="s">
        <v>433</v>
      </c>
      <c r="C14" s="424" t="s">
        <v>9</v>
      </c>
      <c r="D14" s="334">
        <f>F14</f>
        <v>32.11</v>
      </c>
      <c r="E14" s="333" t="s">
        <v>101</v>
      </c>
      <c r="F14" s="332">
        <v>32.11</v>
      </c>
    </row>
    <row r="15" spans="1:6" ht="19.5" customHeight="1">
      <c r="A15" s="551"/>
      <c r="B15" s="558" t="s">
        <v>324</v>
      </c>
      <c r="C15" s="553"/>
      <c r="D15" s="334">
        <f t="shared" ref="D15:D19" si="0">F15</f>
        <v>0</v>
      </c>
      <c r="E15" s="333"/>
      <c r="F15" s="332"/>
    </row>
    <row r="16" spans="1:6" ht="31.5">
      <c r="A16" s="552" t="s">
        <v>7</v>
      </c>
      <c r="B16" s="410" t="s">
        <v>434</v>
      </c>
      <c r="C16" s="554" t="s">
        <v>316</v>
      </c>
      <c r="D16" s="334">
        <f t="shared" si="0"/>
        <v>32.11</v>
      </c>
      <c r="E16" s="333" t="s">
        <v>101</v>
      </c>
      <c r="F16" s="332">
        <v>32.11</v>
      </c>
    </row>
    <row r="17" spans="1:7" ht="15.75">
      <c r="A17" s="552" t="s">
        <v>8</v>
      </c>
      <c r="B17" s="410" t="s">
        <v>435</v>
      </c>
      <c r="C17" s="554" t="s">
        <v>316</v>
      </c>
      <c r="D17" s="334">
        <f t="shared" si="0"/>
        <v>0</v>
      </c>
      <c r="E17" s="333" t="s">
        <v>101</v>
      </c>
      <c r="F17" s="332">
        <v>0</v>
      </c>
    </row>
    <row r="18" spans="1:7" ht="15.75">
      <c r="A18" s="552" t="s">
        <v>30</v>
      </c>
      <c r="B18" s="410" t="s">
        <v>436</v>
      </c>
      <c r="C18" s="554" t="s">
        <v>316</v>
      </c>
      <c r="D18" s="334">
        <f t="shared" si="0"/>
        <v>0</v>
      </c>
      <c r="E18" s="333" t="s">
        <v>101</v>
      </c>
      <c r="F18" s="332">
        <v>0</v>
      </c>
    </row>
    <row r="19" spans="1:7" ht="47.25">
      <c r="A19" s="552" t="s">
        <v>327</v>
      </c>
      <c r="B19" s="410" t="s">
        <v>437</v>
      </c>
      <c r="C19" s="554" t="s">
        <v>316</v>
      </c>
      <c r="D19" s="334">
        <f t="shared" si="0"/>
        <v>0</v>
      </c>
      <c r="E19" s="333" t="s">
        <v>101</v>
      </c>
      <c r="F19" s="332">
        <v>0</v>
      </c>
    </row>
    <row r="20" spans="1:7" ht="47.25">
      <c r="A20" s="330" t="s">
        <v>169</v>
      </c>
      <c r="B20" s="556" t="s">
        <v>438</v>
      </c>
      <c r="C20" s="554" t="s">
        <v>323</v>
      </c>
      <c r="D20" s="334">
        <f>E20</f>
        <v>49.38</v>
      </c>
      <c r="E20" s="478">
        <v>49.38</v>
      </c>
      <c r="F20" s="332" t="s">
        <v>101</v>
      </c>
    </row>
    <row r="21" spans="1:7" ht="15.75">
      <c r="A21" s="658" t="s">
        <v>31</v>
      </c>
      <c r="B21" s="558" t="s">
        <v>439</v>
      </c>
      <c r="C21" s="553"/>
      <c r="D21" s="334"/>
      <c r="E21" s="360"/>
      <c r="F21" s="336"/>
    </row>
    <row r="22" spans="1:7" ht="15.75">
      <c r="A22" s="658"/>
      <c r="B22" s="410" t="s">
        <v>440</v>
      </c>
      <c r="C22" s="554" t="s">
        <v>316</v>
      </c>
      <c r="D22" s="334">
        <f t="shared" ref="D22" si="1">E22</f>
        <v>46.912999999999997</v>
      </c>
      <c r="E22" s="478">
        <v>46.912999999999997</v>
      </c>
      <c r="F22" s="332" t="s">
        <v>328</v>
      </c>
    </row>
    <row r="23" spans="1:7" ht="48.6" customHeight="1" thickBot="1">
      <c r="A23" s="348" t="s">
        <v>70</v>
      </c>
      <c r="B23" s="559" t="s">
        <v>1083</v>
      </c>
      <c r="C23" s="428" t="s">
        <v>432</v>
      </c>
      <c r="D23" s="479">
        <f>E23</f>
        <v>52.944209999999998</v>
      </c>
      <c r="E23" s="480">
        <v>52.944209999999998</v>
      </c>
      <c r="F23" s="416" t="s">
        <v>101</v>
      </c>
    </row>
    <row r="24" spans="1:7" ht="16.5" hidden="1" thickBot="1">
      <c r="A24" s="339"/>
      <c r="B24" s="417"/>
      <c r="C24" s="414"/>
      <c r="D24" s="418"/>
      <c r="E24" s="419"/>
      <c r="F24" s="420"/>
    </row>
    <row r="25" spans="1:7" ht="16.5" hidden="1" thickBot="1">
      <c r="A25" s="342"/>
      <c r="B25" s="421"/>
      <c r="C25" s="331"/>
      <c r="D25" s="422"/>
      <c r="E25" s="423"/>
      <c r="F25" s="424"/>
    </row>
    <row r="26" spans="1:7" ht="16.5" hidden="1" thickBot="1">
      <c r="A26" s="342"/>
      <c r="B26" s="421"/>
      <c r="C26" s="331"/>
      <c r="D26" s="422"/>
      <c r="E26" s="423"/>
      <c r="F26" s="424"/>
    </row>
    <row r="27" spans="1:7" ht="16.5" hidden="1" thickBot="1">
      <c r="A27" s="342"/>
      <c r="B27" s="421"/>
      <c r="C27" s="331"/>
      <c r="D27" s="422"/>
      <c r="E27" s="423"/>
      <c r="F27" s="424"/>
    </row>
    <row r="28" spans="1:7" ht="16.5" hidden="1" thickBot="1">
      <c r="A28" s="343"/>
      <c r="B28" s="425"/>
      <c r="C28" s="397"/>
      <c r="D28" s="426"/>
      <c r="E28" s="427"/>
      <c r="F28" s="428"/>
    </row>
    <row r="29" spans="1:7" ht="16.5" thickBot="1">
      <c r="A29" s="344"/>
      <c r="B29" s="659" t="s">
        <v>0</v>
      </c>
      <c r="C29" s="660"/>
      <c r="D29" s="660"/>
      <c r="E29" s="660"/>
      <c r="F29" s="661"/>
    </row>
    <row r="30" spans="1:7" ht="15.75">
      <c r="A30" s="330">
        <v>1</v>
      </c>
      <c r="B30" s="567" t="s">
        <v>81</v>
      </c>
      <c r="C30" s="561" t="s">
        <v>11</v>
      </c>
      <c r="D30" s="481">
        <f>E30+F30</f>
        <v>49951.31</v>
      </c>
      <c r="E30" s="482">
        <f>E31+E42+E43+E47</f>
        <v>31653.11</v>
      </c>
      <c r="F30" s="483">
        <f>F31+F42+F43+F47</f>
        <v>18298.2</v>
      </c>
      <c r="G30" s="477"/>
    </row>
    <row r="31" spans="1:7" ht="15.75">
      <c r="A31" s="330" t="s">
        <v>5</v>
      </c>
      <c r="B31" s="568" t="s">
        <v>82</v>
      </c>
      <c r="C31" s="562" t="s">
        <v>11</v>
      </c>
      <c r="D31" s="389">
        <f>E31+F31</f>
        <v>37712.020000000004</v>
      </c>
      <c r="E31" s="390">
        <f>E32+E36+E37+E40+E41</f>
        <v>31653.11</v>
      </c>
      <c r="F31" s="386">
        <f>F32+F36+F37+F40+F41</f>
        <v>6058.91</v>
      </c>
    </row>
    <row r="32" spans="1:7" ht="15.75">
      <c r="A32" s="330" t="s">
        <v>12</v>
      </c>
      <c r="B32" s="569" t="s">
        <v>441</v>
      </c>
      <c r="C32" s="562" t="s">
        <v>11</v>
      </c>
      <c r="D32" s="389">
        <f t="shared" ref="D32:D60" si="2">E32+F32</f>
        <v>35544.370000000003</v>
      </c>
      <c r="E32" s="390">
        <f>E33+E34+E35</f>
        <v>30203.09</v>
      </c>
      <c r="F32" s="386">
        <f>F33+F34+F35</f>
        <v>5341.28</v>
      </c>
    </row>
    <row r="33" spans="1:6" ht="15.75">
      <c r="A33" s="330" t="s">
        <v>442</v>
      </c>
      <c r="B33" s="570" t="s">
        <v>443</v>
      </c>
      <c r="C33" s="562" t="s">
        <v>11</v>
      </c>
      <c r="D33" s="389">
        <f t="shared" si="2"/>
        <v>29296.25</v>
      </c>
      <c r="E33" s="390">
        <v>29296.25</v>
      </c>
      <c r="F33" s="386">
        <v>0</v>
      </c>
    </row>
    <row r="34" spans="1:6" ht="15.75">
      <c r="A34" s="330" t="s">
        <v>444</v>
      </c>
      <c r="B34" s="570" t="s">
        <v>445</v>
      </c>
      <c r="C34" s="562" t="s">
        <v>11</v>
      </c>
      <c r="D34" s="389">
        <f t="shared" si="2"/>
        <v>906.84</v>
      </c>
      <c r="E34" s="390">
        <v>906.84</v>
      </c>
      <c r="F34" s="386">
        <v>0</v>
      </c>
    </row>
    <row r="35" spans="1:6" ht="15.75">
      <c r="A35" s="330" t="s">
        <v>446</v>
      </c>
      <c r="B35" s="570" t="s">
        <v>447</v>
      </c>
      <c r="C35" s="562" t="s">
        <v>11</v>
      </c>
      <c r="D35" s="389">
        <f t="shared" si="2"/>
        <v>5341.28</v>
      </c>
      <c r="E35" s="390">
        <v>0</v>
      </c>
      <c r="F35" s="386">
        <v>5341.28</v>
      </c>
    </row>
    <row r="36" spans="1:6" ht="15.75">
      <c r="A36" s="330" t="s">
        <v>13</v>
      </c>
      <c r="B36" s="571" t="s">
        <v>14</v>
      </c>
      <c r="C36" s="562" t="s">
        <v>11</v>
      </c>
      <c r="D36" s="389">
        <f t="shared" si="2"/>
        <v>1450.02</v>
      </c>
      <c r="E36" s="390">
        <v>1450.02</v>
      </c>
      <c r="F36" s="386">
        <v>0</v>
      </c>
    </row>
    <row r="37" spans="1:6" ht="63.75">
      <c r="A37" s="330" t="s">
        <v>15</v>
      </c>
      <c r="B37" s="572" t="s">
        <v>448</v>
      </c>
      <c r="C37" s="562" t="s">
        <v>11</v>
      </c>
      <c r="D37" s="389">
        <f t="shared" si="2"/>
        <v>0</v>
      </c>
      <c r="E37" s="387">
        <v>0</v>
      </c>
      <c r="F37" s="388">
        <v>0</v>
      </c>
    </row>
    <row r="38" spans="1:6" ht="15.75" hidden="1">
      <c r="A38" s="330" t="s">
        <v>449</v>
      </c>
      <c r="B38" s="572" t="s">
        <v>450</v>
      </c>
      <c r="C38" s="562" t="s">
        <v>11</v>
      </c>
      <c r="D38" s="389">
        <f t="shared" si="2"/>
        <v>0</v>
      </c>
      <c r="E38" s="390"/>
      <c r="F38" s="386"/>
    </row>
    <row r="39" spans="1:6" ht="38.25" hidden="1">
      <c r="A39" s="330" t="s">
        <v>451</v>
      </c>
      <c r="B39" s="572" t="s">
        <v>452</v>
      </c>
      <c r="C39" s="562" t="s">
        <v>11</v>
      </c>
      <c r="D39" s="389">
        <f t="shared" si="2"/>
        <v>0</v>
      </c>
      <c r="E39" s="390"/>
      <c r="F39" s="386"/>
    </row>
    <row r="40" spans="1:6" ht="25.5">
      <c r="A40" s="330" t="s">
        <v>16</v>
      </c>
      <c r="B40" s="573" t="s">
        <v>453</v>
      </c>
      <c r="C40" s="562" t="s">
        <v>11</v>
      </c>
      <c r="D40" s="389">
        <f t="shared" si="2"/>
        <v>64.66</v>
      </c>
      <c r="E40" s="390">
        <v>0</v>
      </c>
      <c r="F40" s="386">
        <v>64.66</v>
      </c>
    </row>
    <row r="41" spans="1:6" ht="15.75">
      <c r="A41" s="330" t="s">
        <v>17</v>
      </c>
      <c r="B41" s="568" t="s">
        <v>298</v>
      </c>
      <c r="C41" s="562" t="s">
        <v>11</v>
      </c>
      <c r="D41" s="389">
        <f t="shared" si="2"/>
        <v>652.97</v>
      </c>
      <c r="E41" s="390">
        <v>0</v>
      </c>
      <c r="F41" s="386">
        <v>652.97</v>
      </c>
    </row>
    <row r="42" spans="1:6" ht="15.75">
      <c r="A42" s="330" t="s">
        <v>6</v>
      </c>
      <c r="B42" s="568" t="s">
        <v>18</v>
      </c>
      <c r="C42" s="562" t="s">
        <v>11</v>
      </c>
      <c r="D42" s="389">
        <f t="shared" si="2"/>
        <v>7792.51</v>
      </c>
      <c r="E42" s="390">
        <v>0</v>
      </c>
      <c r="F42" s="386">
        <v>7792.51</v>
      </c>
    </row>
    <row r="43" spans="1:6" ht="15.75">
      <c r="A43" s="330" t="s">
        <v>19</v>
      </c>
      <c r="B43" s="568" t="s">
        <v>83</v>
      </c>
      <c r="C43" s="562" t="s">
        <v>11</v>
      </c>
      <c r="D43" s="389">
        <f t="shared" si="2"/>
        <v>2971.89</v>
      </c>
      <c r="E43" s="390">
        <v>0</v>
      </c>
      <c r="F43" s="386">
        <f>F44+F45+F46</f>
        <v>2971.89</v>
      </c>
    </row>
    <row r="44" spans="1:6" ht="25.5">
      <c r="A44" s="330" t="s">
        <v>20</v>
      </c>
      <c r="B44" s="569" t="s">
        <v>454</v>
      </c>
      <c r="C44" s="562" t="s">
        <v>11</v>
      </c>
      <c r="D44" s="389">
        <f t="shared" si="2"/>
        <v>1626.39</v>
      </c>
      <c r="E44" s="390">
        <v>0</v>
      </c>
      <c r="F44" s="386">
        <v>1626.39</v>
      </c>
    </row>
    <row r="45" spans="1:6" ht="15.75">
      <c r="A45" s="330" t="s">
        <v>21</v>
      </c>
      <c r="B45" s="571" t="s">
        <v>302</v>
      </c>
      <c r="C45" s="562" t="s">
        <v>11</v>
      </c>
      <c r="D45" s="389">
        <f t="shared" si="2"/>
        <v>724.09</v>
      </c>
      <c r="E45" s="390">
        <v>0</v>
      </c>
      <c r="F45" s="386">
        <v>724.09</v>
      </c>
    </row>
    <row r="46" spans="1:6" ht="15.75">
      <c r="A46" s="330" t="s">
        <v>22</v>
      </c>
      <c r="B46" s="571" t="s">
        <v>23</v>
      </c>
      <c r="C46" s="562" t="s">
        <v>11</v>
      </c>
      <c r="D46" s="389">
        <f t="shared" si="2"/>
        <v>621.41</v>
      </c>
      <c r="E46" s="390">
        <v>0</v>
      </c>
      <c r="F46" s="386">
        <v>621.41</v>
      </c>
    </row>
    <row r="47" spans="1:6" ht="15.75">
      <c r="A47" s="330" t="s">
        <v>24</v>
      </c>
      <c r="B47" s="574" t="s">
        <v>84</v>
      </c>
      <c r="C47" s="562" t="s">
        <v>11</v>
      </c>
      <c r="D47" s="389">
        <f t="shared" si="2"/>
        <v>1474.8899999999999</v>
      </c>
      <c r="E47" s="390">
        <v>0</v>
      </c>
      <c r="F47" s="386">
        <f>F48+F49+F50</f>
        <v>1474.8899999999999</v>
      </c>
    </row>
    <row r="48" spans="1:6" ht="15.75">
      <c r="A48" s="330" t="s">
        <v>25</v>
      </c>
      <c r="B48" s="571" t="s">
        <v>26</v>
      </c>
      <c r="C48" s="562" t="s">
        <v>11</v>
      </c>
      <c r="D48" s="389">
        <f t="shared" si="2"/>
        <v>1013.28</v>
      </c>
      <c r="E48" s="390">
        <v>0</v>
      </c>
      <c r="F48" s="386">
        <v>1013.28</v>
      </c>
    </row>
    <row r="49" spans="1:6" ht="25.5">
      <c r="A49" s="330" t="s">
        <v>27</v>
      </c>
      <c r="B49" s="569" t="s">
        <v>454</v>
      </c>
      <c r="C49" s="562" t="s">
        <v>11</v>
      </c>
      <c r="D49" s="389">
        <f t="shared" si="2"/>
        <v>208.25</v>
      </c>
      <c r="E49" s="390">
        <v>0</v>
      </c>
      <c r="F49" s="386">
        <v>208.25</v>
      </c>
    </row>
    <row r="50" spans="1:6" ht="15.75">
      <c r="A50" s="330" t="s">
        <v>28</v>
      </c>
      <c r="B50" s="571" t="s">
        <v>29</v>
      </c>
      <c r="C50" s="562" t="s">
        <v>11</v>
      </c>
      <c r="D50" s="389">
        <f t="shared" si="2"/>
        <v>253.36</v>
      </c>
      <c r="E50" s="390">
        <v>0</v>
      </c>
      <c r="F50" s="386">
        <v>253.36</v>
      </c>
    </row>
    <row r="51" spans="1:6" ht="15.75">
      <c r="A51" s="330">
        <v>2</v>
      </c>
      <c r="B51" s="574" t="s">
        <v>85</v>
      </c>
      <c r="C51" s="562" t="s">
        <v>11</v>
      </c>
      <c r="D51" s="389">
        <f t="shared" si="2"/>
        <v>4148.5</v>
      </c>
      <c r="E51" s="390">
        <v>0</v>
      </c>
      <c r="F51" s="386">
        <f>F52+F53+F54</f>
        <v>4148.5</v>
      </c>
    </row>
    <row r="52" spans="1:6" ht="15.75">
      <c r="A52" s="330" t="s">
        <v>7</v>
      </c>
      <c r="B52" s="571" t="s">
        <v>26</v>
      </c>
      <c r="C52" s="562" t="s">
        <v>11</v>
      </c>
      <c r="D52" s="389">
        <f t="shared" si="2"/>
        <v>3154.11</v>
      </c>
      <c r="E52" s="390">
        <v>0</v>
      </c>
      <c r="F52" s="386">
        <v>3154.11</v>
      </c>
    </row>
    <row r="53" spans="1:6" ht="25.5">
      <c r="A53" s="330" t="s">
        <v>8</v>
      </c>
      <c r="B53" s="569" t="s">
        <v>454</v>
      </c>
      <c r="C53" s="562" t="s">
        <v>11</v>
      </c>
      <c r="D53" s="389">
        <f t="shared" si="2"/>
        <v>693.9</v>
      </c>
      <c r="E53" s="390">
        <v>0</v>
      </c>
      <c r="F53" s="386">
        <v>693.9</v>
      </c>
    </row>
    <row r="54" spans="1:6" ht="15.75">
      <c r="A54" s="330" t="s">
        <v>30</v>
      </c>
      <c r="B54" s="572" t="s">
        <v>29</v>
      </c>
      <c r="C54" s="562" t="s">
        <v>11</v>
      </c>
      <c r="D54" s="389">
        <f t="shared" si="2"/>
        <v>300.49</v>
      </c>
      <c r="E54" s="390">
        <v>0</v>
      </c>
      <c r="F54" s="386">
        <v>300.49</v>
      </c>
    </row>
    <row r="55" spans="1:6" ht="15.75">
      <c r="A55" s="330" t="s">
        <v>69</v>
      </c>
      <c r="B55" s="573" t="s">
        <v>86</v>
      </c>
      <c r="C55" s="562" t="s">
        <v>11</v>
      </c>
      <c r="D55" s="389">
        <f t="shared" si="2"/>
        <v>0</v>
      </c>
      <c r="E55" s="390">
        <v>0</v>
      </c>
      <c r="F55" s="386">
        <f>F56+F57+F58</f>
        <v>0</v>
      </c>
    </row>
    <row r="56" spans="1:6" ht="15.75">
      <c r="A56" s="330" t="s">
        <v>31</v>
      </c>
      <c r="B56" s="573" t="s">
        <v>26</v>
      </c>
      <c r="C56" s="562" t="s">
        <v>11</v>
      </c>
      <c r="D56" s="389">
        <f t="shared" si="2"/>
        <v>0</v>
      </c>
      <c r="E56" s="390">
        <v>0</v>
      </c>
      <c r="F56" s="386">
        <v>0</v>
      </c>
    </row>
    <row r="57" spans="1:6" ht="25.5">
      <c r="A57" s="330" t="s">
        <v>32</v>
      </c>
      <c r="B57" s="569" t="s">
        <v>454</v>
      </c>
      <c r="C57" s="562" t="s">
        <v>11</v>
      </c>
      <c r="D57" s="389">
        <f t="shared" si="2"/>
        <v>0</v>
      </c>
      <c r="E57" s="390">
        <v>0</v>
      </c>
      <c r="F57" s="386">
        <v>0</v>
      </c>
    </row>
    <row r="58" spans="1:6" ht="15.75">
      <c r="A58" s="330" t="s">
        <v>33</v>
      </c>
      <c r="B58" s="573" t="s">
        <v>29</v>
      </c>
      <c r="C58" s="562" t="s">
        <v>11</v>
      </c>
      <c r="D58" s="389">
        <f t="shared" si="2"/>
        <v>0</v>
      </c>
      <c r="E58" s="390">
        <v>0</v>
      </c>
      <c r="F58" s="386">
        <v>0</v>
      </c>
    </row>
    <row r="59" spans="1:6" ht="15.75">
      <c r="A59" s="330" t="s">
        <v>70</v>
      </c>
      <c r="B59" s="569" t="s">
        <v>71</v>
      </c>
      <c r="C59" s="562" t="s">
        <v>11</v>
      </c>
      <c r="D59" s="389">
        <f t="shared" si="2"/>
        <v>0</v>
      </c>
      <c r="E59" s="390">
        <v>0</v>
      </c>
      <c r="F59" s="386">
        <v>0</v>
      </c>
    </row>
    <row r="60" spans="1:6" ht="15.75">
      <c r="A60" s="330" t="s">
        <v>65</v>
      </c>
      <c r="B60" s="571" t="s">
        <v>3</v>
      </c>
      <c r="C60" s="562" t="s">
        <v>11</v>
      </c>
      <c r="D60" s="389">
        <f t="shared" si="2"/>
        <v>0</v>
      </c>
      <c r="E60" s="390">
        <v>0</v>
      </c>
      <c r="F60" s="386">
        <v>0</v>
      </c>
    </row>
    <row r="61" spans="1:6" s="347" customFormat="1" ht="15.75">
      <c r="A61" s="330" t="s">
        <v>66</v>
      </c>
      <c r="B61" s="575" t="s">
        <v>72</v>
      </c>
      <c r="C61" s="563" t="s">
        <v>11</v>
      </c>
      <c r="D61" s="484">
        <f>E61+F61</f>
        <v>54099.81</v>
      </c>
      <c r="E61" s="392">
        <f>E30+E51</f>
        <v>31653.11</v>
      </c>
      <c r="F61" s="393">
        <f>F30+F51</f>
        <v>22446.7</v>
      </c>
    </row>
    <row r="62" spans="1:6" s="347" customFormat="1" ht="15.75">
      <c r="A62" s="330" t="s">
        <v>67</v>
      </c>
      <c r="B62" s="575" t="s">
        <v>87</v>
      </c>
      <c r="C62" s="563" t="s">
        <v>11</v>
      </c>
      <c r="D62" s="484">
        <f>E62+F62</f>
        <v>0</v>
      </c>
      <c r="E62" s="392">
        <v>0</v>
      </c>
      <c r="F62" s="393">
        <v>0</v>
      </c>
    </row>
    <row r="63" spans="1:6" s="347" customFormat="1" ht="15.75">
      <c r="A63" s="330"/>
      <c r="B63" s="575"/>
      <c r="C63" s="564"/>
      <c r="D63" s="392"/>
      <c r="E63" s="392"/>
      <c r="F63" s="393"/>
    </row>
    <row r="64" spans="1:6" s="347" customFormat="1" ht="15.75">
      <c r="A64" s="330" t="s">
        <v>68</v>
      </c>
      <c r="B64" s="576" t="s">
        <v>88</v>
      </c>
      <c r="C64" s="565" t="s">
        <v>11</v>
      </c>
      <c r="D64" s="537">
        <f>E64+F64</f>
        <v>0</v>
      </c>
      <c r="E64" s="538">
        <f>E65+E66+E67+E68+E69</f>
        <v>0</v>
      </c>
      <c r="F64" s="539">
        <f>F65+F66+F67+F68+F69</f>
        <v>0</v>
      </c>
    </row>
    <row r="65" spans="1:6" ht="15.75">
      <c r="A65" s="330" t="s">
        <v>59</v>
      </c>
      <c r="B65" s="571" t="s">
        <v>36</v>
      </c>
      <c r="C65" s="562" t="s">
        <v>11</v>
      </c>
      <c r="D65" s="391">
        <f t="shared" ref="D65:D69" si="3">E65+F65</f>
        <v>0</v>
      </c>
      <c r="E65" s="390">
        <v>0</v>
      </c>
      <c r="F65" s="540">
        <v>0</v>
      </c>
    </row>
    <row r="66" spans="1:6" ht="15.75">
      <c r="A66" s="330" t="s">
        <v>60</v>
      </c>
      <c r="B66" s="571" t="s">
        <v>37</v>
      </c>
      <c r="C66" s="562" t="s">
        <v>11</v>
      </c>
      <c r="D66" s="391">
        <f t="shared" si="3"/>
        <v>0</v>
      </c>
      <c r="E66" s="390">
        <v>0</v>
      </c>
      <c r="F66" s="540">
        <v>0</v>
      </c>
    </row>
    <row r="67" spans="1:6" ht="15.75">
      <c r="A67" s="330" t="s">
        <v>61</v>
      </c>
      <c r="B67" s="571" t="s">
        <v>38</v>
      </c>
      <c r="C67" s="562" t="s">
        <v>11</v>
      </c>
      <c r="D67" s="391">
        <f t="shared" si="3"/>
        <v>0</v>
      </c>
      <c r="E67" s="390">
        <v>0</v>
      </c>
      <c r="F67" s="540">
        <v>0</v>
      </c>
    </row>
    <row r="68" spans="1:6" ht="15.75">
      <c r="A68" s="330" t="s">
        <v>62</v>
      </c>
      <c r="B68" s="571" t="s">
        <v>39</v>
      </c>
      <c r="C68" s="562" t="s">
        <v>11</v>
      </c>
      <c r="D68" s="391">
        <f t="shared" si="3"/>
        <v>0</v>
      </c>
      <c r="E68" s="390">
        <v>0</v>
      </c>
      <c r="F68" s="540">
        <v>0</v>
      </c>
    </row>
    <row r="69" spans="1:6" ht="15.75">
      <c r="A69" s="330" t="s">
        <v>89</v>
      </c>
      <c r="B69" s="571" t="s">
        <v>46</v>
      </c>
      <c r="C69" s="562" t="s">
        <v>11</v>
      </c>
      <c r="D69" s="391">
        <f t="shared" si="3"/>
        <v>0</v>
      </c>
      <c r="E69" s="390">
        <v>0</v>
      </c>
      <c r="F69" s="531">
        <v>0</v>
      </c>
    </row>
    <row r="70" spans="1:6" s="347" customFormat="1" ht="26.25" thickBot="1">
      <c r="A70" s="348" t="s">
        <v>73</v>
      </c>
      <c r="B70" s="577" t="s">
        <v>40</v>
      </c>
      <c r="C70" s="566" t="s">
        <v>11</v>
      </c>
      <c r="D70" s="486">
        <f>E70+F70</f>
        <v>54099.81</v>
      </c>
      <c r="E70" s="487">
        <f>E61+E64</f>
        <v>31653.11</v>
      </c>
      <c r="F70" s="498">
        <f>F61+F64</f>
        <v>22446.7</v>
      </c>
    </row>
    <row r="71" spans="1:6" s="347" customFormat="1" ht="15.75" hidden="1">
      <c r="A71" s="541"/>
      <c r="B71" s="578"/>
      <c r="C71" s="378"/>
      <c r="D71" s="488" t="e">
        <f>#REF!-D70</f>
        <v>#REF!</v>
      </c>
      <c r="E71" s="489"/>
      <c r="F71" s="542"/>
    </row>
    <row r="72" spans="1:6" hidden="1">
      <c r="A72" s="543"/>
      <c r="B72" s="579"/>
      <c r="C72" s="490"/>
      <c r="D72" s="490"/>
      <c r="E72" s="490"/>
      <c r="F72" s="544"/>
    </row>
    <row r="73" spans="1:6" hidden="1">
      <c r="A73" s="543"/>
      <c r="B73" s="579"/>
      <c r="C73" s="490"/>
      <c r="D73" s="490"/>
      <c r="E73" s="490"/>
      <c r="F73" s="544"/>
    </row>
    <row r="74" spans="1:6" ht="31.5">
      <c r="A74" s="560" t="s">
        <v>74</v>
      </c>
      <c r="B74" s="404" t="s">
        <v>455</v>
      </c>
      <c r="C74" s="424" t="s">
        <v>296</v>
      </c>
      <c r="D74" s="394" t="s">
        <v>101</v>
      </c>
      <c r="E74" s="395" t="s">
        <v>101</v>
      </c>
      <c r="F74" s="396" t="s">
        <v>101</v>
      </c>
    </row>
    <row r="75" spans="1:6" ht="15.75">
      <c r="A75" s="560" t="s">
        <v>47</v>
      </c>
      <c r="B75" s="410" t="s">
        <v>456</v>
      </c>
      <c r="C75" s="424" t="s">
        <v>457</v>
      </c>
      <c r="D75" s="391">
        <f>E75</f>
        <v>597.85782052466175</v>
      </c>
      <c r="E75" s="392">
        <f>E70/E23</f>
        <v>597.85782052466175</v>
      </c>
      <c r="F75" s="491" t="s">
        <v>101</v>
      </c>
    </row>
    <row r="76" spans="1:6" ht="31.5">
      <c r="A76" s="560" t="s">
        <v>48</v>
      </c>
      <c r="B76" s="410" t="s">
        <v>1074</v>
      </c>
      <c r="C76" s="424" t="s">
        <v>458</v>
      </c>
      <c r="D76" s="415">
        <f>F76</f>
        <v>699067.22</v>
      </c>
      <c r="E76" s="429" t="s">
        <v>101</v>
      </c>
      <c r="F76" s="430">
        <v>699067.22</v>
      </c>
    </row>
    <row r="77" spans="1:6" ht="32.25" thickBot="1">
      <c r="A77" s="560" t="s">
        <v>58</v>
      </c>
      <c r="B77" s="412" t="s">
        <v>1075</v>
      </c>
      <c r="C77" s="428" t="s">
        <v>458</v>
      </c>
      <c r="D77" s="492">
        <f>F77</f>
        <v>58255.601666666662</v>
      </c>
      <c r="E77" s="493" t="str">
        <f t="shared" ref="E77" si="4">IFERROR(E76/12,"х")</f>
        <v>х</v>
      </c>
      <c r="F77" s="494">
        <f>F76/12</f>
        <v>58255.601666666662</v>
      </c>
    </row>
    <row r="78" spans="1:6" ht="31.5">
      <c r="A78" s="580" t="s">
        <v>75</v>
      </c>
      <c r="B78" s="400" t="s">
        <v>459</v>
      </c>
      <c r="C78" s="445" t="s">
        <v>296</v>
      </c>
      <c r="D78" s="495" t="s">
        <v>101</v>
      </c>
      <c r="E78" s="496" t="s">
        <v>101</v>
      </c>
      <c r="F78" s="497" t="s">
        <v>101</v>
      </c>
    </row>
    <row r="79" spans="1:6" ht="15.75">
      <c r="A79" s="581" t="s">
        <v>49</v>
      </c>
      <c r="B79" s="410" t="s">
        <v>456</v>
      </c>
      <c r="C79" s="424" t="s">
        <v>457</v>
      </c>
      <c r="D79" s="389">
        <f>E79</f>
        <v>717.4293846295941</v>
      </c>
      <c r="E79" s="390">
        <f>E75*1.2</f>
        <v>717.4293846295941</v>
      </c>
      <c r="F79" s="396" t="s">
        <v>101</v>
      </c>
    </row>
    <row r="80" spans="1:6" ht="31.5">
      <c r="A80" s="581" t="s">
        <v>50</v>
      </c>
      <c r="B80" s="410" t="s">
        <v>1074</v>
      </c>
      <c r="C80" s="424" t="s">
        <v>458</v>
      </c>
      <c r="D80" s="431">
        <f>F80</f>
        <v>838880.674</v>
      </c>
      <c r="E80" s="429" t="s">
        <v>101</v>
      </c>
      <c r="F80" s="430">
        <f>F76*1.2+0.01</f>
        <v>838880.674</v>
      </c>
    </row>
    <row r="81" spans="1:6" ht="32.25" thickBot="1">
      <c r="A81" s="582" t="s">
        <v>192</v>
      </c>
      <c r="B81" s="412" t="s">
        <v>1075</v>
      </c>
      <c r="C81" s="428" t="s">
        <v>458</v>
      </c>
      <c r="D81" s="492">
        <f>F81</f>
        <v>69906.721999999994</v>
      </c>
      <c r="E81" s="493" t="str">
        <f t="shared" ref="E81" si="5">IFERROR(E80/12,"х")</f>
        <v>х</v>
      </c>
      <c r="F81" s="494">
        <f>F77*1.2</f>
        <v>69906.721999999994</v>
      </c>
    </row>
    <row r="82" spans="1:6" ht="21" customHeight="1" thickBot="1">
      <c r="A82" s="457"/>
      <c r="B82" s="662" t="s">
        <v>1076</v>
      </c>
      <c r="C82" s="660"/>
      <c r="D82" s="660"/>
      <c r="E82" s="660"/>
      <c r="F82" s="661"/>
    </row>
    <row r="83" spans="1:6" s="347" customFormat="1" ht="15.75">
      <c r="A83" s="335">
        <v>1</v>
      </c>
      <c r="B83" s="584" t="s">
        <v>81</v>
      </c>
      <c r="C83" s="583" t="s">
        <v>11</v>
      </c>
      <c r="D83" s="481">
        <f>E83+F83</f>
        <v>18111.12</v>
      </c>
      <c r="E83" s="482">
        <f>E84+E90+E91+E95</f>
        <v>5270.11</v>
      </c>
      <c r="F83" s="483">
        <f>F84+F90+F91+F95</f>
        <v>12841.01</v>
      </c>
    </row>
    <row r="84" spans="1:6" ht="15.75">
      <c r="A84" s="335" t="s">
        <v>5</v>
      </c>
      <c r="B84" s="573" t="s">
        <v>82</v>
      </c>
      <c r="C84" s="562" t="s">
        <v>11</v>
      </c>
      <c r="D84" s="389">
        <f>E84+F84</f>
        <v>7970.2099999999991</v>
      </c>
      <c r="E84" s="390">
        <f>E85+E86+E87+E88</f>
        <v>5270.11</v>
      </c>
      <c r="F84" s="386">
        <f>F85+F86+F87+F88</f>
        <v>2700.1</v>
      </c>
    </row>
    <row r="85" spans="1:6" ht="15.75">
      <c r="A85" s="335" t="s">
        <v>12</v>
      </c>
      <c r="B85" s="573" t="s">
        <v>14</v>
      </c>
      <c r="C85" s="562" t="s">
        <v>11</v>
      </c>
      <c r="D85" s="389">
        <f t="shared" ref="D85:D117" si="6">E85+F85</f>
        <v>5270.11</v>
      </c>
      <c r="E85" s="390">
        <v>5270.11</v>
      </c>
      <c r="F85" s="386">
        <v>0</v>
      </c>
    </row>
    <row r="86" spans="1:6" ht="25.5">
      <c r="A86" s="335" t="s">
        <v>13</v>
      </c>
      <c r="B86" s="573" t="s">
        <v>460</v>
      </c>
      <c r="C86" s="562" t="s">
        <v>11</v>
      </c>
      <c r="D86" s="389">
        <f t="shared" si="6"/>
        <v>0</v>
      </c>
      <c r="E86" s="398">
        <v>0</v>
      </c>
      <c r="F86" s="399">
        <v>0</v>
      </c>
    </row>
    <row r="87" spans="1:6" ht="25.5">
      <c r="A87" s="335" t="s">
        <v>15</v>
      </c>
      <c r="B87" s="573" t="s">
        <v>461</v>
      </c>
      <c r="C87" s="562" t="s">
        <v>11</v>
      </c>
      <c r="D87" s="389">
        <f t="shared" si="6"/>
        <v>0</v>
      </c>
      <c r="E87" s="390">
        <v>0</v>
      </c>
      <c r="F87" s="386">
        <v>0</v>
      </c>
    </row>
    <row r="88" spans="1:6" ht="15.75">
      <c r="A88" s="335" t="s">
        <v>16</v>
      </c>
      <c r="B88" s="573" t="s">
        <v>298</v>
      </c>
      <c r="C88" s="562" t="s">
        <v>11</v>
      </c>
      <c r="D88" s="389">
        <f t="shared" si="6"/>
        <v>2700.1</v>
      </c>
      <c r="E88" s="390">
        <v>0</v>
      </c>
      <c r="F88" s="386">
        <v>2700.1</v>
      </c>
    </row>
    <row r="89" spans="1:6" ht="25.5">
      <c r="A89" s="335" t="s">
        <v>462</v>
      </c>
      <c r="B89" s="585" t="s">
        <v>463</v>
      </c>
      <c r="C89" s="562" t="s">
        <v>11</v>
      </c>
      <c r="D89" s="389">
        <f t="shared" si="6"/>
        <v>2130.81</v>
      </c>
      <c r="E89" s="390">
        <v>0</v>
      </c>
      <c r="F89" s="393">
        <v>2130.81</v>
      </c>
    </row>
    <row r="90" spans="1:6" ht="15.75">
      <c r="A90" s="335" t="s">
        <v>6</v>
      </c>
      <c r="B90" s="586" t="s">
        <v>18</v>
      </c>
      <c r="C90" s="562" t="s">
        <v>11</v>
      </c>
      <c r="D90" s="389">
        <f t="shared" si="6"/>
        <v>6204.74</v>
      </c>
      <c r="E90" s="390">
        <v>0</v>
      </c>
      <c r="F90" s="386">
        <v>6204.74</v>
      </c>
    </row>
    <row r="91" spans="1:6" ht="15.75">
      <c r="A91" s="335" t="s">
        <v>19</v>
      </c>
      <c r="B91" s="573" t="s">
        <v>83</v>
      </c>
      <c r="C91" s="562" t="s">
        <v>11</v>
      </c>
      <c r="D91" s="389">
        <f t="shared" si="6"/>
        <v>3464.3300000000004</v>
      </c>
      <c r="E91" s="390">
        <f>E92+E93+E94</f>
        <v>0</v>
      </c>
      <c r="F91" s="386">
        <f>F92+F93+F94</f>
        <v>3464.3300000000004</v>
      </c>
    </row>
    <row r="92" spans="1:6" ht="25.5">
      <c r="A92" s="335" t="s">
        <v>20</v>
      </c>
      <c r="B92" s="573" t="s">
        <v>454</v>
      </c>
      <c r="C92" s="562" t="s">
        <v>11</v>
      </c>
      <c r="D92" s="389">
        <f t="shared" si="6"/>
        <v>1344.3</v>
      </c>
      <c r="E92" s="390">
        <v>0</v>
      </c>
      <c r="F92" s="386">
        <v>1344.3</v>
      </c>
    </row>
    <row r="93" spans="1:6" ht="15.75">
      <c r="A93" s="335" t="s">
        <v>21</v>
      </c>
      <c r="B93" s="573" t="s">
        <v>304</v>
      </c>
      <c r="C93" s="562" t="s">
        <v>11</v>
      </c>
      <c r="D93" s="389">
        <f t="shared" si="6"/>
        <v>1939.46</v>
      </c>
      <c r="E93" s="390">
        <v>0</v>
      </c>
      <c r="F93" s="386">
        <v>1939.46</v>
      </c>
    </row>
    <row r="94" spans="1:6" ht="15.75">
      <c r="A94" s="335" t="s">
        <v>22</v>
      </c>
      <c r="B94" s="587" t="s">
        <v>42</v>
      </c>
      <c r="C94" s="562" t="s">
        <v>11</v>
      </c>
      <c r="D94" s="389">
        <f t="shared" si="6"/>
        <v>180.57</v>
      </c>
      <c r="E94" s="390">
        <v>0</v>
      </c>
      <c r="F94" s="386">
        <v>180.57</v>
      </c>
    </row>
    <row r="95" spans="1:6" ht="15.75">
      <c r="A95" s="335" t="s">
        <v>24</v>
      </c>
      <c r="B95" s="568" t="s">
        <v>84</v>
      </c>
      <c r="C95" s="562" t="s">
        <v>11</v>
      </c>
      <c r="D95" s="389">
        <f t="shared" si="6"/>
        <v>471.84000000000003</v>
      </c>
      <c r="E95" s="390">
        <v>0</v>
      </c>
      <c r="F95" s="393">
        <f>F96+F97+F98</f>
        <v>471.84000000000003</v>
      </c>
    </row>
    <row r="96" spans="1:6" ht="15.75">
      <c r="A96" s="335" t="s">
        <v>25</v>
      </c>
      <c r="B96" s="573" t="s">
        <v>26</v>
      </c>
      <c r="C96" s="562" t="s">
        <v>11</v>
      </c>
      <c r="D96" s="389">
        <f t="shared" si="6"/>
        <v>324.16000000000003</v>
      </c>
      <c r="E96" s="390">
        <v>0</v>
      </c>
      <c r="F96" s="386">
        <v>324.16000000000003</v>
      </c>
    </row>
    <row r="97" spans="1:6" ht="25.5">
      <c r="A97" s="335" t="s">
        <v>27</v>
      </c>
      <c r="B97" s="573" t="s">
        <v>454</v>
      </c>
      <c r="C97" s="562" t="s">
        <v>11</v>
      </c>
      <c r="D97" s="389">
        <f t="shared" si="6"/>
        <v>66.62</v>
      </c>
      <c r="E97" s="390">
        <v>0</v>
      </c>
      <c r="F97" s="386">
        <v>66.62</v>
      </c>
    </row>
    <row r="98" spans="1:6" ht="15.75">
      <c r="A98" s="335" t="s">
        <v>28</v>
      </c>
      <c r="B98" s="573" t="s">
        <v>29</v>
      </c>
      <c r="C98" s="562" t="s">
        <v>11</v>
      </c>
      <c r="D98" s="389">
        <f t="shared" si="6"/>
        <v>81.06</v>
      </c>
      <c r="E98" s="390">
        <v>0</v>
      </c>
      <c r="F98" s="386">
        <v>81.06</v>
      </c>
    </row>
    <row r="99" spans="1:6" s="347" customFormat="1" ht="15.75">
      <c r="A99" s="335">
        <v>2</v>
      </c>
      <c r="B99" s="588" t="s">
        <v>85</v>
      </c>
      <c r="C99" s="563" t="s">
        <v>11</v>
      </c>
      <c r="D99" s="389">
        <f t="shared" si="6"/>
        <v>1327.17</v>
      </c>
      <c r="E99" s="392">
        <v>0</v>
      </c>
      <c r="F99" s="393">
        <f>F100+F101+F102</f>
        <v>1327.17</v>
      </c>
    </row>
    <row r="100" spans="1:6" ht="15.75">
      <c r="A100" s="335" t="s">
        <v>7</v>
      </c>
      <c r="B100" s="571" t="s">
        <v>26</v>
      </c>
      <c r="C100" s="562" t="s">
        <v>11</v>
      </c>
      <c r="D100" s="389">
        <f t="shared" si="6"/>
        <v>1009.05</v>
      </c>
      <c r="E100" s="390">
        <v>0</v>
      </c>
      <c r="F100" s="386">
        <v>1009.05</v>
      </c>
    </row>
    <row r="101" spans="1:6" ht="25.5">
      <c r="A101" s="335" t="s">
        <v>8</v>
      </c>
      <c r="B101" s="571" t="s">
        <v>454</v>
      </c>
      <c r="C101" s="562" t="s">
        <v>11</v>
      </c>
      <c r="D101" s="389">
        <f t="shared" si="6"/>
        <v>221.99</v>
      </c>
      <c r="E101" s="390">
        <v>0</v>
      </c>
      <c r="F101" s="386">
        <v>221.99</v>
      </c>
    </row>
    <row r="102" spans="1:6" ht="15.75">
      <c r="A102" s="335" t="s">
        <v>30</v>
      </c>
      <c r="B102" s="572" t="s">
        <v>29</v>
      </c>
      <c r="C102" s="562" t="s">
        <v>11</v>
      </c>
      <c r="D102" s="389">
        <f t="shared" si="6"/>
        <v>96.13</v>
      </c>
      <c r="E102" s="390">
        <v>0</v>
      </c>
      <c r="F102" s="386">
        <v>96.13</v>
      </c>
    </row>
    <row r="103" spans="1:6" s="347" customFormat="1" ht="15.75">
      <c r="A103" s="335" t="s">
        <v>69</v>
      </c>
      <c r="B103" s="589" t="s">
        <v>86</v>
      </c>
      <c r="C103" s="563" t="s">
        <v>11</v>
      </c>
      <c r="D103" s="389">
        <f t="shared" si="6"/>
        <v>0</v>
      </c>
      <c r="E103" s="392">
        <v>0</v>
      </c>
      <c r="F103" s="393">
        <f>F104+F105+F106</f>
        <v>0</v>
      </c>
    </row>
    <row r="104" spans="1:6" ht="15.75">
      <c r="A104" s="335" t="s">
        <v>31</v>
      </c>
      <c r="B104" s="573" t="s">
        <v>26</v>
      </c>
      <c r="C104" s="562" t="s">
        <v>11</v>
      </c>
      <c r="D104" s="389">
        <f t="shared" si="6"/>
        <v>0</v>
      </c>
      <c r="E104" s="390">
        <v>0</v>
      </c>
      <c r="F104" s="386">
        <v>0</v>
      </c>
    </row>
    <row r="105" spans="1:6" ht="25.5">
      <c r="A105" s="335" t="s">
        <v>32</v>
      </c>
      <c r="B105" s="571" t="s">
        <v>454</v>
      </c>
      <c r="C105" s="562" t="s">
        <v>11</v>
      </c>
      <c r="D105" s="389">
        <f t="shared" si="6"/>
        <v>0</v>
      </c>
      <c r="E105" s="390">
        <v>0</v>
      </c>
      <c r="F105" s="386">
        <v>0</v>
      </c>
    </row>
    <row r="106" spans="1:6" ht="15.75">
      <c r="A106" s="335" t="s">
        <v>33</v>
      </c>
      <c r="B106" s="590" t="s">
        <v>93</v>
      </c>
      <c r="C106" s="562" t="s">
        <v>11</v>
      </c>
      <c r="D106" s="389">
        <f t="shared" si="6"/>
        <v>0</v>
      </c>
      <c r="E106" s="390">
        <v>0</v>
      </c>
      <c r="F106" s="386">
        <v>0</v>
      </c>
    </row>
    <row r="107" spans="1:6" s="347" customFormat="1" ht="15.75">
      <c r="A107" s="335" t="s">
        <v>70</v>
      </c>
      <c r="B107" s="575" t="s">
        <v>43</v>
      </c>
      <c r="C107" s="563" t="s">
        <v>11</v>
      </c>
      <c r="D107" s="389">
        <f t="shared" si="6"/>
        <v>0</v>
      </c>
      <c r="E107" s="390">
        <v>0</v>
      </c>
      <c r="F107" s="393">
        <v>0</v>
      </c>
    </row>
    <row r="108" spans="1:6" s="347" customFormat="1" ht="15.75">
      <c r="A108" s="335" t="s">
        <v>65</v>
      </c>
      <c r="B108" s="575" t="s">
        <v>3</v>
      </c>
      <c r="C108" s="563" t="s">
        <v>11</v>
      </c>
      <c r="D108" s="389">
        <f t="shared" si="6"/>
        <v>0</v>
      </c>
      <c r="E108" s="390">
        <v>0</v>
      </c>
      <c r="F108" s="393">
        <v>0</v>
      </c>
    </row>
    <row r="109" spans="1:6" ht="15.75">
      <c r="A109" s="335" t="s">
        <v>66</v>
      </c>
      <c r="B109" s="575" t="s">
        <v>34</v>
      </c>
      <c r="C109" s="562" t="s">
        <v>11</v>
      </c>
      <c r="D109" s="391">
        <f t="shared" si="6"/>
        <v>19438.29</v>
      </c>
      <c r="E109" s="392">
        <f>E83+E99</f>
        <v>5270.11</v>
      </c>
      <c r="F109" s="393">
        <f>F83+F99</f>
        <v>14168.18</v>
      </c>
    </row>
    <row r="110" spans="1:6" ht="15.75">
      <c r="A110" s="335"/>
      <c r="B110" s="575"/>
      <c r="C110" s="562"/>
      <c r="D110" s="389"/>
      <c r="E110" s="392"/>
      <c r="F110" s="393"/>
    </row>
    <row r="111" spans="1:6" ht="15.75">
      <c r="A111" s="335" t="s">
        <v>67</v>
      </c>
      <c r="B111" s="575" t="s">
        <v>94</v>
      </c>
      <c r="C111" s="562" t="s">
        <v>11</v>
      </c>
      <c r="D111" s="389">
        <f t="shared" si="6"/>
        <v>0</v>
      </c>
      <c r="E111" s="390">
        <v>0</v>
      </c>
      <c r="F111" s="386">
        <v>0</v>
      </c>
    </row>
    <row r="112" spans="1:6" s="347" customFormat="1" ht="15.75">
      <c r="A112" s="335" t="s">
        <v>68</v>
      </c>
      <c r="B112" s="575" t="s">
        <v>95</v>
      </c>
      <c r="C112" s="563" t="s">
        <v>11</v>
      </c>
      <c r="D112" s="391">
        <f t="shared" si="6"/>
        <v>0</v>
      </c>
      <c r="E112" s="392">
        <v>0</v>
      </c>
      <c r="F112" s="393">
        <v>0</v>
      </c>
    </row>
    <row r="113" spans="1:6" ht="15.75">
      <c r="A113" s="335" t="s">
        <v>59</v>
      </c>
      <c r="B113" s="571" t="s">
        <v>36</v>
      </c>
      <c r="C113" s="562" t="s">
        <v>11</v>
      </c>
      <c r="D113" s="389">
        <f t="shared" si="6"/>
        <v>0</v>
      </c>
      <c r="E113" s="390">
        <v>0</v>
      </c>
      <c r="F113" s="386">
        <v>0</v>
      </c>
    </row>
    <row r="114" spans="1:6" ht="15.75">
      <c r="A114" s="335" t="s">
        <v>60</v>
      </c>
      <c r="B114" s="571" t="s">
        <v>44</v>
      </c>
      <c r="C114" s="562" t="s">
        <v>11</v>
      </c>
      <c r="D114" s="389">
        <f t="shared" si="6"/>
        <v>0</v>
      </c>
      <c r="E114" s="390">
        <v>0</v>
      </c>
      <c r="F114" s="386">
        <v>0</v>
      </c>
    </row>
    <row r="115" spans="1:6" ht="15.75">
      <c r="A115" s="335" t="s">
        <v>61</v>
      </c>
      <c r="B115" s="571" t="s">
        <v>45</v>
      </c>
      <c r="C115" s="562" t="s">
        <v>11</v>
      </c>
      <c r="D115" s="389">
        <f t="shared" si="6"/>
        <v>0</v>
      </c>
      <c r="E115" s="390">
        <v>0</v>
      </c>
      <c r="F115" s="386">
        <v>0</v>
      </c>
    </row>
    <row r="116" spans="1:6" ht="15.75">
      <c r="A116" s="335" t="s">
        <v>62</v>
      </c>
      <c r="B116" s="571" t="s">
        <v>39</v>
      </c>
      <c r="C116" s="562" t="s">
        <v>11</v>
      </c>
      <c r="D116" s="389">
        <f t="shared" si="6"/>
        <v>0</v>
      </c>
      <c r="E116" s="390">
        <v>0</v>
      </c>
      <c r="F116" s="386">
        <v>0</v>
      </c>
    </row>
    <row r="117" spans="1:6" ht="15.75">
      <c r="A117" s="335" t="s">
        <v>89</v>
      </c>
      <c r="B117" s="571" t="s">
        <v>46</v>
      </c>
      <c r="C117" s="562" t="s">
        <v>11</v>
      </c>
      <c r="D117" s="389">
        <f t="shared" si="6"/>
        <v>0</v>
      </c>
      <c r="E117" s="390">
        <v>0</v>
      </c>
      <c r="F117" s="386">
        <v>0</v>
      </c>
    </row>
    <row r="118" spans="1:6" ht="26.25" thickBot="1">
      <c r="A118" s="337" t="s">
        <v>73</v>
      </c>
      <c r="B118" s="577" t="s">
        <v>464</v>
      </c>
      <c r="C118" s="562" t="s">
        <v>11</v>
      </c>
      <c r="D118" s="391">
        <f>E118+F118</f>
        <v>19438.29</v>
      </c>
      <c r="E118" s="487">
        <f>E109+E112</f>
        <v>5270.11</v>
      </c>
      <c r="F118" s="498">
        <f>F109+F112</f>
        <v>14168.18</v>
      </c>
    </row>
    <row r="119" spans="1:6" ht="32.25" hidden="1" customHeight="1">
      <c r="A119" s="458"/>
      <c r="B119" s="400"/>
      <c r="C119" s="401"/>
      <c r="D119" s="499"/>
      <c r="E119" s="402"/>
      <c r="F119" s="403"/>
    </row>
    <row r="120" spans="1:6" ht="36" hidden="1" customHeight="1">
      <c r="A120" s="454"/>
      <c r="B120" s="404"/>
      <c r="C120" s="405"/>
      <c r="D120" s="500"/>
      <c r="E120" s="406"/>
      <c r="F120" s="407"/>
    </row>
    <row r="121" spans="1:6" ht="36" customHeight="1">
      <c r="A121" s="458" t="s">
        <v>47</v>
      </c>
      <c r="B121" s="400" t="s">
        <v>465</v>
      </c>
      <c r="C121" s="401" t="s">
        <v>296</v>
      </c>
      <c r="D121" s="408" t="s">
        <v>101</v>
      </c>
      <c r="E121" s="409" t="s">
        <v>101</v>
      </c>
      <c r="F121" s="403" t="s">
        <v>101</v>
      </c>
    </row>
    <row r="122" spans="1:6" ht="15.75">
      <c r="A122" s="459" t="s">
        <v>48</v>
      </c>
      <c r="B122" s="410" t="s">
        <v>456</v>
      </c>
      <c r="C122" s="411" t="s">
        <v>457</v>
      </c>
      <c r="D122" s="501">
        <f>E122</f>
        <v>106.72559740785742</v>
      </c>
      <c r="E122" s="448">
        <f>E118/E20</f>
        <v>106.72559740785742</v>
      </c>
      <c r="F122" s="449" t="s">
        <v>101</v>
      </c>
    </row>
    <row r="123" spans="1:6" ht="31.5">
      <c r="A123" s="459" t="s">
        <v>58</v>
      </c>
      <c r="B123" s="410" t="s">
        <v>1074</v>
      </c>
      <c r="C123" s="411" t="s">
        <v>458</v>
      </c>
      <c r="D123" s="501">
        <f>F123</f>
        <v>441245.75</v>
      </c>
      <c r="E123" s="429" t="s">
        <v>101</v>
      </c>
      <c r="F123" s="430">
        <v>441245.75</v>
      </c>
    </row>
    <row r="124" spans="1:6" ht="32.25" thickBot="1">
      <c r="A124" s="338" t="s">
        <v>53</v>
      </c>
      <c r="B124" s="412" t="s">
        <v>1075</v>
      </c>
      <c r="C124" s="413" t="s">
        <v>458</v>
      </c>
      <c r="D124" s="502">
        <f>F124</f>
        <v>36770.479166666664</v>
      </c>
      <c r="E124" s="493" t="str">
        <f t="shared" ref="E124" si="7">IFERROR(E123/12,"х")</f>
        <v>х</v>
      </c>
      <c r="F124" s="494">
        <f>F123/12</f>
        <v>36770.479166666664</v>
      </c>
    </row>
    <row r="125" spans="1:6" ht="36" customHeight="1">
      <c r="A125" s="460" t="s">
        <v>75</v>
      </c>
      <c r="B125" s="503" t="s">
        <v>466</v>
      </c>
      <c r="C125" s="504" t="s">
        <v>296</v>
      </c>
      <c r="D125" s="505" t="s">
        <v>101</v>
      </c>
      <c r="E125" s="506" t="s">
        <v>101</v>
      </c>
      <c r="F125" s="507" t="s">
        <v>101</v>
      </c>
    </row>
    <row r="126" spans="1:6" ht="15.75">
      <c r="A126" s="455" t="s">
        <v>49</v>
      </c>
      <c r="B126" s="410" t="s">
        <v>456</v>
      </c>
      <c r="C126" s="411" t="s">
        <v>457</v>
      </c>
      <c r="D126" s="500">
        <f>E126</f>
        <v>128.07071688942889</v>
      </c>
      <c r="E126" s="406">
        <f>E122*1.2</f>
        <v>128.07071688942889</v>
      </c>
      <c r="F126" s="430" t="s">
        <v>101</v>
      </c>
    </row>
    <row r="127" spans="1:6" ht="31.5">
      <c r="A127" s="455" t="s">
        <v>50</v>
      </c>
      <c r="B127" s="410" t="s">
        <v>1074</v>
      </c>
      <c r="C127" s="411" t="s">
        <v>458</v>
      </c>
      <c r="D127" s="500">
        <f>F127</f>
        <v>529494.9</v>
      </c>
      <c r="E127" s="432" t="s">
        <v>101</v>
      </c>
      <c r="F127" s="407">
        <f>F123*1.2</f>
        <v>529494.9</v>
      </c>
    </row>
    <row r="128" spans="1:6" ht="32.25" thickBot="1">
      <c r="A128" s="456" t="s">
        <v>192</v>
      </c>
      <c r="B128" s="412" t="s">
        <v>1075</v>
      </c>
      <c r="C128" s="413" t="s">
        <v>458</v>
      </c>
      <c r="D128" s="500">
        <f>F128</f>
        <v>44124.574999999997</v>
      </c>
      <c r="E128" s="432" t="s">
        <v>101</v>
      </c>
      <c r="F128" s="407">
        <f>F124*1.2</f>
        <v>44124.574999999997</v>
      </c>
    </row>
    <row r="129" spans="1:6" ht="21.75" customHeight="1" thickBot="1">
      <c r="A129" s="461"/>
      <c r="B129" s="678" t="s">
        <v>1</v>
      </c>
      <c r="C129" s="660"/>
      <c r="D129" s="660"/>
      <c r="E129" s="660"/>
      <c r="F129" s="661"/>
    </row>
    <row r="130" spans="1:6" ht="15.75">
      <c r="A130" s="462">
        <v>1</v>
      </c>
      <c r="B130" s="592" t="s">
        <v>81</v>
      </c>
      <c r="C130" s="420" t="s">
        <v>11</v>
      </c>
      <c r="D130" s="508">
        <f>E130+F130</f>
        <v>1134.6400000000001</v>
      </c>
      <c r="E130" s="533">
        <f>E131+E132+E133+E137</f>
        <v>0</v>
      </c>
      <c r="F130" s="545">
        <f>F131+F132+F133+F137</f>
        <v>1134.6400000000001</v>
      </c>
    </row>
    <row r="131" spans="1:6" ht="15.75">
      <c r="A131" s="454" t="s">
        <v>5</v>
      </c>
      <c r="B131" s="571" t="s">
        <v>55</v>
      </c>
      <c r="C131" s="424" t="s">
        <v>11</v>
      </c>
      <c r="D131" s="509">
        <f>E131+F131</f>
        <v>66.209999999999994</v>
      </c>
      <c r="E131" s="390">
        <v>0</v>
      </c>
      <c r="F131" s="386">
        <v>66.209999999999994</v>
      </c>
    </row>
    <row r="132" spans="1:6" ht="15.75">
      <c r="A132" s="454" t="s">
        <v>6</v>
      </c>
      <c r="B132" s="571" t="s">
        <v>18</v>
      </c>
      <c r="C132" s="424" t="s">
        <v>11</v>
      </c>
      <c r="D132" s="509">
        <f t="shared" ref="D132:D159" si="8">E132+F132</f>
        <v>854.34</v>
      </c>
      <c r="E132" s="390">
        <v>0</v>
      </c>
      <c r="F132" s="531">
        <v>854.34</v>
      </c>
    </row>
    <row r="133" spans="1:6" ht="15.75">
      <c r="A133" s="454" t="s">
        <v>19</v>
      </c>
      <c r="B133" s="571" t="s">
        <v>83</v>
      </c>
      <c r="C133" s="424" t="s">
        <v>11</v>
      </c>
      <c r="D133" s="509">
        <f t="shared" si="8"/>
        <v>180.59</v>
      </c>
      <c r="E133" s="390">
        <v>0</v>
      </c>
      <c r="F133" s="531">
        <f>F134+F135+F136-0.01</f>
        <v>180.59</v>
      </c>
    </row>
    <row r="134" spans="1:6" ht="25.5">
      <c r="A134" s="454" t="s">
        <v>20</v>
      </c>
      <c r="B134" s="571" t="s">
        <v>454</v>
      </c>
      <c r="C134" s="424" t="s">
        <v>11</v>
      </c>
      <c r="D134" s="509">
        <f t="shared" si="8"/>
        <v>132.94</v>
      </c>
      <c r="E134" s="390">
        <v>0</v>
      </c>
      <c r="F134" s="531">
        <v>132.94</v>
      </c>
    </row>
    <row r="135" spans="1:6" ht="15.75">
      <c r="A135" s="454" t="s">
        <v>21</v>
      </c>
      <c r="B135" s="571" t="s">
        <v>304</v>
      </c>
      <c r="C135" s="424" t="s">
        <v>11</v>
      </c>
      <c r="D135" s="509">
        <f t="shared" si="8"/>
        <v>27.09</v>
      </c>
      <c r="E135" s="390">
        <v>0</v>
      </c>
      <c r="F135" s="531">
        <v>27.09</v>
      </c>
    </row>
    <row r="136" spans="1:6" ht="15.75">
      <c r="A136" s="454" t="s">
        <v>22</v>
      </c>
      <c r="B136" s="571" t="s">
        <v>23</v>
      </c>
      <c r="C136" s="424" t="s">
        <v>11</v>
      </c>
      <c r="D136" s="509">
        <f t="shared" si="8"/>
        <v>20.57</v>
      </c>
      <c r="E136" s="390">
        <v>0</v>
      </c>
      <c r="F136" s="531">
        <v>20.57</v>
      </c>
    </row>
    <row r="137" spans="1:6" ht="15.75">
      <c r="A137" s="454" t="s">
        <v>24</v>
      </c>
      <c r="B137" s="575" t="s">
        <v>84</v>
      </c>
      <c r="C137" s="591" t="s">
        <v>11</v>
      </c>
      <c r="D137" s="530">
        <f t="shared" si="8"/>
        <v>33.5</v>
      </c>
      <c r="E137" s="392">
        <v>0</v>
      </c>
      <c r="F137" s="532">
        <f>F138+F139+F140-0.01</f>
        <v>33.5</v>
      </c>
    </row>
    <row r="138" spans="1:6" ht="15.75">
      <c r="A138" s="454" t="s">
        <v>25</v>
      </c>
      <c r="B138" s="571" t="s">
        <v>26</v>
      </c>
      <c r="C138" s="424" t="s">
        <v>11</v>
      </c>
      <c r="D138" s="509">
        <f t="shared" si="8"/>
        <v>23.02</v>
      </c>
      <c r="E138" s="390">
        <v>0</v>
      </c>
      <c r="F138" s="531">
        <v>23.02</v>
      </c>
    </row>
    <row r="139" spans="1:6" ht="25.5">
      <c r="A139" s="454" t="s">
        <v>27</v>
      </c>
      <c r="B139" s="571" t="s">
        <v>454</v>
      </c>
      <c r="C139" s="424" t="s">
        <v>11</v>
      </c>
      <c r="D139" s="509">
        <f t="shared" si="8"/>
        <v>4.7300000000000004</v>
      </c>
      <c r="E139" s="390">
        <v>0</v>
      </c>
      <c r="F139" s="531">
        <v>4.7300000000000004</v>
      </c>
    </row>
    <row r="140" spans="1:6" ht="15.75">
      <c r="A140" s="454" t="s">
        <v>28</v>
      </c>
      <c r="B140" s="571" t="s">
        <v>29</v>
      </c>
      <c r="C140" s="424" t="s">
        <v>11</v>
      </c>
      <c r="D140" s="509">
        <f t="shared" si="8"/>
        <v>5.76</v>
      </c>
      <c r="E140" s="390">
        <v>0</v>
      </c>
      <c r="F140" s="531">
        <v>5.76</v>
      </c>
    </row>
    <row r="141" spans="1:6" ht="15.75">
      <c r="A141" s="454">
        <v>2</v>
      </c>
      <c r="B141" s="575" t="s">
        <v>85</v>
      </c>
      <c r="C141" s="424" t="s">
        <v>11</v>
      </c>
      <c r="D141" s="530">
        <f t="shared" si="8"/>
        <v>94.23</v>
      </c>
      <c r="E141" s="392">
        <v>0</v>
      </c>
      <c r="F141" s="532">
        <f>F142+F143+F144-0.01</f>
        <v>94.23</v>
      </c>
    </row>
    <row r="142" spans="1:6" ht="15.75">
      <c r="A142" s="454" t="s">
        <v>7</v>
      </c>
      <c r="B142" s="571" t="s">
        <v>26</v>
      </c>
      <c r="C142" s="424" t="s">
        <v>11</v>
      </c>
      <c r="D142" s="509">
        <f t="shared" si="8"/>
        <v>71.650000000000006</v>
      </c>
      <c r="E142" s="390">
        <v>0</v>
      </c>
      <c r="F142" s="531">
        <v>71.650000000000006</v>
      </c>
    </row>
    <row r="143" spans="1:6" ht="25.5">
      <c r="A143" s="454" t="s">
        <v>8</v>
      </c>
      <c r="B143" s="571" t="s">
        <v>454</v>
      </c>
      <c r="C143" s="424" t="s">
        <v>11</v>
      </c>
      <c r="D143" s="509">
        <f t="shared" si="8"/>
        <v>15.76</v>
      </c>
      <c r="E143" s="390">
        <v>0</v>
      </c>
      <c r="F143" s="531">
        <v>15.76</v>
      </c>
    </row>
    <row r="144" spans="1:6" ht="15.75">
      <c r="A144" s="454" t="s">
        <v>30</v>
      </c>
      <c r="B144" s="571" t="s">
        <v>29</v>
      </c>
      <c r="C144" s="424" t="s">
        <v>11</v>
      </c>
      <c r="D144" s="509">
        <f t="shared" si="8"/>
        <v>6.83</v>
      </c>
      <c r="E144" s="390">
        <v>0</v>
      </c>
      <c r="F144" s="531">
        <v>6.83</v>
      </c>
    </row>
    <row r="145" spans="1:6" ht="15.75">
      <c r="A145" s="454" t="s">
        <v>69</v>
      </c>
      <c r="B145" s="589" t="s">
        <v>86</v>
      </c>
      <c r="C145" s="424" t="s">
        <v>11</v>
      </c>
      <c r="D145" s="509">
        <f t="shared" si="8"/>
        <v>0</v>
      </c>
      <c r="E145" s="390">
        <v>0</v>
      </c>
      <c r="F145" s="531">
        <v>0</v>
      </c>
    </row>
    <row r="146" spans="1:6" ht="15.75">
      <c r="A146" s="454" t="s">
        <v>31</v>
      </c>
      <c r="B146" s="573" t="s">
        <v>26</v>
      </c>
      <c r="C146" s="424" t="s">
        <v>11</v>
      </c>
      <c r="D146" s="509">
        <f t="shared" si="8"/>
        <v>0</v>
      </c>
      <c r="E146" s="390">
        <v>0</v>
      </c>
      <c r="F146" s="531">
        <v>0</v>
      </c>
    </row>
    <row r="147" spans="1:6" ht="25.5">
      <c r="A147" s="454" t="s">
        <v>32</v>
      </c>
      <c r="B147" s="573" t="s">
        <v>454</v>
      </c>
      <c r="C147" s="424" t="s">
        <v>11</v>
      </c>
      <c r="D147" s="509">
        <f t="shared" si="8"/>
        <v>0</v>
      </c>
      <c r="E147" s="390">
        <v>0</v>
      </c>
      <c r="F147" s="531">
        <v>0</v>
      </c>
    </row>
    <row r="148" spans="1:6" ht="15.75">
      <c r="A148" s="454" t="s">
        <v>33</v>
      </c>
      <c r="B148" s="590" t="s">
        <v>93</v>
      </c>
      <c r="C148" s="424" t="s">
        <v>11</v>
      </c>
      <c r="D148" s="509">
        <f t="shared" si="8"/>
        <v>0</v>
      </c>
      <c r="E148" s="390">
        <v>0</v>
      </c>
      <c r="F148" s="531">
        <v>0</v>
      </c>
    </row>
    <row r="149" spans="1:6" ht="15.75">
      <c r="A149" s="454" t="s">
        <v>70</v>
      </c>
      <c r="B149" s="575" t="s">
        <v>56</v>
      </c>
      <c r="C149" s="424" t="s">
        <v>11</v>
      </c>
      <c r="D149" s="509">
        <f t="shared" si="8"/>
        <v>0</v>
      </c>
      <c r="E149" s="390">
        <v>0</v>
      </c>
      <c r="F149" s="540">
        <v>0</v>
      </c>
    </row>
    <row r="150" spans="1:6" ht="15.75">
      <c r="A150" s="454" t="s">
        <v>65</v>
      </c>
      <c r="B150" s="575" t="s">
        <v>3</v>
      </c>
      <c r="C150" s="424" t="s">
        <v>11</v>
      </c>
      <c r="D150" s="509">
        <f t="shared" si="8"/>
        <v>0</v>
      </c>
      <c r="E150" s="390">
        <v>0</v>
      </c>
      <c r="F150" s="540">
        <v>0</v>
      </c>
    </row>
    <row r="151" spans="1:6" ht="15.75">
      <c r="A151" s="454" t="s">
        <v>66</v>
      </c>
      <c r="B151" s="575" t="s">
        <v>34</v>
      </c>
      <c r="C151" s="424" t="s">
        <v>11</v>
      </c>
      <c r="D151" s="530">
        <f t="shared" si="8"/>
        <v>1228.8700000000001</v>
      </c>
      <c r="E151" s="392">
        <f>E130+E141</f>
        <v>0</v>
      </c>
      <c r="F151" s="393">
        <f>F130+F141</f>
        <v>1228.8700000000001</v>
      </c>
    </row>
    <row r="152" spans="1:6" ht="15.75">
      <c r="A152" s="454" t="s">
        <v>67</v>
      </c>
      <c r="B152" s="575" t="s">
        <v>87</v>
      </c>
      <c r="C152" s="424" t="s">
        <v>11</v>
      </c>
      <c r="D152" s="509">
        <f t="shared" si="8"/>
        <v>0</v>
      </c>
      <c r="E152" s="390">
        <v>0</v>
      </c>
      <c r="F152" s="540">
        <v>0</v>
      </c>
    </row>
    <row r="153" spans="1:6" ht="15.75">
      <c r="A153" s="454" t="s">
        <v>68</v>
      </c>
      <c r="B153" s="575" t="s">
        <v>100</v>
      </c>
      <c r="C153" s="424" t="s">
        <v>11</v>
      </c>
      <c r="D153" s="530">
        <f t="shared" si="8"/>
        <v>0</v>
      </c>
      <c r="E153" s="392">
        <v>0</v>
      </c>
      <c r="F153" s="532">
        <v>0</v>
      </c>
    </row>
    <row r="154" spans="1:6" ht="15.75">
      <c r="A154" s="454" t="s">
        <v>59</v>
      </c>
      <c r="B154" s="571" t="s">
        <v>36</v>
      </c>
      <c r="C154" s="424" t="s">
        <v>11</v>
      </c>
      <c r="D154" s="509">
        <f t="shared" si="8"/>
        <v>0</v>
      </c>
      <c r="E154" s="390">
        <v>0</v>
      </c>
      <c r="F154" s="540">
        <v>0</v>
      </c>
    </row>
    <row r="155" spans="1:6" ht="15.75">
      <c r="A155" s="454" t="s">
        <v>60</v>
      </c>
      <c r="B155" s="571" t="s">
        <v>44</v>
      </c>
      <c r="C155" s="424" t="s">
        <v>11</v>
      </c>
      <c r="D155" s="509">
        <f t="shared" si="8"/>
        <v>0</v>
      </c>
      <c r="E155" s="390">
        <v>0</v>
      </c>
      <c r="F155" s="540">
        <v>0</v>
      </c>
    </row>
    <row r="156" spans="1:6" ht="15.75">
      <c r="A156" s="454" t="s">
        <v>61</v>
      </c>
      <c r="B156" s="571" t="s">
        <v>45</v>
      </c>
      <c r="C156" s="424" t="s">
        <v>11</v>
      </c>
      <c r="D156" s="509">
        <f t="shared" si="8"/>
        <v>0</v>
      </c>
      <c r="E156" s="390">
        <v>0</v>
      </c>
      <c r="F156" s="540">
        <v>0</v>
      </c>
    </row>
    <row r="157" spans="1:6" ht="15.75">
      <c r="A157" s="454" t="s">
        <v>62</v>
      </c>
      <c r="B157" s="571" t="s">
        <v>39</v>
      </c>
      <c r="C157" s="424" t="s">
        <v>11</v>
      </c>
      <c r="D157" s="509">
        <f t="shared" si="8"/>
        <v>0</v>
      </c>
      <c r="E157" s="390">
        <v>0</v>
      </c>
      <c r="F157" s="540">
        <v>0</v>
      </c>
    </row>
    <row r="158" spans="1:6" ht="15.75">
      <c r="A158" s="454" t="s">
        <v>89</v>
      </c>
      <c r="B158" s="571" t="s">
        <v>46</v>
      </c>
      <c r="C158" s="424" t="s">
        <v>11</v>
      </c>
      <c r="D158" s="509">
        <f t="shared" si="8"/>
        <v>0</v>
      </c>
      <c r="E158" s="390">
        <v>0</v>
      </c>
      <c r="F158" s="531">
        <v>0</v>
      </c>
    </row>
    <row r="159" spans="1:6" ht="25.5">
      <c r="A159" s="454" t="s">
        <v>73</v>
      </c>
      <c r="B159" s="593" t="s">
        <v>57</v>
      </c>
      <c r="C159" s="562" t="s">
        <v>11</v>
      </c>
      <c r="D159" s="530">
        <f t="shared" si="8"/>
        <v>1228.8700000000001</v>
      </c>
      <c r="E159" s="594">
        <f>E151+E153</f>
        <v>0</v>
      </c>
      <c r="F159" s="595">
        <f>F151+F153</f>
        <v>1228.8700000000001</v>
      </c>
    </row>
    <row r="160" spans="1:6" ht="31.5">
      <c r="A160" s="454" t="s">
        <v>74</v>
      </c>
      <c r="B160" s="404" t="s">
        <v>467</v>
      </c>
      <c r="C160" s="424" t="s">
        <v>296</v>
      </c>
      <c r="D160" s="431" t="s">
        <v>101</v>
      </c>
      <c r="E160" s="429" t="s">
        <v>101</v>
      </c>
      <c r="F160" s="430" t="s">
        <v>101</v>
      </c>
    </row>
    <row r="161" spans="1:6" ht="15.75">
      <c r="A161" s="463" t="s">
        <v>47</v>
      </c>
      <c r="B161" s="410" t="s">
        <v>456</v>
      </c>
      <c r="C161" s="424" t="s">
        <v>457</v>
      </c>
      <c r="D161" s="431" t="s">
        <v>101</v>
      </c>
      <c r="E161" s="429" t="s">
        <v>101</v>
      </c>
      <c r="F161" s="430" t="s">
        <v>101</v>
      </c>
    </row>
    <row r="162" spans="1:6" ht="31.5">
      <c r="A162" s="463" t="s">
        <v>48</v>
      </c>
      <c r="B162" s="410" t="s">
        <v>1074</v>
      </c>
      <c r="C162" s="424" t="s">
        <v>458</v>
      </c>
      <c r="D162" s="415">
        <f>F162</f>
        <v>38271.410000000003</v>
      </c>
      <c r="E162" s="429" t="s">
        <v>101</v>
      </c>
      <c r="F162" s="430">
        <v>38271.410000000003</v>
      </c>
    </row>
    <row r="163" spans="1:6" ht="32.25" thickBot="1">
      <c r="A163" s="464" t="s">
        <v>58</v>
      </c>
      <c r="B163" s="412" t="s">
        <v>1075</v>
      </c>
      <c r="C163" s="428" t="s">
        <v>458</v>
      </c>
      <c r="D163" s="492">
        <f>F163</f>
        <v>3189.2841666666668</v>
      </c>
      <c r="E163" s="493" t="str">
        <f t="shared" ref="E163" si="9">IFERROR(E162/12,"х")</f>
        <v>х</v>
      </c>
      <c r="F163" s="494">
        <f>F162/12</f>
        <v>3189.2841666666668</v>
      </c>
    </row>
    <row r="164" spans="1:6" ht="31.5">
      <c r="A164" s="534" t="s">
        <v>75</v>
      </c>
      <c r="B164" s="400" t="s">
        <v>468</v>
      </c>
      <c r="C164" s="411" t="s">
        <v>296</v>
      </c>
      <c r="D164" s="446" t="s">
        <v>101</v>
      </c>
      <c r="E164" s="409" t="s">
        <v>101</v>
      </c>
      <c r="F164" s="403" t="s">
        <v>101</v>
      </c>
    </row>
    <row r="165" spans="1:6" ht="15.75">
      <c r="A165" s="535" t="s">
        <v>49</v>
      </c>
      <c r="B165" s="410" t="s">
        <v>456</v>
      </c>
      <c r="C165" s="411" t="s">
        <v>457</v>
      </c>
      <c r="D165" s="510" t="s">
        <v>101</v>
      </c>
      <c r="E165" s="406" t="s">
        <v>101</v>
      </c>
      <c r="F165" s="430" t="s">
        <v>101</v>
      </c>
    </row>
    <row r="166" spans="1:6" ht="31.5">
      <c r="A166" s="535" t="s">
        <v>50</v>
      </c>
      <c r="B166" s="410" t="s">
        <v>1074</v>
      </c>
      <c r="C166" s="411" t="s">
        <v>458</v>
      </c>
      <c r="D166" s="510">
        <f>F166</f>
        <v>45925.692000000003</v>
      </c>
      <c r="E166" s="432" t="s">
        <v>101</v>
      </c>
      <c r="F166" s="407">
        <f>F162*1.2</f>
        <v>45925.692000000003</v>
      </c>
    </row>
    <row r="167" spans="1:6" ht="32.25" thickBot="1">
      <c r="A167" s="536" t="s">
        <v>192</v>
      </c>
      <c r="B167" s="412" t="s">
        <v>1075</v>
      </c>
      <c r="C167" s="413" t="s">
        <v>458</v>
      </c>
      <c r="D167" s="511">
        <f>F167</f>
        <v>3827.1410000000001</v>
      </c>
      <c r="E167" s="512" t="s">
        <v>101</v>
      </c>
      <c r="F167" s="451">
        <f>F163*1.2</f>
        <v>3827.1410000000001</v>
      </c>
    </row>
    <row r="168" spans="1:6" s="370" customFormat="1" ht="23.25" hidden="1" customHeight="1" thickBot="1">
      <c r="A168" s="465"/>
      <c r="B168" s="679" t="s">
        <v>469</v>
      </c>
      <c r="C168" s="679"/>
      <c r="D168" s="679"/>
      <c r="E168" s="679"/>
      <c r="F168" s="680"/>
    </row>
    <row r="169" spans="1:6" s="370" customFormat="1" ht="15.75" hidden="1">
      <c r="A169" s="371">
        <v>1</v>
      </c>
      <c r="B169" s="513" t="s">
        <v>81</v>
      </c>
      <c r="C169" s="433" t="s">
        <v>11</v>
      </c>
      <c r="D169" s="514">
        <f>D170+D183+D184+D188</f>
        <v>69197.069999999992</v>
      </c>
      <c r="E169" s="515">
        <f t="shared" ref="E169:F169" si="10">E170+E183+E184+E188</f>
        <v>36923.22</v>
      </c>
      <c r="F169" s="516">
        <f t="shared" si="10"/>
        <v>32273.85</v>
      </c>
    </row>
    <row r="170" spans="1:6" s="370" customFormat="1" ht="15.75" hidden="1">
      <c r="A170" s="372" t="s">
        <v>5</v>
      </c>
      <c r="B170" s="517" t="s">
        <v>82</v>
      </c>
      <c r="C170" s="434" t="s">
        <v>11</v>
      </c>
      <c r="D170" s="435">
        <f>D171+D175+D176+D180+D181</f>
        <v>45748.44</v>
      </c>
      <c r="E170" s="436">
        <f t="shared" ref="E170:F170" si="11">E171+E175+E176+E180+E181</f>
        <v>36923.22</v>
      </c>
      <c r="F170" s="437">
        <f t="shared" si="11"/>
        <v>8825.2199999999993</v>
      </c>
    </row>
    <row r="171" spans="1:6" s="370" customFormat="1" ht="15.75" hidden="1">
      <c r="A171" s="372" t="s">
        <v>12</v>
      </c>
      <c r="B171" s="518" t="s">
        <v>441</v>
      </c>
      <c r="C171" s="434" t="s">
        <v>11</v>
      </c>
      <c r="D171" s="435">
        <f>D172+D173+D174</f>
        <v>35544.370000000003</v>
      </c>
      <c r="E171" s="436">
        <f t="shared" ref="E171:F171" si="12">E172+E173+E174</f>
        <v>30203.09</v>
      </c>
      <c r="F171" s="437">
        <f t="shared" si="12"/>
        <v>5341.28</v>
      </c>
    </row>
    <row r="172" spans="1:6" s="370" customFormat="1" ht="15.75" hidden="1">
      <c r="A172" s="372" t="s">
        <v>442</v>
      </c>
      <c r="B172" s="519" t="s">
        <v>443</v>
      </c>
      <c r="C172" s="434" t="s">
        <v>11</v>
      </c>
      <c r="D172" s="435">
        <f t="shared" ref="D172:F174" si="13">D33</f>
        <v>29296.25</v>
      </c>
      <c r="E172" s="436">
        <f t="shared" si="13"/>
        <v>29296.25</v>
      </c>
      <c r="F172" s="437">
        <f t="shared" si="13"/>
        <v>0</v>
      </c>
    </row>
    <row r="173" spans="1:6" s="370" customFormat="1" ht="15.75" hidden="1">
      <c r="A173" s="372" t="s">
        <v>444</v>
      </c>
      <c r="B173" s="519" t="s">
        <v>445</v>
      </c>
      <c r="C173" s="434" t="s">
        <v>11</v>
      </c>
      <c r="D173" s="435">
        <f t="shared" si="13"/>
        <v>906.84</v>
      </c>
      <c r="E173" s="436">
        <f t="shared" si="13"/>
        <v>906.84</v>
      </c>
      <c r="F173" s="437">
        <f t="shared" si="13"/>
        <v>0</v>
      </c>
    </row>
    <row r="174" spans="1:6" s="370" customFormat="1" ht="15.75" hidden="1">
      <c r="A174" s="372" t="s">
        <v>446</v>
      </c>
      <c r="B174" s="519" t="s">
        <v>447</v>
      </c>
      <c r="C174" s="434" t="s">
        <v>11</v>
      </c>
      <c r="D174" s="435">
        <f t="shared" si="13"/>
        <v>5341.28</v>
      </c>
      <c r="E174" s="436">
        <f t="shared" si="13"/>
        <v>0</v>
      </c>
      <c r="F174" s="437">
        <f t="shared" si="13"/>
        <v>5341.28</v>
      </c>
    </row>
    <row r="175" spans="1:6" s="370" customFormat="1" ht="15.75" hidden="1">
      <c r="A175" s="372" t="s">
        <v>13</v>
      </c>
      <c r="B175" s="518" t="s">
        <v>14</v>
      </c>
      <c r="C175" s="434" t="s">
        <v>11</v>
      </c>
      <c r="D175" s="435">
        <f>D36+D85</f>
        <v>6720.1299999999992</v>
      </c>
      <c r="E175" s="436">
        <f>E36+E85</f>
        <v>6720.1299999999992</v>
      </c>
      <c r="F175" s="437">
        <f>F36+F85</f>
        <v>0</v>
      </c>
    </row>
    <row r="176" spans="1:6" s="370" customFormat="1" ht="63.75" hidden="1">
      <c r="A176" s="372" t="s">
        <v>15</v>
      </c>
      <c r="B176" s="518" t="s">
        <v>448</v>
      </c>
      <c r="C176" s="434" t="s">
        <v>11</v>
      </c>
      <c r="D176" s="435">
        <f t="shared" ref="D176:F178" si="14">D37</f>
        <v>0</v>
      </c>
      <c r="E176" s="436">
        <f t="shared" si="14"/>
        <v>0</v>
      </c>
      <c r="F176" s="437">
        <f t="shared" si="14"/>
        <v>0</v>
      </c>
    </row>
    <row r="177" spans="1:6" s="370" customFormat="1" ht="15.75" hidden="1">
      <c r="A177" s="466" t="s">
        <v>449</v>
      </c>
      <c r="B177" s="518" t="s">
        <v>450</v>
      </c>
      <c r="C177" s="434" t="s">
        <v>11</v>
      </c>
      <c r="D177" s="435">
        <f t="shared" si="14"/>
        <v>0</v>
      </c>
      <c r="E177" s="436">
        <f t="shared" si="14"/>
        <v>0</v>
      </c>
      <c r="F177" s="437">
        <f t="shared" si="14"/>
        <v>0</v>
      </c>
    </row>
    <row r="178" spans="1:6" s="370" customFormat="1" ht="38.25" hidden="1">
      <c r="A178" s="466" t="s">
        <v>451</v>
      </c>
      <c r="B178" s="518" t="s">
        <v>452</v>
      </c>
      <c r="C178" s="434" t="s">
        <v>11</v>
      </c>
      <c r="D178" s="435">
        <f t="shared" si="14"/>
        <v>0</v>
      </c>
      <c r="E178" s="436">
        <f t="shared" si="14"/>
        <v>0</v>
      </c>
      <c r="F178" s="437">
        <f t="shared" si="14"/>
        <v>0</v>
      </c>
    </row>
    <row r="179" spans="1:6" s="370" customFormat="1" ht="25.5" hidden="1">
      <c r="A179" s="466" t="s">
        <v>15</v>
      </c>
      <c r="B179" s="517" t="s">
        <v>460</v>
      </c>
      <c r="C179" s="434" t="s">
        <v>11</v>
      </c>
      <c r="D179" s="435">
        <f>D86</f>
        <v>0</v>
      </c>
      <c r="E179" s="436">
        <f>E86</f>
        <v>0</v>
      </c>
      <c r="F179" s="437">
        <f>F86</f>
        <v>0</v>
      </c>
    </row>
    <row r="180" spans="1:6" s="370" customFormat="1" ht="25.5" hidden="1">
      <c r="A180" s="466" t="s">
        <v>16</v>
      </c>
      <c r="B180" s="517" t="s">
        <v>453</v>
      </c>
      <c r="C180" s="434" t="s">
        <v>11</v>
      </c>
      <c r="D180" s="435">
        <f>D40+D87</f>
        <v>64.66</v>
      </c>
      <c r="E180" s="436">
        <f>E40+E87</f>
        <v>0</v>
      </c>
      <c r="F180" s="437">
        <f>F40+F87</f>
        <v>64.66</v>
      </c>
    </row>
    <row r="181" spans="1:6" s="370" customFormat="1" ht="15.75" hidden="1">
      <c r="A181" s="466" t="s">
        <v>17</v>
      </c>
      <c r="B181" s="517" t="s">
        <v>298</v>
      </c>
      <c r="C181" s="434" t="s">
        <v>11</v>
      </c>
      <c r="D181" s="435">
        <f>D41+D88+D131</f>
        <v>3419.2799999999997</v>
      </c>
      <c r="E181" s="436">
        <f>E41+E88+E131</f>
        <v>0</v>
      </c>
      <c r="F181" s="437">
        <f>F41+F88+F131</f>
        <v>3419.2799999999997</v>
      </c>
    </row>
    <row r="182" spans="1:6" s="370" customFormat="1" ht="25.5" hidden="1">
      <c r="A182" s="466" t="s">
        <v>470</v>
      </c>
      <c r="B182" s="520" t="s">
        <v>463</v>
      </c>
      <c r="C182" s="434" t="s">
        <v>11</v>
      </c>
      <c r="D182" s="435">
        <f>D89</f>
        <v>2130.81</v>
      </c>
      <c r="E182" s="436">
        <f>E89</f>
        <v>0</v>
      </c>
      <c r="F182" s="437">
        <f>F89</f>
        <v>2130.81</v>
      </c>
    </row>
    <row r="183" spans="1:6" s="370" customFormat="1" ht="15.75" hidden="1">
      <c r="A183" s="466" t="s">
        <v>6</v>
      </c>
      <c r="B183" s="517" t="s">
        <v>18</v>
      </c>
      <c r="C183" s="434" t="s">
        <v>11</v>
      </c>
      <c r="D183" s="435">
        <f t="shared" ref="D183:F201" si="15">D42+D90+D132</f>
        <v>14851.59</v>
      </c>
      <c r="E183" s="436">
        <f t="shared" si="15"/>
        <v>0</v>
      </c>
      <c r="F183" s="437">
        <f t="shared" si="15"/>
        <v>14851.59</v>
      </c>
    </row>
    <row r="184" spans="1:6" s="370" customFormat="1" ht="15.75" hidden="1">
      <c r="A184" s="466" t="s">
        <v>19</v>
      </c>
      <c r="B184" s="517" t="s">
        <v>83</v>
      </c>
      <c r="C184" s="434" t="s">
        <v>11</v>
      </c>
      <c r="D184" s="435">
        <f t="shared" si="15"/>
        <v>6616.81</v>
      </c>
      <c r="E184" s="436">
        <f t="shared" si="15"/>
        <v>0</v>
      </c>
      <c r="F184" s="437">
        <f t="shared" si="15"/>
        <v>6616.81</v>
      </c>
    </row>
    <row r="185" spans="1:6" s="370" customFormat="1" ht="25.5" hidden="1">
      <c r="A185" s="466" t="s">
        <v>20</v>
      </c>
      <c r="B185" s="518" t="s">
        <v>454</v>
      </c>
      <c r="C185" s="434" t="s">
        <v>11</v>
      </c>
      <c r="D185" s="435">
        <f t="shared" si="15"/>
        <v>3103.63</v>
      </c>
      <c r="E185" s="436">
        <f t="shared" si="15"/>
        <v>0</v>
      </c>
      <c r="F185" s="437">
        <f t="shared" si="15"/>
        <v>3103.63</v>
      </c>
    </row>
    <row r="186" spans="1:6" s="370" customFormat="1" ht="15.75" hidden="1">
      <c r="A186" s="466" t="s">
        <v>21</v>
      </c>
      <c r="B186" s="518" t="s">
        <v>302</v>
      </c>
      <c r="C186" s="434" t="s">
        <v>11</v>
      </c>
      <c r="D186" s="435">
        <f t="shared" si="15"/>
        <v>2690.6400000000003</v>
      </c>
      <c r="E186" s="436">
        <f t="shared" si="15"/>
        <v>0</v>
      </c>
      <c r="F186" s="437">
        <f t="shared" si="15"/>
        <v>2690.6400000000003</v>
      </c>
    </row>
    <row r="187" spans="1:6" s="370" customFormat="1" ht="15.75" hidden="1">
      <c r="A187" s="466" t="s">
        <v>22</v>
      </c>
      <c r="B187" s="518" t="s">
        <v>23</v>
      </c>
      <c r="C187" s="434" t="s">
        <v>11</v>
      </c>
      <c r="D187" s="435">
        <f t="shared" si="15"/>
        <v>822.55000000000007</v>
      </c>
      <c r="E187" s="436">
        <f t="shared" si="15"/>
        <v>0</v>
      </c>
      <c r="F187" s="437">
        <f t="shared" si="15"/>
        <v>822.55000000000007</v>
      </c>
    </row>
    <row r="188" spans="1:6" s="370" customFormat="1" ht="15.75" hidden="1">
      <c r="A188" s="466" t="s">
        <v>24</v>
      </c>
      <c r="B188" s="518" t="s">
        <v>84</v>
      </c>
      <c r="C188" s="434" t="s">
        <v>11</v>
      </c>
      <c r="D188" s="435">
        <f t="shared" si="15"/>
        <v>1980.23</v>
      </c>
      <c r="E188" s="436">
        <f t="shared" si="15"/>
        <v>0</v>
      </c>
      <c r="F188" s="437">
        <f t="shared" si="15"/>
        <v>1980.23</v>
      </c>
    </row>
    <row r="189" spans="1:6" s="370" customFormat="1" ht="15.75" hidden="1">
      <c r="A189" s="466" t="s">
        <v>25</v>
      </c>
      <c r="B189" s="518" t="s">
        <v>26</v>
      </c>
      <c r="C189" s="434" t="s">
        <v>11</v>
      </c>
      <c r="D189" s="435">
        <f t="shared" si="15"/>
        <v>1360.46</v>
      </c>
      <c r="E189" s="436">
        <f t="shared" si="15"/>
        <v>0</v>
      </c>
      <c r="F189" s="437">
        <f t="shared" si="15"/>
        <v>1360.46</v>
      </c>
    </row>
    <row r="190" spans="1:6" s="370" customFormat="1" ht="25.5" hidden="1">
      <c r="A190" s="466" t="s">
        <v>27</v>
      </c>
      <c r="B190" s="518" t="s">
        <v>454</v>
      </c>
      <c r="C190" s="434" t="s">
        <v>11</v>
      </c>
      <c r="D190" s="435">
        <f t="shared" si="15"/>
        <v>279.60000000000002</v>
      </c>
      <c r="E190" s="436">
        <f t="shared" si="15"/>
        <v>0</v>
      </c>
      <c r="F190" s="437">
        <f t="shared" si="15"/>
        <v>279.60000000000002</v>
      </c>
    </row>
    <row r="191" spans="1:6" s="370" customFormat="1" ht="15.75" hidden="1">
      <c r="A191" s="466" t="s">
        <v>28</v>
      </c>
      <c r="B191" s="518" t="s">
        <v>29</v>
      </c>
      <c r="C191" s="434" t="s">
        <v>11</v>
      </c>
      <c r="D191" s="435">
        <f t="shared" si="15"/>
        <v>340.18</v>
      </c>
      <c r="E191" s="436">
        <f t="shared" si="15"/>
        <v>0</v>
      </c>
      <c r="F191" s="437">
        <f t="shared" si="15"/>
        <v>340.18</v>
      </c>
    </row>
    <row r="192" spans="1:6" s="370" customFormat="1" ht="15.75" hidden="1">
      <c r="A192" s="466">
        <v>2</v>
      </c>
      <c r="B192" s="521" t="s">
        <v>85</v>
      </c>
      <c r="C192" s="434" t="s">
        <v>11</v>
      </c>
      <c r="D192" s="435">
        <f t="shared" si="15"/>
        <v>5569.9</v>
      </c>
      <c r="E192" s="436">
        <f t="shared" si="15"/>
        <v>0</v>
      </c>
      <c r="F192" s="437">
        <f t="shared" si="15"/>
        <v>5569.9</v>
      </c>
    </row>
    <row r="193" spans="1:6" s="370" customFormat="1" ht="15.75" hidden="1">
      <c r="A193" s="466" t="s">
        <v>7</v>
      </c>
      <c r="B193" s="518" t="s">
        <v>26</v>
      </c>
      <c r="C193" s="434" t="s">
        <v>11</v>
      </c>
      <c r="D193" s="435">
        <f t="shared" si="15"/>
        <v>4234.8099999999995</v>
      </c>
      <c r="E193" s="436">
        <f t="shared" si="15"/>
        <v>0</v>
      </c>
      <c r="F193" s="437">
        <f t="shared" si="15"/>
        <v>4234.8099999999995</v>
      </c>
    </row>
    <row r="194" spans="1:6" s="370" customFormat="1" ht="29.25" hidden="1" customHeight="1">
      <c r="A194" s="466" t="s">
        <v>8</v>
      </c>
      <c r="B194" s="518" t="s">
        <v>454</v>
      </c>
      <c r="C194" s="434" t="s">
        <v>11</v>
      </c>
      <c r="D194" s="435">
        <f t="shared" si="15"/>
        <v>931.65</v>
      </c>
      <c r="E194" s="436">
        <f t="shared" si="15"/>
        <v>0</v>
      </c>
      <c r="F194" s="437">
        <f t="shared" si="15"/>
        <v>931.65</v>
      </c>
    </row>
    <row r="195" spans="1:6" s="370" customFormat="1" ht="15.75" hidden="1">
      <c r="A195" s="466" t="s">
        <v>30</v>
      </c>
      <c r="B195" s="518" t="s">
        <v>29</v>
      </c>
      <c r="C195" s="434" t="s">
        <v>11</v>
      </c>
      <c r="D195" s="435">
        <f t="shared" si="15"/>
        <v>403.45</v>
      </c>
      <c r="E195" s="436">
        <f t="shared" si="15"/>
        <v>0</v>
      </c>
      <c r="F195" s="437">
        <f t="shared" si="15"/>
        <v>403.45</v>
      </c>
    </row>
    <row r="196" spans="1:6" s="370" customFormat="1" ht="15.75" hidden="1">
      <c r="A196" s="466" t="s">
        <v>69</v>
      </c>
      <c r="B196" s="522" t="s">
        <v>86</v>
      </c>
      <c r="C196" s="434" t="s">
        <v>11</v>
      </c>
      <c r="D196" s="435">
        <f t="shared" si="15"/>
        <v>0</v>
      </c>
      <c r="E196" s="436">
        <f t="shared" si="15"/>
        <v>0</v>
      </c>
      <c r="F196" s="437">
        <f t="shared" si="15"/>
        <v>0</v>
      </c>
    </row>
    <row r="197" spans="1:6" s="370" customFormat="1" ht="15.75" hidden="1">
      <c r="A197" s="466" t="s">
        <v>31</v>
      </c>
      <c r="B197" s="517" t="s">
        <v>26</v>
      </c>
      <c r="C197" s="434" t="s">
        <v>11</v>
      </c>
      <c r="D197" s="435">
        <f t="shared" si="15"/>
        <v>0</v>
      </c>
      <c r="E197" s="436">
        <f t="shared" si="15"/>
        <v>0</v>
      </c>
      <c r="F197" s="437">
        <f t="shared" si="15"/>
        <v>0</v>
      </c>
    </row>
    <row r="198" spans="1:6" s="370" customFormat="1" ht="25.5" hidden="1">
      <c r="A198" s="466" t="s">
        <v>32</v>
      </c>
      <c r="B198" s="518" t="s">
        <v>454</v>
      </c>
      <c r="C198" s="434" t="s">
        <v>11</v>
      </c>
      <c r="D198" s="435">
        <f t="shared" si="15"/>
        <v>0</v>
      </c>
      <c r="E198" s="436">
        <f t="shared" si="15"/>
        <v>0</v>
      </c>
      <c r="F198" s="437">
        <f t="shared" si="15"/>
        <v>0</v>
      </c>
    </row>
    <row r="199" spans="1:6" s="370" customFormat="1" ht="15.75" hidden="1">
      <c r="A199" s="466" t="s">
        <v>33</v>
      </c>
      <c r="B199" s="517" t="s">
        <v>29</v>
      </c>
      <c r="C199" s="434" t="s">
        <v>11</v>
      </c>
      <c r="D199" s="435">
        <f t="shared" si="15"/>
        <v>0</v>
      </c>
      <c r="E199" s="436">
        <f t="shared" si="15"/>
        <v>0</v>
      </c>
      <c r="F199" s="437">
        <f t="shared" si="15"/>
        <v>0</v>
      </c>
    </row>
    <row r="200" spans="1:6" s="370" customFormat="1" ht="15.75" hidden="1">
      <c r="A200" s="466" t="s">
        <v>70</v>
      </c>
      <c r="B200" s="518" t="s">
        <v>71</v>
      </c>
      <c r="C200" s="434" t="s">
        <v>11</v>
      </c>
      <c r="D200" s="435">
        <f t="shared" si="15"/>
        <v>0</v>
      </c>
      <c r="E200" s="436">
        <f t="shared" si="15"/>
        <v>0</v>
      </c>
      <c r="F200" s="437">
        <f t="shared" si="15"/>
        <v>0</v>
      </c>
    </row>
    <row r="201" spans="1:6" s="370" customFormat="1" ht="15.75" hidden="1">
      <c r="A201" s="466" t="s">
        <v>65</v>
      </c>
      <c r="B201" s="518" t="s">
        <v>3</v>
      </c>
      <c r="C201" s="434" t="s">
        <v>11</v>
      </c>
      <c r="D201" s="435">
        <f t="shared" si="15"/>
        <v>0</v>
      </c>
      <c r="E201" s="436">
        <f t="shared" si="15"/>
        <v>0</v>
      </c>
      <c r="F201" s="437">
        <f t="shared" si="15"/>
        <v>0</v>
      </c>
    </row>
    <row r="202" spans="1:6" s="370" customFormat="1" ht="15.75" hidden="1">
      <c r="A202" s="466" t="s">
        <v>66</v>
      </c>
      <c r="B202" s="521" t="s">
        <v>72</v>
      </c>
      <c r="C202" s="438" t="s">
        <v>11</v>
      </c>
      <c r="D202" s="523">
        <f>D201+D200+D196+D192+D169</f>
        <v>74766.969999999987</v>
      </c>
      <c r="E202" s="524">
        <f t="shared" ref="E202:F202" si="16">E201+E200+E196+E192+E169</f>
        <v>36923.22</v>
      </c>
      <c r="F202" s="525">
        <f t="shared" si="16"/>
        <v>37843.75</v>
      </c>
    </row>
    <row r="203" spans="1:6" s="370" customFormat="1" ht="15.75" hidden="1">
      <c r="A203" s="466" t="s">
        <v>67</v>
      </c>
      <c r="B203" s="521" t="s">
        <v>87</v>
      </c>
      <c r="C203" s="438" t="s">
        <v>11</v>
      </c>
      <c r="D203" s="435">
        <f>D152+D111+D62</f>
        <v>0</v>
      </c>
      <c r="E203" s="436">
        <f>E152+E111+E62</f>
        <v>0</v>
      </c>
      <c r="F203" s="437">
        <f>F152+F111+F62</f>
        <v>0</v>
      </c>
    </row>
    <row r="204" spans="1:6" s="370" customFormat="1" ht="15.75" hidden="1">
      <c r="A204" s="466" t="s">
        <v>68</v>
      </c>
      <c r="B204" s="526" t="s">
        <v>88</v>
      </c>
      <c r="C204" s="438" t="s">
        <v>11</v>
      </c>
      <c r="D204" s="523">
        <f t="shared" ref="D204:F209" si="17">D153+D112+D64</f>
        <v>0</v>
      </c>
      <c r="E204" s="524">
        <f t="shared" si="17"/>
        <v>0</v>
      </c>
      <c r="F204" s="525">
        <f t="shared" si="17"/>
        <v>0</v>
      </c>
    </row>
    <row r="205" spans="1:6" s="370" customFormat="1" ht="15.75" hidden="1">
      <c r="A205" s="466" t="s">
        <v>59</v>
      </c>
      <c r="B205" s="518" t="s">
        <v>36</v>
      </c>
      <c r="C205" s="434" t="s">
        <v>11</v>
      </c>
      <c r="D205" s="435">
        <f t="shared" si="17"/>
        <v>0</v>
      </c>
      <c r="E205" s="436">
        <f t="shared" si="17"/>
        <v>0</v>
      </c>
      <c r="F205" s="437">
        <f t="shared" si="17"/>
        <v>0</v>
      </c>
    </row>
    <row r="206" spans="1:6" s="370" customFormat="1" ht="15.75" hidden="1">
      <c r="A206" s="466" t="s">
        <v>60</v>
      </c>
      <c r="B206" s="518" t="s">
        <v>37</v>
      </c>
      <c r="C206" s="434" t="s">
        <v>11</v>
      </c>
      <c r="D206" s="435">
        <f t="shared" si="17"/>
        <v>0</v>
      </c>
      <c r="E206" s="436">
        <f t="shared" si="17"/>
        <v>0</v>
      </c>
      <c r="F206" s="437">
        <f t="shared" si="17"/>
        <v>0</v>
      </c>
    </row>
    <row r="207" spans="1:6" s="370" customFormat="1" ht="15.75" hidden="1">
      <c r="A207" s="466" t="s">
        <v>61</v>
      </c>
      <c r="B207" s="518" t="s">
        <v>38</v>
      </c>
      <c r="C207" s="434" t="s">
        <v>11</v>
      </c>
      <c r="D207" s="435">
        <f t="shared" si="17"/>
        <v>0</v>
      </c>
      <c r="E207" s="436">
        <f t="shared" si="17"/>
        <v>0</v>
      </c>
      <c r="F207" s="437">
        <f t="shared" si="17"/>
        <v>0</v>
      </c>
    </row>
    <row r="208" spans="1:6" s="370" customFormat="1" ht="31.5" hidden="1" customHeight="1">
      <c r="A208" s="466" t="s">
        <v>62</v>
      </c>
      <c r="B208" s="518" t="s">
        <v>39</v>
      </c>
      <c r="C208" s="434" t="s">
        <v>11</v>
      </c>
      <c r="D208" s="435">
        <f t="shared" si="17"/>
        <v>0</v>
      </c>
      <c r="E208" s="436">
        <f t="shared" si="17"/>
        <v>0</v>
      </c>
      <c r="F208" s="437">
        <f t="shared" si="17"/>
        <v>0</v>
      </c>
    </row>
    <row r="209" spans="1:6" s="370" customFormat="1" ht="15.75" hidden="1">
      <c r="A209" s="466" t="s">
        <v>89</v>
      </c>
      <c r="B209" s="518" t="s">
        <v>46</v>
      </c>
      <c r="C209" s="434" t="s">
        <v>11</v>
      </c>
      <c r="D209" s="435">
        <f t="shared" si="17"/>
        <v>0</v>
      </c>
      <c r="E209" s="436">
        <f t="shared" si="17"/>
        <v>0</v>
      </c>
      <c r="F209" s="437">
        <f t="shared" si="17"/>
        <v>0</v>
      </c>
    </row>
    <row r="210" spans="1:6" ht="43.5" hidden="1" customHeight="1" thickBot="1">
      <c r="A210" s="467" t="s">
        <v>73</v>
      </c>
      <c r="B210" s="527" t="s">
        <v>471</v>
      </c>
      <c r="C210" s="349" t="s">
        <v>11</v>
      </c>
      <c r="D210" s="486">
        <f t="shared" ref="D210:F210" si="18">D204+D203+D202</f>
        <v>74766.969999999987</v>
      </c>
      <c r="E210" s="487">
        <f t="shared" si="18"/>
        <v>36923.22</v>
      </c>
      <c r="F210" s="498">
        <f t="shared" si="18"/>
        <v>37843.75</v>
      </c>
    </row>
    <row r="211" spans="1:6" ht="31.5" hidden="1">
      <c r="A211" s="468" t="s">
        <v>74</v>
      </c>
      <c r="B211" s="439" t="s">
        <v>472</v>
      </c>
      <c r="C211" s="345" t="s">
        <v>41</v>
      </c>
      <c r="D211" s="440" t="e">
        <f>D72+D119+#REF!</f>
        <v>#REF!</v>
      </c>
      <c r="E211" s="441" t="s">
        <v>101</v>
      </c>
      <c r="F211" s="546" t="s">
        <v>101</v>
      </c>
    </row>
    <row r="212" spans="1:6" ht="31.5" hidden="1">
      <c r="A212" s="469" t="s">
        <v>75</v>
      </c>
      <c r="B212" s="442" t="s">
        <v>473</v>
      </c>
      <c r="C212" s="346" t="s">
        <v>41</v>
      </c>
      <c r="D212" s="485" t="e">
        <f>D211*1.2</f>
        <v>#REF!</v>
      </c>
      <c r="E212" s="443" t="s">
        <v>101</v>
      </c>
      <c r="F212" s="547" t="s">
        <v>101</v>
      </c>
    </row>
    <row r="213" spans="1:6" ht="31.5" hidden="1">
      <c r="A213" s="468" t="s">
        <v>76</v>
      </c>
      <c r="B213" s="444" t="s">
        <v>474</v>
      </c>
      <c r="C213" s="445" t="s">
        <v>296</v>
      </c>
      <c r="D213" s="446" t="s">
        <v>101</v>
      </c>
      <c r="E213" s="402" t="s">
        <v>101</v>
      </c>
      <c r="F213" s="403" t="s">
        <v>101</v>
      </c>
    </row>
    <row r="214" spans="1:6" ht="15.75" hidden="1">
      <c r="A214" s="384" t="s">
        <v>51</v>
      </c>
      <c r="B214" s="447" t="s">
        <v>456</v>
      </c>
      <c r="C214" s="424" t="s">
        <v>457</v>
      </c>
      <c r="D214" s="431">
        <f>E214</f>
        <v>704.58341793251918</v>
      </c>
      <c r="E214" s="429">
        <f>E75+E122</f>
        <v>704.58341793251918</v>
      </c>
      <c r="F214" s="430" t="s">
        <v>101</v>
      </c>
    </row>
    <row r="215" spans="1:6" ht="31.5" hidden="1">
      <c r="A215" s="384" t="s">
        <v>52</v>
      </c>
      <c r="B215" s="447" t="s">
        <v>1074</v>
      </c>
      <c r="C215" s="424" t="s">
        <v>458</v>
      </c>
      <c r="D215" s="431">
        <f>F215</f>
        <v>1178565.8673310496</v>
      </c>
      <c r="E215" s="429" t="s">
        <v>101</v>
      </c>
      <c r="F215" s="430">
        <f>F210*1000/F16</f>
        <v>1178565.8673310496</v>
      </c>
    </row>
    <row r="216" spans="1:6" ht="49.9" hidden="1" customHeight="1">
      <c r="A216" s="384" t="s">
        <v>53</v>
      </c>
      <c r="B216" s="447" t="s">
        <v>1075</v>
      </c>
      <c r="C216" s="424" t="s">
        <v>458</v>
      </c>
      <c r="D216" s="415">
        <f t="shared" ref="D216:F216" si="19">IFERROR(D215/12,"х")</f>
        <v>98213.822277587475</v>
      </c>
      <c r="E216" s="448" t="str">
        <f t="shared" si="19"/>
        <v>х</v>
      </c>
      <c r="F216" s="449">
        <f t="shared" si="19"/>
        <v>98213.822277587475</v>
      </c>
    </row>
    <row r="217" spans="1:6" ht="31.5" hidden="1">
      <c r="A217" s="470" t="s">
        <v>77</v>
      </c>
      <c r="B217" s="528" t="s">
        <v>475</v>
      </c>
      <c r="C217" s="424" t="s">
        <v>296</v>
      </c>
      <c r="D217" s="431" t="s">
        <v>101</v>
      </c>
      <c r="E217" s="429" t="s">
        <v>101</v>
      </c>
      <c r="F217" s="430" t="s">
        <v>101</v>
      </c>
    </row>
    <row r="218" spans="1:6" ht="15.75" hidden="1">
      <c r="A218" s="470" t="s">
        <v>96</v>
      </c>
      <c r="B218" s="447" t="s">
        <v>456</v>
      </c>
      <c r="C218" s="424" t="s">
        <v>457</v>
      </c>
      <c r="D218" s="431">
        <f>D214*1.2</f>
        <v>845.50010151902302</v>
      </c>
      <c r="E218" s="429">
        <f>E214*1.2</f>
        <v>845.50010151902302</v>
      </c>
      <c r="F218" s="430" t="s">
        <v>101</v>
      </c>
    </row>
    <row r="219" spans="1:6" ht="31.5" hidden="1">
      <c r="A219" s="470" t="s">
        <v>97</v>
      </c>
      <c r="B219" s="447" t="s">
        <v>1074</v>
      </c>
      <c r="C219" s="424" t="s">
        <v>458</v>
      </c>
      <c r="D219" s="431">
        <f>D215*1.2</f>
        <v>1414279.0407972594</v>
      </c>
      <c r="E219" s="429" t="s">
        <v>101</v>
      </c>
      <c r="F219" s="430">
        <f>F215*1.2</f>
        <v>1414279.0407972594</v>
      </c>
    </row>
    <row r="220" spans="1:6" ht="32.25" hidden="1" thickBot="1">
      <c r="A220" s="471" t="s">
        <v>98</v>
      </c>
      <c r="B220" s="529" t="s">
        <v>1075</v>
      </c>
      <c r="C220" s="428" t="s">
        <v>458</v>
      </c>
      <c r="D220" s="511">
        <f>D216*1.2</f>
        <v>117856.58673310497</v>
      </c>
      <c r="E220" s="450" t="s">
        <v>101</v>
      </c>
      <c r="F220" s="451">
        <f>F216*1.2</f>
        <v>117856.58673310497</v>
      </c>
    </row>
    <row r="221" spans="1:6" ht="21" customHeight="1" thickBot="1">
      <c r="A221" s="548"/>
      <c r="B221" s="640" t="s">
        <v>1081</v>
      </c>
      <c r="C221" s="640"/>
      <c r="D221" s="641"/>
      <c r="E221" s="641"/>
      <c r="F221" s="642"/>
    </row>
    <row r="222" spans="1:6" ht="36" customHeight="1">
      <c r="A222" s="596" t="s">
        <v>311</v>
      </c>
      <c r="B222" s="400" t="s">
        <v>476</v>
      </c>
      <c r="C222" s="445" t="s">
        <v>296</v>
      </c>
      <c r="D222" s="446" t="str">
        <f t="shared" ref="D222:F222" si="20">D213</f>
        <v>х</v>
      </c>
      <c r="E222" s="402" t="str">
        <f t="shared" si="20"/>
        <v>х</v>
      </c>
      <c r="F222" s="403" t="str">
        <f t="shared" si="20"/>
        <v>х</v>
      </c>
    </row>
    <row r="223" spans="1:6" ht="15.75">
      <c r="A223" s="330" t="s">
        <v>5</v>
      </c>
      <c r="B223" s="557" t="s">
        <v>456</v>
      </c>
      <c r="C223" s="591" t="s">
        <v>457</v>
      </c>
      <c r="D223" s="415">
        <f>E223</f>
        <v>704.58341793251918</v>
      </c>
      <c r="E223" s="448">
        <f>E224+E225</f>
        <v>704.58341793251918</v>
      </c>
      <c r="F223" s="449" t="str">
        <f t="shared" ref="F223" si="21">F214</f>
        <v>х</v>
      </c>
    </row>
    <row r="224" spans="1:6" ht="15.75">
      <c r="A224" s="552"/>
      <c r="B224" s="602" t="s">
        <v>1078</v>
      </c>
      <c r="C224" s="598" t="s">
        <v>457</v>
      </c>
      <c r="D224" s="431">
        <f>E224</f>
        <v>597.85782052466175</v>
      </c>
      <c r="E224" s="429">
        <f>E75</f>
        <v>597.85782052466175</v>
      </c>
      <c r="F224" s="430" t="str">
        <f>F75</f>
        <v>х</v>
      </c>
    </row>
    <row r="225" spans="1:6" ht="15.75">
      <c r="A225" s="552"/>
      <c r="B225" s="602" t="s">
        <v>1079</v>
      </c>
      <c r="C225" s="598" t="s">
        <v>457</v>
      </c>
      <c r="D225" s="431">
        <f>E225</f>
        <v>106.72559740785742</v>
      </c>
      <c r="E225" s="429">
        <f>E122</f>
        <v>106.72559740785742</v>
      </c>
      <c r="F225" s="430" t="str">
        <f>F122</f>
        <v>х</v>
      </c>
    </row>
    <row r="226" spans="1:6" ht="15.75">
      <c r="A226" s="552"/>
      <c r="B226" s="602" t="s">
        <v>1080</v>
      </c>
      <c r="C226" s="598" t="s">
        <v>457</v>
      </c>
      <c r="D226" s="431" t="str">
        <f t="shared" ref="D226:F226" si="22">D161</f>
        <v>х</v>
      </c>
      <c r="E226" s="429" t="str">
        <f t="shared" si="22"/>
        <v>х</v>
      </c>
      <c r="F226" s="430" t="str">
        <f t="shared" si="22"/>
        <v>х</v>
      </c>
    </row>
    <row r="227" spans="1:6" ht="31.5">
      <c r="A227" s="330" t="s">
        <v>6</v>
      </c>
      <c r="B227" s="557" t="s">
        <v>1074</v>
      </c>
      <c r="C227" s="591" t="s">
        <v>458</v>
      </c>
      <c r="D227" s="415">
        <f t="shared" ref="D227:D234" si="23">F227</f>
        <v>1178584.3799999999</v>
      </c>
      <c r="E227" s="448" t="s">
        <v>101</v>
      </c>
      <c r="F227" s="449">
        <f>F228+F229+F230</f>
        <v>1178584.3799999999</v>
      </c>
    </row>
    <row r="228" spans="1:6" ht="15.75">
      <c r="A228" s="552"/>
      <c r="B228" s="602" t="s">
        <v>1078</v>
      </c>
      <c r="C228" s="598" t="s">
        <v>458</v>
      </c>
      <c r="D228" s="431">
        <f t="shared" si="23"/>
        <v>699067.22</v>
      </c>
      <c r="E228" s="429" t="str">
        <f>E76</f>
        <v>х</v>
      </c>
      <c r="F228" s="430">
        <f>F76</f>
        <v>699067.22</v>
      </c>
    </row>
    <row r="229" spans="1:6" ht="15.75">
      <c r="A229" s="552"/>
      <c r="B229" s="602" t="s">
        <v>1079</v>
      </c>
      <c r="C229" s="598" t="s">
        <v>458</v>
      </c>
      <c r="D229" s="431">
        <f t="shared" si="23"/>
        <v>441245.75</v>
      </c>
      <c r="E229" s="429" t="str">
        <f>E123</f>
        <v>х</v>
      </c>
      <c r="F229" s="430">
        <f>F123</f>
        <v>441245.75</v>
      </c>
    </row>
    <row r="230" spans="1:6" ht="15.75">
      <c r="A230" s="552"/>
      <c r="B230" s="602" t="s">
        <v>1080</v>
      </c>
      <c r="C230" s="598" t="s">
        <v>458</v>
      </c>
      <c r="D230" s="431">
        <f t="shared" si="23"/>
        <v>38271.410000000003</v>
      </c>
      <c r="E230" s="429" t="str">
        <f t="shared" ref="E230" si="24">E162</f>
        <v>х</v>
      </c>
      <c r="F230" s="430">
        <f>F162</f>
        <v>38271.410000000003</v>
      </c>
    </row>
    <row r="231" spans="1:6" ht="31.5">
      <c r="A231" s="330" t="s">
        <v>19</v>
      </c>
      <c r="B231" s="557" t="s">
        <v>1075</v>
      </c>
      <c r="C231" s="591" t="s">
        <v>458</v>
      </c>
      <c r="D231" s="415">
        <f t="shared" si="23"/>
        <v>98215.364999999991</v>
      </c>
      <c r="E231" s="448" t="s">
        <v>101</v>
      </c>
      <c r="F231" s="449">
        <f>F232+F233+F234</f>
        <v>98215.364999999991</v>
      </c>
    </row>
    <row r="232" spans="1:6" ht="15.75">
      <c r="A232" s="552"/>
      <c r="B232" s="602" t="s">
        <v>1078</v>
      </c>
      <c r="C232" s="598" t="s">
        <v>458</v>
      </c>
      <c r="D232" s="431">
        <f t="shared" si="23"/>
        <v>58255.601666666662</v>
      </c>
      <c r="E232" s="429" t="str">
        <f>E77</f>
        <v>х</v>
      </c>
      <c r="F232" s="430">
        <f>F77</f>
        <v>58255.601666666662</v>
      </c>
    </row>
    <row r="233" spans="1:6" ht="15.75">
      <c r="A233" s="552"/>
      <c r="B233" s="602" t="s">
        <v>1079</v>
      </c>
      <c r="C233" s="598" t="s">
        <v>458</v>
      </c>
      <c r="D233" s="431">
        <f t="shared" si="23"/>
        <v>36770.479166666664</v>
      </c>
      <c r="E233" s="429" t="str">
        <f>E128</f>
        <v>х</v>
      </c>
      <c r="F233" s="430">
        <f>F124</f>
        <v>36770.479166666664</v>
      </c>
    </row>
    <row r="234" spans="1:6" ht="16.5" thickBot="1">
      <c r="A234" s="597"/>
      <c r="B234" s="603" t="s">
        <v>1080</v>
      </c>
      <c r="C234" s="599" t="s">
        <v>458</v>
      </c>
      <c r="D234" s="511">
        <f t="shared" si="23"/>
        <v>3189.2841666666668</v>
      </c>
      <c r="E234" s="450" t="str">
        <f t="shared" ref="E234" si="25">E163</f>
        <v>х</v>
      </c>
      <c r="F234" s="451">
        <f>F163</f>
        <v>3189.2841666666668</v>
      </c>
    </row>
    <row r="235" spans="1:6" ht="33" customHeight="1">
      <c r="A235" s="604" t="s">
        <v>303</v>
      </c>
      <c r="B235" s="400" t="s">
        <v>477</v>
      </c>
      <c r="C235" s="445" t="s">
        <v>296</v>
      </c>
      <c r="D235" s="446" t="str">
        <f t="shared" ref="D235:F235" si="26">D217</f>
        <v>х</v>
      </c>
      <c r="E235" s="402" t="str">
        <f t="shared" si="26"/>
        <v>х</v>
      </c>
      <c r="F235" s="403" t="str">
        <f t="shared" si="26"/>
        <v>х</v>
      </c>
    </row>
    <row r="236" spans="1:6" ht="15.75">
      <c r="A236" s="581" t="s">
        <v>7</v>
      </c>
      <c r="B236" s="557" t="s">
        <v>456</v>
      </c>
      <c r="C236" s="591" t="s">
        <v>457</v>
      </c>
      <c r="D236" s="415">
        <f>E236</f>
        <v>845.50010151902302</v>
      </c>
      <c r="E236" s="448">
        <f>E237+E238</f>
        <v>845.50010151902302</v>
      </c>
      <c r="F236" s="449" t="str">
        <f t="shared" ref="F236" si="27">F218</f>
        <v>х</v>
      </c>
    </row>
    <row r="237" spans="1:6" ht="15.75">
      <c r="A237" s="605"/>
      <c r="B237" s="602" t="s">
        <v>1078</v>
      </c>
      <c r="C237" s="600" t="s">
        <v>457</v>
      </c>
      <c r="D237" s="431">
        <f>E237</f>
        <v>717.4293846295941</v>
      </c>
      <c r="E237" s="429">
        <f>E224*1.2</f>
        <v>717.4293846295941</v>
      </c>
      <c r="F237" s="430" t="str">
        <f>IFERROR(F224*1.2,"х")</f>
        <v>х</v>
      </c>
    </row>
    <row r="238" spans="1:6" ht="15.75">
      <c r="A238" s="605"/>
      <c r="B238" s="602" t="s">
        <v>1079</v>
      </c>
      <c r="C238" s="600" t="s">
        <v>457</v>
      </c>
      <c r="D238" s="431">
        <f>E238</f>
        <v>128.07071688942889</v>
      </c>
      <c r="E238" s="429">
        <f>E225*1.2</f>
        <v>128.07071688942889</v>
      </c>
      <c r="F238" s="430" t="str">
        <f t="shared" ref="D238:F239" si="28">IFERROR(F225*1.2,"х")</f>
        <v>х</v>
      </c>
    </row>
    <row r="239" spans="1:6" ht="15.75">
      <c r="A239" s="605"/>
      <c r="B239" s="602" t="s">
        <v>1080</v>
      </c>
      <c r="C239" s="600" t="s">
        <v>457</v>
      </c>
      <c r="D239" s="431" t="str">
        <f t="shared" si="28"/>
        <v>х</v>
      </c>
      <c r="E239" s="429" t="str">
        <f t="shared" si="28"/>
        <v>х</v>
      </c>
      <c r="F239" s="430" t="str">
        <f t="shared" si="28"/>
        <v>х</v>
      </c>
    </row>
    <row r="240" spans="1:6" s="352" customFormat="1" ht="31.5">
      <c r="A240" s="581" t="s">
        <v>8</v>
      </c>
      <c r="B240" s="557" t="s">
        <v>1074</v>
      </c>
      <c r="C240" s="591" t="s">
        <v>458</v>
      </c>
      <c r="D240" s="415">
        <f>F240</f>
        <v>1414301.246</v>
      </c>
      <c r="E240" s="448" t="str">
        <f t="shared" ref="E240" si="29">E219</f>
        <v>х</v>
      </c>
      <c r="F240" s="449">
        <f>F241+F242+F243-0.02</f>
        <v>1414301.246</v>
      </c>
    </row>
    <row r="241" spans="1:6" s="352" customFormat="1" ht="15.75">
      <c r="A241" s="605"/>
      <c r="B241" s="602" t="s">
        <v>1078</v>
      </c>
      <c r="C241" s="600" t="s">
        <v>458</v>
      </c>
      <c r="D241" s="431">
        <f>F241</f>
        <v>838880.674</v>
      </c>
      <c r="E241" s="429" t="str">
        <f t="shared" ref="E241" si="30">IFERROR(E228*1.2,"х")</f>
        <v>х</v>
      </c>
      <c r="F241" s="430">
        <f>F228*1.2+0.01</f>
        <v>838880.674</v>
      </c>
    </row>
    <row r="242" spans="1:6" s="352" customFormat="1" ht="15.75">
      <c r="A242" s="605"/>
      <c r="B242" s="602" t="s">
        <v>1079</v>
      </c>
      <c r="C242" s="600" t="s">
        <v>458</v>
      </c>
      <c r="D242" s="431">
        <f t="shared" ref="D242:D243" si="31">F242</f>
        <v>529494.9</v>
      </c>
      <c r="E242" s="429" t="str">
        <f t="shared" ref="E242" si="32">IFERROR(E229*1.2,"х")</f>
        <v>х</v>
      </c>
      <c r="F242" s="430">
        <f>F229*1.2</f>
        <v>529494.9</v>
      </c>
    </row>
    <row r="243" spans="1:6" s="352" customFormat="1" ht="15.75">
      <c r="A243" s="605"/>
      <c r="B243" s="602" t="s">
        <v>1080</v>
      </c>
      <c r="C243" s="600" t="s">
        <v>458</v>
      </c>
      <c r="D243" s="431">
        <f t="shared" si="31"/>
        <v>45925.692000000003</v>
      </c>
      <c r="E243" s="429" t="str">
        <f t="shared" ref="E243" si="33">IFERROR(E230*1.2,"х")</f>
        <v>х</v>
      </c>
      <c r="F243" s="430">
        <f>F230*1.2</f>
        <v>45925.692000000003</v>
      </c>
    </row>
    <row r="244" spans="1:6" s="352" customFormat="1" ht="31.5">
      <c r="A244" s="581" t="s">
        <v>30</v>
      </c>
      <c r="B244" s="557" t="s">
        <v>1075</v>
      </c>
      <c r="C244" s="591" t="s">
        <v>458</v>
      </c>
      <c r="D244" s="415">
        <f>F244</f>
        <v>117858.43799999998</v>
      </c>
      <c r="E244" s="448" t="str">
        <f t="shared" ref="E244" si="34">E220</f>
        <v>х</v>
      </c>
      <c r="F244" s="449">
        <f>F245+F246+F247+0.01</f>
        <v>117858.43799999998</v>
      </c>
    </row>
    <row r="245" spans="1:6" s="352" customFormat="1" ht="15.75">
      <c r="A245" s="605"/>
      <c r="B245" s="602" t="s">
        <v>1078</v>
      </c>
      <c r="C245" s="600" t="s">
        <v>458</v>
      </c>
      <c r="D245" s="431">
        <f>F245</f>
        <v>69906.721999999994</v>
      </c>
      <c r="E245" s="429" t="str">
        <f t="shared" ref="E245" si="35">IFERROR(E232*1.2,"х")</f>
        <v>х</v>
      </c>
      <c r="F245" s="430">
        <f>F232*1.2</f>
        <v>69906.721999999994</v>
      </c>
    </row>
    <row r="246" spans="1:6" s="352" customFormat="1" ht="15.75">
      <c r="A246" s="605"/>
      <c r="B246" s="602" t="s">
        <v>1079</v>
      </c>
      <c r="C246" s="600" t="s">
        <v>458</v>
      </c>
      <c r="D246" s="431">
        <f>F246</f>
        <v>44124.564999999995</v>
      </c>
      <c r="E246" s="429" t="str">
        <f t="shared" ref="E246" si="36">IFERROR(E233*1.2,"х")</f>
        <v>х</v>
      </c>
      <c r="F246" s="430">
        <f>F233*1.2-0.01</f>
        <v>44124.564999999995</v>
      </c>
    </row>
    <row r="247" spans="1:6" s="352" customFormat="1" ht="16.5" thickBot="1">
      <c r="A247" s="606"/>
      <c r="B247" s="603" t="s">
        <v>1080</v>
      </c>
      <c r="C247" s="601" t="s">
        <v>458</v>
      </c>
      <c r="D247" s="511">
        <f>F247</f>
        <v>3827.1410000000001</v>
      </c>
      <c r="E247" s="450" t="str">
        <f t="shared" ref="E247" si="37">IFERROR(E234*1.2,"х")</f>
        <v>х</v>
      </c>
      <c r="F247" s="451">
        <f>F234*1.2</f>
        <v>3827.1410000000001</v>
      </c>
    </row>
    <row r="248" spans="1:6" s="352" customFormat="1" ht="15.75">
      <c r="A248" s="472"/>
      <c r="B248" s="452"/>
      <c r="C248" s="453"/>
      <c r="D248" s="359"/>
      <c r="E248" s="359"/>
      <c r="F248" s="359"/>
    </row>
    <row r="249" spans="1:6" ht="15.75">
      <c r="A249" s="473"/>
      <c r="B249" s="353"/>
      <c r="C249" s="354"/>
      <c r="D249" s="354"/>
      <c r="E249" s="354"/>
      <c r="F249" s="354"/>
    </row>
    <row r="250" spans="1:6" ht="25.5" customHeight="1">
      <c r="A250" s="474" t="s">
        <v>478</v>
      </c>
      <c r="B250" s="643" t="s">
        <v>479</v>
      </c>
      <c r="C250" s="643"/>
      <c r="D250" s="643"/>
      <c r="E250" s="643"/>
      <c r="F250" s="643"/>
    </row>
    <row r="251" spans="1:6" ht="36.75" customHeight="1">
      <c r="A251" s="475"/>
      <c r="B251" s="643" t="s">
        <v>480</v>
      </c>
      <c r="C251" s="643"/>
      <c r="D251" s="643"/>
      <c r="E251" s="643"/>
      <c r="F251" s="643"/>
    </row>
    <row r="252" spans="1:6" ht="15.75" customHeight="1">
      <c r="A252" s="476" t="s">
        <v>481</v>
      </c>
      <c r="B252" s="656" t="s">
        <v>482</v>
      </c>
      <c r="C252" s="656"/>
      <c r="D252" s="656"/>
      <c r="E252" s="656"/>
      <c r="F252" s="656"/>
    </row>
    <row r="253" spans="1:6" ht="15.75" customHeight="1">
      <c r="A253" s="476"/>
      <c r="B253" s="656" t="s">
        <v>483</v>
      </c>
      <c r="C253" s="656"/>
      <c r="D253" s="656"/>
      <c r="E253" s="656"/>
      <c r="F253" s="656"/>
    </row>
    <row r="254" spans="1:6" ht="15.75" customHeight="1">
      <c r="A254" s="476"/>
      <c r="B254" s="358"/>
      <c r="C254" s="358"/>
      <c r="D254" s="358"/>
      <c r="E254" s="358"/>
      <c r="F254" s="358"/>
    </row>
    <row r="255" spans="1:6" ht="15.6" customHeight="1">
      <c r="A255" s="473"/>
      <c r="B255" s="657" t="s">
        <v>1084</v>
      </c>
      <c r="C255" s="657"/>
      <c r="E255" s="385" t="s">
        <v>1085</v>
      </c>
      <c r="F255" s="356"/>
    </row>
    <row r="256" spans="1:6" ht="24" customHeight="1">
      <c r="A256" s="473"/>
      <c r="B256" s="651" t="s">
        <v>92</v>
      </c>
      <c r="C256" s="651"/>
      <c r="D256" s="328"/>
      <c r="E256" s="328"/>
      <c r="F256" s="328"/>
    </row>
    <row r="257" spans="2:6">
      <c r="B257" s="650"/>
      <c r="C257" s="650"/>
      <c r="D257" s="652"/>
      <c r="E257" s="652"/>
      <c r="F257" s="653"/>
    </row>
    <row r="258" spans="2:6" ht="15.75">
      <c r="B258" s="650"/>
      <c r="C258" s="650"/>
      <c r="D258" s="651"/>
      <c r="E258" s="651"/>
      <c r="F258" s="653"/>
    </row>
    <row r="259" spans="2:6" ht="15.75">
      <c r="B259" s="381"/>
      <c r="C259" s="381"/>
      <c r="D259" s="380"/>
      <c r="E259" s="382"/>
      <c r="F259" s="379"/>
    </row>
    <row r="260" spans="2:6" ht="15.75">
      <c r="B260" s="381"/>
      <c r="C260" s="381"/>
      <c r="D260" s="380"/>
      <c r="E260" s="379"/>
      <c r="F260" s="379"/>
    </row>
    <row r="261" spans="2:6" ht="15.75">
      <c r="B261" s="381"/>
      <c r="C261" s="381"/>
      <c r="D261" s="380"/>
      <c r="E261" s="383"/>
      <c r="F261" s="383"/>
    </row>
    <row r="262" spans="2:6">
      <c r="B262" s="355"/>
      <c r="C262" s="355"/>
      <c r="D262" s="355"/>
      <c r="F262" s="324"/>
    </row>
    <row r="263" spans="2:6" ht="15.75">
      <c r="B263" s="357"/>
      <c r="F263" s="350"/>
    </row>
    <row r="264" spans="2:6" ht="15.75">
      <c r="B264" s="357"/>
    </row>
  </sheetData>
  <mergeCells count="27">
    <mergeCell ref="A1:F1"/>
    <mergeCell ref="A2:F2"/>
    <mergeCell ref="B253:F253"/>
    <mergeCell ref="B255:C255"/>
    <mergeCell ref="B256:C256"/>
    <mergeCell ref="A21:A22"/>
    <mergeCell ref="B29:F29"/>
    <mergeCell ref="B82:F82"/>
    <mergeCell ref="A7:A11"/>
    <mergeCell ref="B7:B11"/>
    <mergeCell ref="C7:C11"/>
    <mergeCell ref="D7:F8"/>
    <mergeCell ref="E9:F9"/>
    <mergeCell ref="B252:F252"/>
    <mergeCell ref="B129:F129"/>
    <mergeCell ref="B168:F168"/>
    <mergeCell ref="B258:C258"/>
    <mergeCell ref="D258:E258"/>
    <mergeCell ref="B257:C257"/>
    <mergeCell ref="D257:E257"/>
    <mergeCell ref="F257:F258"/>
    <mergeCell ref="B221:F221"/>
    <mergeCell ref="B250:F250"/>
    <mergeCell ref="B251:F251"/>
    <mergeCell ref="D9:D11"/>
    <mergeCell ref="E10:E11"/>
    <mergeCell ref="F10:F11"/>
  </mergeCells>
  <pageMargins left="0.70866141732283472" right="0.39370078740157483" top="0.59055118110236227" bottom="0.39370078740157483"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89"/>
  <sheetViews>
    <sheetView topLeftCell="A28" zoomScale="55" zoomScaleNormal="55" zoomScaleSheetLayoutView="75" workbookViewId="0">
      <selection activeCell="F37" sqref="F37:I39"/>
    </sheetView>
  </sheetViews>
  <sheetFormatPr defaultColWidth="9.140625" defaultRowHeight="15.75"/>
  <cols>
    <col min="1" max="1" width="5.42578125" style="145" customWidth="1"/>
    <col min="2" max="2" width="38" style="77" customWidth="1"/>
    <col min="3" max="3" width="12.42578125" style="77" customWidth="1"/>
    <col min="4" max="4" width="13.85546875" style="77" customWidth="1"/>
    <col min="5" max="5" width="15" style="114" customWidth="1"/>
    <col min="6" max="6" width="13.140625" style="77" customWidth="1"/>
    <col min="7" max="7" width="14.5703125" style="77" customWidth="1"/>
    <col min="8" max="9" width="12.28515625" style="77" customWidth="1"/>
    <col min="10" max="10" width="20.85546875" style="77" customWidth="1"/>
    <col min="11" max="11" width="10.42578125" style="77" bestFit="1" customWidth="1"/>
    <col min="12" max="14" width="9.140625" style="77" customWidth="1"/>
    <col min="15" max="16384" width="9.140625" style="77"/>
  </cols>
  <sheetData>
    <row r="1" spans="1:18" ht="53.45" customHeight="1">
      <c r="A1" s="74"/>
      <c r="B1" s="75"/>
      <c r="C1" s="75"/>
      <c r="D1" s="75"/>
      <c r="E1" s="75"/>
      <c r="F1" s="700" t="s">
        <v>484</v>
      </c>
      <c r="G1" s="700"/>
      <c r="H1" s="700"/>
      <c r="I1" s="700"/>
      <c r="J1" s="76"/>
    </row>
    <row r="2" spans="1:18">
      <c r="A2" s="74"/>
      <c r="B2" s="75"/>
      <c r="C2" s="75"/>
      <c r="D2" s="75"/>
      <c r="E2" s="75"/>
      <c r="F2" s="75"/>
      <c r="G2" s="75"/>
      <c r="H2" s="701"/>
      <c r="I2" s="701"/>
      <c r="J2" s="78"/>
    </row>
    <row r="3" spans="1:18" ht="15.6" customHeight="1">
      <c r="A3" s="74"/>
      <c r="B3" s="75"/>
      <c r="C3" s="75"/>
      <c r="D3" s="75"/>
      <c r="E3" s="75"/>
      <c r="F3" s="75"/>
      <c r="G3" s="75"/>
      <c r="H3" s="702"/>
      <c r="I3" s="702"/>
      <c r="J3" s="78"/>
    </row>
    <row r="4" spans="1:18" ht="17.25">
      <c r="A4" s="74"/>
      <c r="B4" s="703" t="s">
        <v>305</v>
      </c>
      <c r="C4" s="703"/>
      <c r="D4" s="703"/>
      <c r="E4" s="703"/>
      <c r="F4" s="703"/>
      <c r="G4" s="703"/>
      <c r="H4" s="703"/>
      <c r="I4" s="703"/>
      <c r="J4" s="146" t="s">
        <v>306</v>
      </c>
    </row>
    <row r="5" spans="1:18" ht="17.25">
      <c r="A5" s="74"/>
      <c r="B5" s="704" t="s">
        <v>307</v>
      </c>
      <c r="C5" s="704"/>
      <c r="D5" s="704"/>
      <c r="E5" s="704"/>
      <c r="F5" s="704"/>
      <c r="G5" s="704"/>
      <c r="H5" s="704"/>
      <c r="I5" s="704"/>
      <c r="J5" s="146" t="s">
        <v>306</v>
      </c>
    </row>
    <row r="6" spans="1:18" s="78" customFormat="1" ht="17.25">
      <c r="A6" s="154" t="e">
        <f>#REF!</f>
        <v>#REF!</v>
      </c>
      <c r="B6" s="157"/>
      <c r="C6" s="157"/>
      <c r="D6" s="157"/>
      <c r="E6" s="157"/>
      <c r="F6" s="157"/>
      <c r="G6" s="157"/>
      <c r="H6" s="157"/>
      <c r="I6" s="157"/>
      <c r="J6" s="146"/>
    </row>
    <row r="7" spans="1:18" ht="18">
      <c r="A7" s="154" t="e">
        <f>#REF!</f>
        <v>#REF!</v>
      </c>
      <c r="B7" s="155"/>
      <c r="C7" s="155"/>
      <c r="D7" s="155"/>
      <c r="E7" s="156"/>
      <c r="F7" s="155"/>
      <c r="G7" s="155"/>
      <c r="H7" s="155"/>
      <c r="I7" s="155"/>
      <c r="J7" s="78"/>
    </row>
    <row r="8" spans="1:18" thickBot="1">
      <c r="A8" s="46"/>
      <c r="B8" s="75"/>
      <c r="C8" s="75"/>
      <c r="D8" s="75"/>
      <c r="E8" s="79"/>
      <c r="F8" s="75"/>
      <c r="G8" s="75"/>
      <c r="H8" s="75"/>
      <c r="I8" s="75"/>
      <c r="J8" s="78"/>
    </row>
    <row r="9" spans="1:18" ht="53.45" customHeight="1">
      <c r="A9" s="694" t="s">
        <v>4</v>
      </c>
      <c r="B9" s="696" t="s">
        <v>308</v>
      </c>
      <c r="C9" s="698" t="s">
        <v>10</v>
      </c>
      <c r="D9" s="158" t="s">
        <v>486</v>
      </c>
      <c r="E9" s="158" t="s">
        <v>487</v>
      </c>
      <c r="F9" s="698" t="s">
        <v>428</v>
      </c>
      <c r="G9" s="698"/>
      <c r="H9" s="698"/>
      <c r="I9" s="705"/>
      <c r="J9" s="78"/>
    </row>
    <row r="10" spans="1:18" ht="31.5">
      <c r="A10" s="695"/>
      <c r="B10" s="697"/>
      <c r="C10" s="699"/>
      <c r="D10" s="148" t="e">
        <f>#REF!</f>
        <v>#REF!</v>
      </c>
      <c r="E10" s="148" t="e">
        <f>#REF!</f>
        <v>#REF!</v>
      </c>
      <c r="F10" s="80" t="s">
        <v>309</v>
      </c>
      <c r="G10" s="81" t="s">
        <v>310</v>
      </c>
      <c r="H10" s="81" t="s">
        <v>297</v>
      </c>
      <c r="I10" s="82" t="s">
        <v>64</v>
      </c>
      <c r="J10" s="153" t="s">
        <v>485</v>
      </c>
    </row>
    <row r="11" spans="1:18">
      <c r="A11" s="83" t="s">
        <v>311</v>
      </c>
      <c r="B11" s="84">
        <v>2</v>
      </c>
      <c r="C11" s="84">
        <v>3</v>
      </c>
      <c r="D11" s="84">
        <v>4</v>
      </c>
      <c r="E11" s="85">
        <v>5</v>
      </c>
      <c r="F11" s="84">
        <v>6</v>
      </c>
      <c r="G11" s="84">
        <v>7</v>
      </c>
      <c r="H11" s="84">
        <v>8</v>
      </c>
      <c r="I11" s="86">
        <v>9</v>
      </c>
      <c r="K11"/>
      <c r="L11"/>
      <c r="M11"/>
      <c r="N11"/>
      <c r="O11"/>
      <c r="P11"/>
      <c r="Q11"/>
      <c r="R11"/>
    </row>
    <row r="12" spans="1:18">
      <c r="A12" s="87" t="s">
        <v>312</v>
      </c>
      <c r="B12" s="88" t="s">
        <v>313</v>
      </c>
      <c r="C12" s="89" t="s">
        <v>314</v>
      </c>
      <c r="D12" s="147" t="e">
        <f>D13+D14+D15+D16</f>
        <v>#REF!</v>
      </c>
      <c r="E12" s="150" t="e">
        <f t="shared" ref="E12:I12" si="0">E13+E14+E15+E16</f>
        <v>#REF!</v>
      </c>
      <c r="F12" s="150" t="e">
        <f>F13+F14+F15+F16</f>
        <v>#REF!</v>
      </c>
      <c r="G12" s="150" t="e">
        <f>G13+G14+G15+G16</f>
        <v>#REF!</v>
      </c>
      <c r="H12" s="150" t="e">
        <f t="shared" si="0"/>
        <v>#REF!</v>
      </c>
      <c r="I12" s="151" t="e">
        <f t="shared" si="0"/>
        <v>#REF!</v>
      </c>
      <c r="K12"/>
      <c r="L12"/>
      <c r="M12"/>
      <c r="N12"/>
      <c r="O12"/>
      <c r="P12"/>
      <c r="Q12"/>
      <c r="R12"/>
    </row>
    <row r="13" spans="1:18">
      <c r="A13" s="92" t="s">
        <v>5</v>
      </c>
      <c r="B13" s="93" t="s">
        <v>315</v>
      </c>
      <c r="C13" s="89" t="s">
        <v>316</v>
      </c>
      <c r="D13" s="90" t="e">
        <f>#REF!</f>
        <v>#REF!</v>
      </c>
      <c r="E13" s="149" t="e">
        <f>F13+G13+H13+I13</f>
        <v>#REF!</v>
      </c>
      <c r="F13" s="147" t="e">
        <f>#REF!</f>
        <v>#REF!</v>
      </c>
      <c r="G13" s="147" t="e">
        <f>#REF!</f>
        <v>#REF!</v>
      </c>
      <c r="H13" s="147" t="e">
        <f>#REF!</f>
        <v>#REF!</v>
      </c>
      <c r="I13" s="152" t="e">
        <f>#REF!</f>
        <v>#REF!</v>
      </c>
      <c r="J13" s="94" t="s">
        <v>317</v>
      </c>
      <c r="K13"/>
      <c r="L13"/>
      <c r="M13"/>
      <c r="N13"/>
      <c r="O13"/>
      <c r="P13"/>
      <c r="Q13"/>
      <c r="R13"/>
    </row>
    <row r="14" spans="1:18">
      <c r="A14" s="92" t="s">
        <v>6</v>
      </c>
      <c r="B14" s="93" t="s">
        <v>318</v>
      </c>
      <c r="C14" s="89" t="s">
        <v>316</v>
      </c>
      <c r="D14" s="95">
        <v>0</v>
      </c>
      <c r="E14" s="95">
        <v>0</v>
      </c>
      <c r="F14" s="95">
        <v>0</v>
      </c>
      <c r="G14" s="95">
        <v>0</v>
      </c>
      <c r="H14" s="95">
        <v>0</v>
      </c>
      <c r="I14" s="96">
        <v>0</v>
      </c>
      <c r="K14"/>
      <c r="L14"/>
      <c r="M14"/>
      <c r="N14"/>
      <c r="O14"/>
      <c r="P14"/>
      <c r="Q14"/>
      <c r="R14"/>
    </row>
    <row r="15" spans="1:18">
      <c r="A15" s="92" t="s">
        <v>19</v>
      </c>
      <c r="B15" s="93" t="s">
        <v>319</v>
      </c>
      <c r="C15" s="89" t="s">
        <v>316</v>
      </c>
      <c r="D15" s="90">
        <v>0</v>
      </c>
      <c r="E15" s="90">
        <v>0</v>
      </c>
      <c r="F15" s="90">
        <v>0</v>
      </c>
      <c r="G15" s="90">
        <v>0</v>
      </c>
      <c r="H15" s="90">
        <v>0</v>
      </c>
      <c r="I15" s="91">
        <v>0</v>
      </c>
      <c r="K15"/>
      <c r="L15"/>
      <c r="M15"/>
      <c r="N15"/>
      <c r="O15"/>
      <c r="P15"/>
      <c r="Q15"/>
      <c r="R15"/>
    </row>
    <row r="16" spans="1:18">
      <c r="A16" s="92" t="s">
        <v>24</v>
      </c>
      <c r="B16" s="93" t="s">
        <v>320</v>
      </c>
      <c r="C16" s="89" t="s">
        <v>316</v>
      </c>
      <c r="D16" s="90">
        <v>0</v>
      </c>
      <c r="E16" s="90">
        <v>0</v>
      </c>
      <c r="F16" s="90">
        <v>0</v>
      </c>
      <c r="G16" s="90">
        <v>0</v>
      </c>
      <c r="H16" s="90">
        <v>0</v>
      </c>
      <c r="I16" s="91">
        <v>0</v>
      </c>
      <c r="K16"/>
      <c r="L16"/>
      <c r="M16"/>
      <c r="N16"/>
      <c r="O16"/>
      <c r="P16"/>
      <c r="Q16"/>
      <c r="R16"/>
    </row>
    <row r="17" spans="1:19" ht="31.5">
      <c r="A17" s="87" t="s">
        <v>321</v>
      </c>
      <c r="B17" s="88" t="s">
        <v>322</v>
      </c>
      <c r="C17" s="89" t="s">
        <v>323</v>
      </c>
      <c r="D17" s="161" t="e">
        <f>D19+D20+D21+D22</f>
        <v>#REF!</v>
      </c>
      <c r="E17" s="161" t="e">
        <f t="shared" ref="E17:I17" si="1">E19+E20+E21+E22</f>
        <v>#REF!</v>
      </c>
      <c r="F17" s="160" t="e">
        <f>F19+F20+F21</f>
        <v>#REF!</v>
      </c>
      <c r="G17" s="160" t="e">
        <f t="shared" si="1"/>
        <v>#REF!</v>
      </c>
      <c r="H17" s="160" t="e">
        <f t="shared" si="1"/>
        <v>#REF!</v>
      </c>
      <c r="I17" s="160" t="e">
        <f t="shared" si="1"/>
        <v>#REF!</v>
      </c>
      <c r="K17"/>
      <c r="L17"/>
      <c r="M17"/>
      <c r="N17"/>
      <c r="O17"/>
      <c r="P17"/>
      <c r="Q17"/>
      <c r="R17"/>
    </row>
    <row r="18" spans="1:19" ht="18" customHeight="1">
      <c r="A18" s="92"/>
      <c r="B18" s="93" t="s">
        <v>324</v>
      </c>
      <c r="C18" s="684" t="s">
        <v>296</v>
      </c>
      <c r="D18" s="684"/>
      <c r="E18" s="684"/>
      <c r="F18" s="684"/>
      <c r="G18" s="684"/>
      <c r="H18" s="684"/>
      <c r="I18" s="685"/>
      <c r="K18"/>
      <c r="L18"/>
      <c r="M18"/>
      <c r="N18"/>
      <c r="O18"/>
      <c r="P18"/>
      <c r="Q18"/>
      <c r="R18"/>
      <c r="S18" s="99"/>
    </row>
    <row r="19" spans="1:19">
      <c r="A19" s="92" t="s">
        <v>7</v>
      </c>
      <c r="B19" s="93" t="s">
        <v>315</v>
      </c>
      <c r="C19" s="89" t="s">
        <v>316</v>
      </c>
      <c r="D19" s="147" t="e">
        <f>#REF!/1000</f>
        <v>#REF!</v>
      </c>
      <c r="E19" s="149" t="e">
        <f>F19+G19+H19+I19</f>
        <v>#REF!</v>
      </c>
      <c r="F19" s="147" t="e">
        <f>#REF!/1000</f>
        <v>#REF!</v>
      </c>
      <c r="G19" s="147" t="e">
        <f>#REF!/1000</f>
        <v>#REF!</v>
      </c>
      <c r="H19" s="147" t="e">
        <f>#REF!/1000</f>
        <v>#REF!</v>
      </c>
      <c r="I19" s="152" t="e">
        <f>#REF!/1000</f>
        <v>#REF!</v>
      </c>
      <c r="K19"/>
      <c r="L19"/>
      <c r="M19"/>
      <c r="N19"/>
      <c r="O19"/>
      <c r="P19"/>
      <c r="Q19"/>
      <c r="R19"/>
      <c r="S19" s="99"/>
    </row>
    <row r="20" spans="1:19">
      <c r="A20" s="92" t="s">
        <v>8</v>
      </c>
      <c r="B20" s="93" t="s">
        <v>325</v>
      </c>
      <c r="C20" s="89" t="s">
        <v>316</v>
      </c>
      <c r="D20" s="97">
        <v>0</v>
      </c>
      <c r="E20" s="97">
        <v>0</v>
      </c>
      <c r="F20" s="97">
        <v>0</v>
      </c>
      <c r="G20" s="97">
        <v>0</v>
      </c>
      <c r="H20" s="97">
        <v>0</v>
      </c>
      <c r="I20" s="98">
        <v>0</v>
      </c>
      <c r="K20"/>
      <c r="L20"/>
      <c r="M20"/>
      <c r="N20"/>
      <c r="O20"/>
      <c r="P20"/>
      <c r="Q20"/>
      <c r="R20"/>
      <c r="S20" s="99"/>
    </row>
    <row r="21" spans="1:19">
      <c r="A21" s="92" t="s">
        <v>30</v>
      </c>
      <c r="B21" s="93" t="s">
        <v>326</v>
      </c>
      <c r="C21" s="89" t="s">
        <v>316</v>
      </c>
      <c r="D21" s="97">
        <v>0</v>
      </c>
      <c r="E21" s="97">
        <v>0</v>
      </c>
      <c r="F21" s="97">
        <v>0</v>
      </c>
      <c r="G21" s="97">
        <v>0</v>
      </c>
      <c r="H21" s="97">
        <v>0</v>
      </c>
      <c r="I21" s="98">
        <v>0</v>
      </c>
    </row>
    <row r="22" spans="1:19">
      <c r="A22" s="92" t="s">
        <v>327</v>
      </c>
      <c r="B22" s="93" t="s">
        <v>320</v>
      </c>
      <c r="C22" s="89" t="s">
        <v>316</v>
      </c>
      <c r="D22" s="97">
        <v>0</v>
      </c>
      <c r="E22" s="97">
        <v>0</v>
      </c>
      <c r="F22" s="97" t="s">
        <v>328</v>
      </c>
      <c r="G22" s="97">
        <v>0</v>
      </c>
      <c r="H22" s="97">
        <v>0</v>
      </c>
      <c r="I22" s="98">
        <v>0</v>
      </c>
    </row>
    <row r="23" spans="1:19" ht="63">
      <c r="A23" s="87" t="s">
        <v>169</v>
      </c>
      <c r="B23" s="88" t="s">
        <v>329</v>
      </c>
      <c r="C23" s="89" t="s">
        <v>316</v>
      </c>
      <c r="D23" s="175" t="e">
        <f>#REF!/1000</f>
        <v>#REF!</v>
      </c>
      <c r="E23" s="183" t="e">
        <f>#REF!/1000</f>
        <v>#REF!</v>
      </c>
      <c r="F23" s="100" t="e">
        <f>F25-F17-F26</f>
        <v>#REF!</v>
      </c>
      <c r="G23" s="100" t="e">
        <f t="shared" ref="G23:H23" si="2">G25-G17-G26</f>
        <v>#REF!</v>
      </c>
      <c r="H23" s="100" t="e">
        <f t="shared" si="2"/>
        <v>#REF!</v>
      </c>
      <c r="I23" s="101" t="e">
        <f>I25-I17-I26</f>
        <v>#REF!</v>
      </c>
      <c r="J23" s="182" t="s">
        <v>492</v>
      </c>
      <c r="K23" s="102"/>
    </row>
    <row r="24" spans="1:19">
      <c r="A24" s="87" t="s">
        <v>175</v>
      </c>
      <c r="B24" s="88" t="s">
        <v>330</v>
      </c>
      <c r="C24" s="89" t="s">
        <v>316</v>
      </c>
      <c r="D24" s="97">
        <v>0</v>
      </c>
      <c r="E24" s="103">
        <v>0</v>
      </c>
      <c r="F24" s="100">
        <v>0</v>
      </c>
      <c r="G24" s="100">
        <v>0</v>
      </c>
      <c r="H24" s="100">
        <v>0</v>
      </c>
      <c r="I24" s="101">
        <v>0</v>
      </c>
      <c r="J24" s="102"/>
      <c r="K24" s="102"/>
    </row>
    <row r="25" spans="1:19" ht="31.5">
      <c r="A25" s="87" t="s">
        <v>177</v>
      </c>
      <c r="B25" s="88" t="s">
        <v>331</v>
      </c>
      <c r="C25" s="89" t="s">
        <v>316</v>
      </c>
      <c r="D25" s="160" t="e">
        <f>D17+D23+D26</f>
        <v>#REF!</v>
      </c>
      <c r="E25" s="160" t="e">
        <f>E17+E23+E26</f>
        <v>#REF!</v>
      </c>
      <c r="F25" s="162" t="e">
        <f>#REF!/1000</f>
        <v>#REF!</v>
      </c>
      <c r="G25" s="162" t="e">
        <f>#REF!/1000</f>
        <v>#REF!</v>
      </c>
      <c r="H25" s="162" t="e">
        <f>#REF!/1000</f>
        <v>#REF!</v>
      </c>
      <c r="I25" s="163" t="e">
        <f>#REF!/1000</f>
        <v>#REF!</v>
      </c>
      <c r="J25" s="102"/>
      <c r="K25" s="102"/>
    </row>
    <row r="26" spans="1:19" ht="31.5">
      <c r="A26" s="87" t="s">
        <v>178</v>
      </c>
      <c r="B26" s="88" t="s">
        <v>332</v>
      </c>
      <c r="C26" s="89" t="s">
        <v>316</v>
      </c>
      <c r="D26" s="162"/>
      <c r="E26" s="162"/>
      <c r="F26" s="100" t="e">
        <f>E26*(F25/E25)</f>
        <v>#REF!</v>
      </c>
      <c r="G26" s="100" t="e">
        <f>E26*(G25/E25)</f>
        <v>#REF!</v>
      </c>
      <c r="H26" s="100" t="e">
        <f>E26*(H25/E25)</f>
        <v>#REF!</v>
      </c>
      <c r="I26" s="101" t="e">
        <f>E26*(I25/E25)</f>
        <v>#REF!</v>
      </c>
      <c r="J26" s="102" t="e">
        <f>#REF!</f>
        <v>#REF!</v>
      </c>
      <c r="K26" s="102" t="e">
        <f>#REF!</f>
        <v>#REF!</v>
      </c>
      <c r="L26" s="102" t="e">
        <f>#REF!</f>
        <v>#REF!</v>
      </c>
      <c r="M26" s="102" t="e">
        <f>#REF!</f>
        <v>#REF!</v>
      </c>
    </row>
    <row r="27" spans="1:19" ht="47.25">
      <c r="A27" s="87" t="s">
        <v>179</v>
      </c>
      <c r="B27" s="88" t="s">
        <v>333</v>
      </c>
      <c r="C27" s="89" t="s">
        <v>316</v>
      </c>
      <c r="D27" s="160" t="e">
        <f>D17</f>
        <v>#REF!</v>
      </c>
      <c r="E27" s="160" t="e">
        <f>E17</f>
        <v>#REF!</v>
      </c>
      <c r="F27" s="160" t="e">
        <f t="shared" ref="F27:I27" si="3">F17</f>
        <v>#REF!</v>
      </c>
      <c r="G27" s="160" t="e">
        <f t="shared" si="3"/>
        <v>#REF!</v>
      </c>
      <c r="H27" s="160" t="e">
        <f t="shared" si="3"/>
        <v>#REF!</v>
      </c>
      <c r="I27" s="164" t="e">
        <f t="shared" si="3"/>
        <v>#REF!</v>
      </c>
      <c r="J27" s="102" t="e">
        <f>F26-J26</f>
        <v>#REF!</v>
      </c>
      <c r="K27" s="102" t="e">
        <f t="shared" ref="K27:M27" si="4">G26-K26</f>
        <v>#REF!</v>
      </c>
      <c r="L27" s="102" t="e">
        <f t="shared" si="4"/>
        <v>#REF!</v>
      </c>
      <c r="M27" s="102" t="e">
        <f t="shared" si="4"/>
        <v>#REF!</v>
      </c>
    </row>
    <row r="28" spans="1:19" ht="31.5">
      <c r="A28" s="87" t="s">
        <v>181</v>
      </c>
      <c r="B28" s="88" t="s">
        <v>334</v>
      </c>
      <c r="C28" s="89" t="s">
        <v>316</v>
      </c>
      <c r="D28" s="159" t="e">
        <f>D25/(100%-2.2%)</f>
        <v>#REF!</v>
      </c>
      <c r="E28" s="159" t="e">
        <f t="shared" ref="E28:I28" si="5">E25/(100%-2.2%)</f>
        <v>#REF!</v>
      </c>
      <c r="F28" s="159" t="e">
        <f t="shared" si="5"/>
        <v>#REF!</v>
      </c>
      <c r="G28" s="159" t="e">
        <f t="shared" si="5"/>
        <v>#REF!</v>
      </c>
      <c r="H28" s="159" t="e">
        <f t="shared" si="5"/>
        <v>#REF!</v>
      </c>
      <c r="I28" s="165" t="e">
        <f t="shared" si="5"/>
        <v>#REF!</v>
      </c>
      <c r="K28" s="102"/>
    </row>
    <row r="29" spans="1:19" ht="31.5">
      <c r="A29" s="87" t="s">
        <v>78</v>
      </c>
      <c r="B29" s="104" t="s">
        <v>335</v>
      </c>
      <c r="C29" s="686" t="s">
        <v>296</v>
      </c>
      <c r="D29" s="687"/>
      <c r="E29" s="687"/>
      <c r="F29" s="687"/>
      <c r="G29" s="687"/>
      <c r="H29" s="687"/>
      <c r="I29" s="688"/>
    </row>
    <row r="30" spans="1:19" ht="31.5">
      <c r="A30" s="92" t="s">
        <v>63</v>
      </c>
      <c r="B30" s="105" t="s">
        <v>336</v>
      </c>
      <c r="C30" s="181" t="s">
        <v>337</v>
      </c>
      <c r="D30" s="107"/>
      <c r="E30" s="103" t="e">
        <f>F30+G30+H30+I30</f>
        <v>#REF!</v>
      </c>
      <c r="F30" s="97" t="e">
        <f>#REF!/1000</f>
        <v>#REF!</v>
      </c>
      <c r="G30" s="97" t="e">
        <f>#REF!/1000</f>
        <v>#REF!</v>
      </c>
      <c r="H30" s="97" t="e">
        <f>#REF!/1000</f>
        <v>#REF!</v>
      </c>
      <c r="I30" s="98" t="e">
        <f>#REF!/1000</f>
        <v>#REF!</v>
      </c>
      <c r="J30" s="182" t="s">
        <v>491</v>
      </c>
    </row>
    <row r="31" spans="1:19">
      <c r="A31" s="92" t="s">
        <v>79</v>
      </c>
      <c r="B31" s="105" t="s">
        <v>338</v>
      </c>
      <c r="C31" s="106" t="s">
        <v>339</v>
      </c>
      <c r="D31" s="103">
        <v>0</v>
      </c>
      <c r="E31" s="103">
        <v>0</v>
      </c>
      <c r="F31" s="103">
        <v>0</v>
      </c>
      <c r="G31" s="103">
        <v>0</v>
      </c>
      <c r="H31" s="103">
        <v>0</v>
      </c>
      <c r="I31" s="108">
        <v>0</v>
      </c>
    </row>
    <row r="32" spans="1:19">
      <c r="A32" s="92" t="s">
        <v>130</v>
      </c>
      <c r="B32" s="109" t="s">
        <v>340</v>
      </c>
      <c r="C32" s="89" t="s">
        <v>316</v>
      </c>
      <c r="D32" s="103">
        <v>0</v>
      </c>
      <c r="E32" s="103">
        <v>0</v>
      </c>
      <c r="F32" s="103">
        <v>0</v>
      </c>
      <c r="G32" s="103">
        <v>0</v>
      </c>
      <c r="H32" s="103">
        <v>0</v>
      </c>
      <c r="I32" s="108">
        <v>0</v>
      </c>
    </row>
    <row r="33" spans="1:9">
      <c r="A33" s="92" t="s">
        <v>341</v>
      </c>
      <c r="B33" s="105" t="s">
        <v>342</v>
      </c>
      <c r="C33" s="89" t="s">
        <v>316</v>
      </c>
      <c r="D33" s="103">
        <v>0</v>
      </c>
      <c r="E33" s="103">
        <v>0</v>
      </c>
      <c r="F33" s="103">
        <v>0</v>
      </c>
      <c r="G33" s="103">
        <v>0</v>
      </c>
      <c r="H33" s="103">
        <v>0</v>
      </c>
      <c r="I33" s="108">
        <v>0</v>
      </c>
    </row>
    <row r="34" spans="1:9" ht="31.5">
      <c r="A34" s="87" t="s">
        <v>183</v>
      </c>
      <c r="B34" s="88" t="s">
        <v>343</v>
      </c>
      <c r="C34" s="89" t="s">
        <v>339</v>
      </c>
      <c r="D34" s="97" t="e">
        <f>D35*D25/1000</f>
        <v>#REF!</v>
      </c>
      <c r="E34" s="97" t="e">
        <f t="shared" ref="E34:I34" si="6">E35*E25/1000</f>
        <v>#REF!</v>
      </c>
      <c r="F34" s="97" t="e">
        <f t="shared" si="6"/>
        <v>#REF!</v>
      </c>
      <c r="G34" s="97" t="e">
        <f t="shared" si="6"/>
        <v>#REF!</v>
      </c>
      <c r="H34" s="97" t="e">
        <f t="shared" si="6"/>
        <v>#REF!</v>
      </c>
      <c r="I34" s="98" t="e">
        <f t="shared" si="6"/>
        <v>#REF!</v>
      </c>
    </row>
    <row r="35" spans="1:9" ht="31.5">
      <c r="A35" s="87" t="s">
        <v>186</v>
      </c>
      <c r="B35" s="88" t="s">
        <v>344</v>
      </c>
      <c r="C35" s="89" t="s">
        <v>345</v>
      </c>
      <c r="D35" s="110"/>
      <c r="E35" s="103"/>
      <c r="F35" s="97">
        <f>E35</f>
        <v>0</v>
      </c>
      <c r="G35" s="97">
        <f t="shared" ref="G35:I35" si="7">F35</f>
        <v>0</v>
      </c>
      <c r="H35" s="97">
        <f t="shared" si="7"/>
        <v>0</v>
      </c>
      <c r="I35" s="98">
        <f t="shared" si="7"/>
        <v>0</v>
      </c>
    </row>
    <row r="36" spans="1:9" ht="31.5" hidden="1">
      <c r="A36" s="87" t="s">
        <v>196</v>
      </c>
      <c r="B36" s="88" t="s">
        <v>346</v>
      </c>
      <c r="C36" s="89" t="s">
        <v>345</v>
      </c>
      <c r="D36" s="89"/>
      <c r="E36" s="106"/>
      <c r="F36" s="89"/>
      <c r="G36" s="89"/>
      <c r="H36" s="89"/>
      <c r="I36" s="111"/>
    </row>
    <row r="37" spans="1:9" ht="31.5">
      <c r="A37" s="87" t="s">
        <v>196</v>
      </c>
      <c r="B37" s="88" t="s">
        <v>347</v>
      </c>
      <c r="C37" s="89" t="s">
        <v>348</v>
      </c>
      <c r="D37" s="166"/>
      <c r="E37" s="167"/>
      <c r="F37" s="100" t="s">
        <v>328</v>
      </c>
      <c r="G37" s="100" t="s">
        <v>328</v>
      </c>
      <c r="H37" s="100" t="s">
        <v>101</v>
      </c>
      <c r="I37" s="101" t="s">
        <v>328</v>
      </c>
    </row>
    <row r="38" spans="1:9" ht="31.5">
      <c r="A38" s="87" t="s">
        <v>198</v>
      </c>
      <c r="B38" s="112" t="s">
        <v>349</v>
      </c>
      <c r="C38" s="89" t="s">
        <v>350</v>
      </c>
      <c r="D38" s="167" t="e">
        <f>D37/D25</f>
        <v>#REF!</v>
      </c>
      <c r="E38" s="167" t="e">
        <f t="shared" ref="E38" si="8">E37/E25</f>
        <v>#REF!</v>
      </c>
      <c r="F38" s="100" t="s">
        <v>328</v>
      </c>
      <c r="G38" s="100" t="s">
        <v>328</v>
      </c>
      <c r="H38" s="100" t="s">
        <v>101</v>
      </c>
      <c r="I38" s="101" t="s">
        <v>328</v>
      </c>
    </row>
    <row r="39" spans="1:9" ht="31.5">
      <c r="A39" s="87" t="s">
        <v>200</v>
      </c>
      <c r="B39" s="88" t="s">
        <v>351</v>
      </c>
      <c r="C39" s="89" t="s">
        <v>352</v>
      </c>
      <c r="D39" s="167"/>
      <c r="E39" s="168"/>
      <c r="F39" s="100" t="s">
        <v>328</v>
      </c>
      <c r="G39" s="100" t="s">
        <v>328</v>
      </c>
      <c r="H39" s="100" t="s">
        <v>101</v>
      </c>
      <c r="I39" s="101" t="s">
        <v>328</v>
      </c>
    </row>
    <row r="40" spans="1:9" s="114" customFormat="1" ht="47.25">
      <c r="A40" s="113" t="s">
        <v>202</v>
      </c>
      <c r="B40" s="104" t="s">
        <v>353</v>
      </c>
      <c r="C40" s="106" t="s">
        <v>348</v>
      </c>
      <c r="D40" s="103">
        <v>0</v>
      </c>
      <c r="E40" s="103">
        <v>0</v>
      </c>
      <c r="F40" s="103">
        <v>0</v>
      </c>
      <c r="G40" s="103">
        <v>0</v>
      </c>
      <c r="H40" s="103">
        <v>0</v>
      </c>
      <c r="I40" s="108">
        <v>0</v>
      </c>
    </row>
    <row r="41" spans="1:9" ht="31.5">
      <c r="A41" s="87" t="s">
        <v>212</v>
      </c>
      <c r="B41" s="88" t="s">
        <v>354</v>
      </c>
      <c r="C41" s="89" t="s">
        <v>355</v>
      </c>
      <c r="D41" s="170">
        <v>141</v>
      </c>
      <c r="E41" s="169" t="e">
        <f>#REF!</f>
        <v>#REF!</v>
      </c>
      <c r="F41" s="171" t="e">
        <f>E41</f>
        <v>#REF!</v>
      </c>
      <c r="G41" s="171" t="e">
        <f>E41</f>
        <v>#REF!</v>
      </c>
      <c r="H41" s="171" t="e">
        <f>E41</f>
        <v>#REF!</v>
      </c>
      <c r="I41" s="172" t="e">
        <f>E41</f>
        <v>#REF!</v>
      </c>
    </row>
    <row r="42" spans="1:9" ht="31.5">
      <c r="A42" s="87" t="s">
        <v>221</v>
      </c>
      <c r="B42" s="88" t="s">
        <v>356</v>
      </c>
      <c r="C42" s="89" t="s">
        <v>316</v>
      </c>
      <c r="D42" s="173">
        <f>365-D41</f>
        <v>224</v>
      </c>
      <c r="E42" s="173" t="e">
        <f>365-E41</f>
        <v>#REF!</v>
      </c>
      <c r="F42" s="173" t="e">
        <f t="shared" ref="F42:I42" si="9">365-F41</f>
        <v>#REF!</v>
      </c>
      <c r="G42" s="173" t="e">
        <f t="shared" si="9"/>
        <v>#REF!</v>
      </c>
      <c r="H42" s="173" t="e">
        <f t="shared" si="9"/>
        <v>#REF!</v>
      </c>
      <c r="I42" s="174" t="e">
        <f t="shared" si="9"/>
        <v>#REF!</v>
      </c>
    </row>
    <row r="43" spans="1:9" ht="47.25">
      <c r="A43" s="87" t="s">
        <v>220</v>
      </c>
      <c r="B43" s="88" t="s">
        <v>357</v>
      </c>
      <c r="C43" s="89" t="s">
        <v>358</v>
      </c>
      <c r="D43" s="89"/>
      <c r="E43" s="106">
        <f>D43</f>
        <v>0</v>
      </c>
      <c r="F43" s="106">
        <f t="shared" ref="F43:I43" si="10">E43</f>
        <v>0</v>
      </c>
      <c r="G43" s="106">
        <f t="shared" si="10"/>
        <v>0</v>
      </c>
      <c r="H43" s="106">
        <f t="shared" si="10"/>
        <v>0</v>
      </c>
      <c r="I43" s="116">
        <f t="shared" si="10"/>
        <v>0</v>
      </c>
    </row>
    <row r="44" spans="1:9" ht="47.25">
      <c r="A44" s="87" t="s">
        <v>221</v>
      </c>
      <c r="B44" s="88" t="s">
        <v>359</v>
      </c>
      <c r="C44" s="89" t="s">
        <v>316</v>
      </c>
      <c r="D44" s="170">
        <v>2.6</v>
      </c>
      <c r="E44" s="167" t="e">
        <f>#REF!</f>
        <v>#REF!</v>
      </c>
      <c r="F44" s="106" t="s">
        <v>328</v>
      </c>
      <c r="G44" s="106" t="s">
        <v>328</v>
      </c>
      <c r="H44" s="106" t="s">
        <v>101</v>
      </c>
      <c r="I44" s="116" t="s">
        <v>328</v>
      </c>
    </row>
    <row r="45" spans="1:9" ht="47.25">
      <c r="A45" s="87" t="s">
        <v>231</v>
      </c>
      <c r="B45" s="88" t="s">
        <v>360</v>
      </c>
      <c r="C45" s="89" t="s">
        <v>316</v>
      </c>
      <c r="D45" s="89"/>
      <c r="E45" s="106">
        <f>D45</f>
        <v>0</v>
      </c>
      <c r="F45" s="106" t="s">
        <v>328</v>
      </c>
      <c r="G45" s="106" t="s">
        <v>328</v>
      </c>
      <c r="H45" s="106" t="s">
        <v>101</v>
      </c>
      <c r="I45" s="116" t="s">
        <v>328</v>
      </c>
    </row>
    <row r="46" spans="1:9" ht="47.25" hidden="1">
      <c r="A46" s="87" t="s">
        <v>236</v>
      </c>
      <c r="B46" s="88" t="s">
        <v>361</v>
      </c>
      <c r="C46" s="89" t="s">
        <v>316</v>
      </c>
      <c r="D46" s="89"/>
      <c r="E46" s="106" t="s">
        <v>296</v>
      </c>
      <c r="F46" s="89" t="s">
        <v>296</v>
      </c>
      <c r="G46" s="89" t="s">
        <v>296</v>
      </c>
      <c r="H46" s="89"/>
      <c r="I46" s="111" t="s">
        <v>296</v>
      </c>
    </row>
    <row r="47" spans="1:9" ht="47.25" hidden="1">
      <c r="A47" s="87" t="s">
        <v>238</v>
      </c>
      <c r="B47" s="88" t="s">
        <v>362</v>
      </c>
      <c r="C47" s="89" t="s">
        <v>296</v>
      </c>
      <c r="D47" s="89"/>
      <c r="E47" s="106" t="s">
        <v>296</v>
      </c>
      <c r="F47" s="89" t="s">
        <v>296</v>
      </c>
      <c r="G47" s="89" t="s">
        <v>296</v>
      </c>
      <c r="H47" s="89"/>
      <c r="I47" s="111" t="s">
        <v>296</v>
      </c>
    </row>
    <row r="48" spans="1:9" hidden="1">
      <c r="A48" s="92" t="s">
        <v>363</v>
      </c>
      <c r="B48" s="93" t="s">
        <v>364</v>
      </c>
      <c r="C48" s="89" t="s">
        <v>365</v>
      </c>
      <c r="D48" s="89">
        <v>0</v>
      </c>
      <c r="E48" s="89">
        <v>0</v>
      </c>
      <c r="F48" s="89">
        <v>0</v>
      </c>
      <c r="G48" s="89">
        <v>0</v>
      </c>
      <c r="H48" s="89">
        <v>0</v>
      </c>
      <c r="I48" s="111">
        <v>0</v>
      </c>
    </row>
    <row r="49" spans="1:19" hidden="1">
      <c r="A49" s="92" t="s">
        <v>366</v>
      </c>
      <c r="B49" s="93" t="s">
        <v>367</v>
      </c>
      <c r="C49" s="89" t="s">
        <v>355</v>
      </c>
      <c r="D49" s="89">
        <v>0</v>
      </c>
      <c r="E49" s="89">
        <v>0</v>
      </c>
      <c r="F49" s="89">
        <v>0</v>
      </c>
      <c r="G49" s="89">
        <v>0</v>
      </c>
      <c r="H49" s="89">
        <v>0</v>
      </c>
      <c r="I49" s="111">
        <v>0</v>
      </c>
    </row>
    <row r="50" spans="1:19" hidden="1">
      <c r="A50" s="92" t="s">
        <v>368</v>
      </c>
      <c r="B50" s="93" t="s">
        <v>369</v>
      </c>
      <c r="C50" s="89" t="s">
        <v>370</v>
      </c>
      <c r="D50" s="89">
        <v>0</v>
      </c>
      <c r="E50" s="89">
        <v>0</v>
      </c>
      <c r="F50" s="89">
        <v>0</v>
      </c>
      <c r="G50" s="89">
        <v>0</v>
      </c>
      <c r="H50" s="89">
        <v>0</v>
      </c>
      <c r="I50" s="111">
        <v>0</v>
      </c>
    </row>
    <row r="51" spans="1:19" ht="31.5" hidden="1">
      <c r="A51" s="87" t="s">
        <v>239</v>
      </c>
      <c r="B51" s="88" t="s">
        <v>371</v>
      </c>
      <c r="C51" s="89" t="s">
        <v>372</v>
      </c>
      <c r="D51" s="89">
        <v>0</v>
      </c>
      <c r="E51" s="89">
        <v>0</v>
      </c>
      <c r="F51" s="89">
        <v>0</v>
      </c>
      <c r="G51" s="89">
        <v>0</v>
      </c>
      <c r="H51" s="89">
        <v>0</v>
      </c>
      <c r="I51" s="111">
        <v>0</v>
      </c>
    </row>
    <row r="52" spans="1:19" ht="31.5" hidden="1">
      <c r="A52" s="87" t="s">
        <v>240</v>
      </c>
      <c r="B52" s="88" t="s">
        <v>373</v>
      </c>
      <c r="C52" s="89" t="s">
        <v>374</v>
      </c>
      <c r="D52" s="89">
        <v>0</v>
      </c>
      <c r="E52" s="89">
        <v>0</v>
      </c>
      <c r="F52" s="89">
        <v>0</v>
      </c>
      <c r="G52" s="89">
        <v>0</v>
      </c>
      <c r="H52" s="89">
        <v>0</v>
      </c>
      <c r="I52" s="111">
        <v>0</v>
      </c>
    </row>
    <row r="53" spans="1:19" ht="31.5" hidden="1">
      <c r="A53" s="87" t="s">
        <v>242</v>
      </c>
      <c r="B53" s="88" t="s">
        <v>375</v>
      </c>
      <c r="C53" s="89" t="s">
        <v>296</v>
      </c>
      <c r="D53" s="89">
        <v>0</v>
      </c>
      <c r="E53" s="89">
        <v>0</v>
      </c>
      <c r="F53" s="89">
        <v>0</v>
      </c>
      <c r="G53" s="89">
        <v>0</v>
      </c>
      <c r="H53" s="89">
        <v>0</v>
      </c>
      <c r="I53" s="111">
        <v>0</v>
      </c>
    </row>
    <row r="54" spans="1:19" hidden="1">
      <c r="A54" s="92" t="s">
        <v>376</v>
      </c>
      <c r="B54" s="109" t="s">
        <v>377</v>
      </c>
      <c r="C54" s="89" t="s">
        <v>358</v>
      </c>
      <c r="D54" s="89">
        <v>0</v>
      </c>
      <c r="E54" s="89">
        <v>0</v>
      </c>
      <c r="F54" s="89">
        <v>0</v>
      </c>
      <c r="G54" s="89">
        <v>0</v>
      </c>
      <c r="H54" s="89">
        <v>0</v>
      </c>
      <c r="I54" s="111">
        <v>0</v>
      </c>
    </row>
    <row r="55" spans="1:19" hidden="1">
      <c r="A55" s="92" t="s">
        <v>378</v>
      </c>
      <c r="B55" s="109" t="s">
        <v>379</v>
      </c>
      <c r="C55" s="89" t="s">
        <v>316</v>
      </c>
      <c r="D55" s="89">
        <v>0</v>
      </c>
      <c r="E55" s="89">
        <v>0</v>
      </c>
      <c r="F55" s="89">
        <v>0</v>
      </c>
      <c r="G55" s="89">
        <v>0</v>
      </c>
      <c r="H55" s="89">
        <v>0</v>
      </c>
      <c r="I55" s="111">
        <v>0</v>
      </c>
    </row>
    <row r="56" spans="1:19" ht="31.5">
      <c r="A56" s="87" t="s">
        <v>233</v>
      </c>
      <c r="B56" s="88" t="s">
        <v>380</v>
      </c>
      <c r="C56" s="89" t="s">
        <v>296</v>
      </c>
      <c r="D56" s="89"/>
      <c r="E56" s="106"/>
      <c r="F56" s="106" t="s">
        <v>328</v>
      </c>
      <c r="G56" s="106" t="s">
        <v>328</v>
      </c>
      <c r="H56" s="106" t="s">
        <v>101</v>
      </c>
      <c r="I56" s="116" t="s">
        <v>328</v>
      </c>
    </row>
    <row r="57" spans="1:19" ht="47.25">
      <c r="A57" s="92" t="s">
        <v>381</v>
      </c>
      <c r="B57" s="109" t="s">
        <v>336</v>
      </c>
      <c r="C57" s="89" t="s">
        <v>382</v>
      </c>
      <c r="D57" s="180" t="e">
        <f>#REF!</f>
        <v>#REF!</v>
      </c>
      <c r="E57" s="180" t="e">
        <f>#REF!</f>
        <v>#REF!</v>
      </c>
      <c r="F57" s="106" t="s">
        <v>328</v>
      </c>
      <c r="G57" s="106" t="s">
        <v>328</v>
      </c>
      <c r="H57" s="106" t="s">
        <v>101</v>
      </c>
      <c r="I57" s="116" t="s">
        <v>328</v>
      </c>
      <c r="J57" s="179" t="s">
        <v>490</v>
      </c>
    </row>
    <row r="58" spans="1:19">
      <c r="A58" s="92" t="s">
        <v>383</v>
      </c>
      <c r="B58" s="109" t="s">
        <v>338</v>
      </c>
      <c r="C58" s="89" t="s">
        <v>316</v>
      </c>
      <c r="D58" s="89">
        <v>0</v>
      </c>
      <c r="E58" s="106">
        <v>0</v>
      </c>
      <c r="F58" s="106" t="s">
        <v>328</v>
      </c>
      <c r="G58" s="106" t="s">
        <v>328</v>
      </c>
      <c r="H58" s="106" t="s">
        <v>101</v>
      </c>
      <c r="I58" s="116" t="s">
        <v>328</v>
      </c>
    </row>
    <row r="59" spans="1:19">
      <c r="A59" s="92" t="s">
        <v>384</v>
      </c>
      <c r="B59" s="109" t="s">
        <v>340</v>
      </c>
      <c r="C59" s="89" t="s">
        <v>316</v>
      </c>
      <c r="D59" s="89">
        <v>0</v>
      </c>
      <c r="E59" s="106">
        <v>0</v>
      </c>
      <c r="F59" s="106" t="s">
        <v>328</v>
      </c>
      <c r="G59" s="106" t="s">
        <v>328</v>
      </c>
      <c r="H59" s="106" t="s">
        <v>328</v>
      </c>
      <c r="I59" s="116" t="s">
        <v>328</v>
      </c>
    </row>
    <row r="60" spans="1:19">
      <c r="A60" s="92" t="s">
        <v>385</v>
      </c>
      <c r="B60" s="109" t="s">
        <v>342</v>
      </c>
      <c r="C60" s="89" t="s">
        <v>316</v>
      </c>
      <c r="D60" s="89">
        <v>0</v>
      </c>
      <c r="E60" s="106">
        <v>0</v>
      </c>
      <c r="F60" s="106" t="s">
        <v>328</v>
      </c>
      <c r="G60" s="106" t="s">
        <v>328</v>
      </c>
      <c r="H60" s="106" t="s">
        <v>328</v>
      </c>
      <c r="I60" s="116" t="s">
        <v>328</v>
      </c>
    </row>
    <row r="61" spans="1:19" ht="47.25" customHeight="1">
      <c r="A61" s="92" t="s">
        <v>234</v>
      </c>
      <c r="B61" s="88" t="s">
        <v>386</v>
      </c>
      <c r="C61" s="689" t="s">
        <v>387</v>
      </c>
      <c r="D61" s="176"/>
      <c r="E61" s="106" t="s">
        <v>328</v>
      </c>
      <c r="F61" s="106" t="s">
        <v>328</v>
      </c>
      <c r="G61" s="106" t="s">
        <v>328</v>
      </c>
      <c r="H61" s="106" t="s">
        <v>328</v>
      </c>
      <c r="I61" s="116" t="s">
        <v>328</v>
      </c>
      <c r="J61" s="177" t="s">
        <v>488</v>
      </c>
      <c r="Q61" s="117"/>
      <c r="R61" s="117"/>
      <c r="S61" s="117"/>
    </row>
    <row r="62" spans="1:19">
      <c r="A62" s="92" t="s">
        <v>388</v>
      </c>
      <c r="B62" s="109" t="s">
        <v>389</v>
      </c>
      <c r="C62" s="690"/>
      <c r="D62" s="106" t="s">
        <v>328</v>
      </c>
      <c r="E62" s="103" t="e">
        <f>#REF!</f>
        <v>#REF!</v>
      </c>
      <c r="F62" s="97" t="e">
        <f>#REF!</f>
        <v>#REF!</v>
      </c>
      <c r="G62" s="97" t="e">
        <f>#REF!</f>
        <v>#REF!</v>
      </c>
      <c r="H62" s="97" t="e">
        <f>#REF!</f>
        <v>#REF!</v>
      </c>
      <c r="I62" s="98" t="e">
        <f>#REF!</f>
        <v>#REF!</v>
      </c>
      <c r="Q62" s="117"/>
      <c r="R62" s="117"/>
      <c r="S62" s="117"/>
    </row>
    <row r="63" spans="1:19">
      <c r="A63" s="92" t="s">
        <v>390</v>
      </c>
      <c r="B63" s="109" t="s">
        <v>391</v>
      </c>
      <c r="C63" s="690"/>
      <c r="D63" s="106" t="s">
        <v>328</v>
      </c>
      <c r="E63" s="103" t="e">
        <f>#REF!</f>
        <v>#REF!</v>
      </c>
      <c r="F63" s="97" t="e">
        <f t="shared" ref="F63:I64" si="11">E63</f>
        <v>#REF!</v>
      </c>
      <c r="G63" s="97" t="e">
        <f t="shared" si="11"/>
        <v>#REF!</v>
      </c>
      <c r="H63" s="97" t="e">
        <f t="shared" si="11"/>
        <v>#REF!</v>
      </c>
      <c r="I63" s="98" t="e">
        <f t="shared" si="11"/>
        <v>#REF!</v>
      </c>
      <c r="Q63" s="117"/>
      <c r="R63" s="117"/>
      <c r="S63" s="117"/>
    </row>
    <row r="64" spans="1:19">
      <c r="A64" s="92" t="s">
        <v>392</v>
      </c>
      <c r="B64" s="109" t="s">
        <v>393</v>
      </c>
      <c r="C64" s="691"/>
      <c r="D64" s="106" t="s">
        <v>328</v>
      </c>
      <c r="E64" s="103" t="e">
        <f>#REF!</f>
        <v>#REF!</v>
      </c>
      <c r="F64" s="97" t="e">
        <f t="shared" si="11"/>
        <v>#REF!</v>
      </c>
      <c r="G64" s="97" t="e">
        <f t="shared" si="11"/>
        <v>#REF!</v>
      </c>
      <c r="H64" s="97" t="e">
        <f t="shared" si="11"/>
        <v>#REF!</v>
      </c>
      <c r="I64" s="98" t="e">
        <f t="shared" si="11"/>
        <v>#REF!</v>
      </c>
      <c r="Q64" s="117"/>
      <c r="R64" s="117"/>
      <c r="S64" s="117"/>
    </row>
    <row r="65" spans="1:19" ht="31.5">
      <c r="A65" s="87" t="s">
        <v>236</v>
      </c>
      <c r="B65" s="88" t="s">
        <v>394</v>
      </c>
      <c r="C65" s="89" t="s">
        <v>489</v>
      </c>
      <c r="D65" s="176"/>
      <c r="E65" s="103" t="e">
        <f>(#REF!+#REF!+#REF!)/E37</f>
        <v>#REF!</v>
      </c>
      <c r="F65" s="106" t="s">
        <v>328</v>
      </c>
      <c r="G65" s="106" t="s">
        <v>328</v>
      </c>
      <c r="H65" s="106" t="s">
        <v>328</v>
      </c>
      <c r="I65" s="116" t="s">
        <v>328</v>
      </c>
      <c r="Q65" s="117"/>
      <c r="R65" s="117"/>
      <c r="S65" s="117"/>
    </row>
    <row r="66" spans="1:19" ht="31.5">
      <c r="A66" s="87" t="s">
        <v>238</v>
      </c>
      <c r="B66" s="88" t="s">
        <v>395</v>
      </c>
      <c r="C66" s="89" t="s">
        <v>396</v>
      </c>
      <c r="D66" s="160">
        <v>0</v>
      </c>
      <c r="E66" s="160">
        <v>0</v>
      </c>
      <c r="F66" s="160">
        <v>0</v>
      </c>
      <c r="G66" s="160">
        <v>0</v>
      </c>
      <c r="H66" s="160">
        <v>0</v>
      </c>
      <c r="I66" s="164">
        <v>0</v>
      </c>
      <c r="Q66" s="99"/>
      <c r="R66" s="117"/>
      <c r="S66" s="117"/>
    </row>
    <row r="67" spans="1:19" ht="31.5">
      <c r="A67" s="87" t="s">
        <v>239</v>
      </c>
      <c r="B67" s="88" t="s">
        <v>397</v>
      </c>
      <c r="C67" s="89" t="s">
        <v>398</v>
      </c>
      <c r="D67" s="160">
        <v>0</v>
      </c>
      <c r="E67" s="160">
        <v>0</v>
      </c>
      <c r="F67" s="160">
        <v>0</v>
      </c>
      <c r="G67" s="160">
        <v>0</v>
      </c>
      <c r="H67" s="160">
        <v>0</v>
      </c>
      <c r="I67" s="164">
        <v>0</v>
      </c>
      <c r="Q67" s="117"/>
      <c r="R67" s="117"/>
      <c r="S67" s="117"/>
    </row>
    <row r="68" spans="1:19" ht="32.25" thickBot="1">
      <c r="A68" s="118" t="s">
        <v>240</v>
      </c>
      <c r="B68" s="119" t="s">
        <v>399</v>
      </c>
      <c r="C68" s="120" t="s">
        <v>400</v>
      </c>
      <c r="D68" s="121">
        <v>21.61387596550674</v>
      </c>
      <c r="E68" s="122" t="e">
        <f>#REF!</f>
        <v>#REF!</v>
      </c>
      <c r="F68" s="123" t="s">
        <v>328</v>
      </c>
      <c r="G68" s="123" t="s">
        <v>328</v>
      </c>
      <c r="H68" s="123" t="s">
        <v>328</v>
      </c>
      <c r="I68" s="124" t="s">
        <v>328</v>
      </c>
      <c r="Q68" s="117"/>
      <c r="R68" s="117"/>
      <c r="S68" s="117"/>
    </row>
    <row r="69" spans="1:19" ht="35.25" hidden="1" customHeight="1">
      <c r="A69" s="125" t="s">
        <v>242</v>
      </c>
      <c r="B69" s="126" t="s">
        <v>401</v>
      </c>
      <c r="C69" s="127" t="s">
        <v>402</v>
      </c>
      <c r="D69" s="128"/>
      <c r="E69" s="129" t="s">
        <v>296</v>
      </c>
      <c r="F69" s="127" t="s">
        <v>296</v>
      </c>
      <c r="G69" s="127" t="s">
        <v>296</v>
      </c>
      <c r="H69" s="127"/>
      <c r="I69" s="127" t="s">
        <v>296</v>
      </c>
    </row>
    <row r="70" spans="1:19" ht="63" hidden="1">
      <c r="A70" s="130" t="s">
        <v>244</v>
      </c>
      <c r="B70" s="88" t="s">
        <v>403</v>
      </c>
      <c r="C70" s="89" t="s">
        <v>316</v>
      </c>
      <c r="D70" s="110">
        <v>1163.1551900000002</v>
      </c>
      <c r="E70" s="106"/>
      <c r="F70" s="89"/>
      <c r="G70" s="89"/>
      <c r="H70" s="89"/>
      <c r="I70" s="89"/>
    </row>
    <row r="71" spans="1:19" ht="63" hidden="1">
      <c r="A71" s="130" t="s">
        <v>274</v>
      </c>
      <c r="B71" s="88" t="s">
        <v>404</v>
      </c>
      <c r="C71" s="89" t="s">
        <v>316</v>
      </c>
      <c r="D71" s="110">
        <v>173.47330000000034</v>
      </c>
      <c r="E71" s="106"/>
      <c r="F71" s="89"/>
      <c r="G71" s="89"/>
      <c r="H71" s="89"/>
      <c r="I71" s="89"/>
    </row>
    <row r="72" spans="1:19" ht="78.75" hidden="1">
      <c r="A72" s="130" t="s">
        <v>405</v>
      </c>
      <c r="B72" s="131" t="s">
        <v>406</v>
      </c>
      <c r="C72" s="89" t="s">
        <v>407</v>
      </c>
      <c r="D72" s="89">
        <v>989.68188999999995</v>
      </c>
      <c r="E72" s="106"/>
      <c r="F72" s="89"/>
      <c r="G72" s="89"/>
      <c r="H72" s="89"/>
      <c r="I72" s="89"/>
      <c r="N72" s="99"/>
    </row>
    <row r="73" spans="1:19" ht="31.5" hidden="1">
      <c r="A73" s="130" t="s">
        <v>408</v>
      </c>
      <c r="B73" s="88" t="s">
        <v>409</v>
      </c>
      <c r="C73" s="89" t="s">
        <v>410</v>
      </c>
      <c r="D73" s="89"/>
      <c r="E73" s="106"/>
      <c r="F73" s="89"/>
      <c r="G73" s="89"/>
      <c r="H73" s="89"/>
      <c r="I73" s="89"/>
    </row>
    <row r="74" spans="1:19" ht="47.25" hidden="1">
      <c r="A74" s="130" t="s">
        <v>411</v>
      </c>
      <c r="B74" s="88" t="s">
        <v>412</v>
      </c>
      <c r="C74" s="89" t="s">
        <v>413</v>
      </c>
      <c r="D74" s="110"/>
      <c r="E74" s="110"/>
      <c r="F74" s="110"/>
      <c r="G74" s="89" t="s">
        <v>328</v>
      </c>
      <c r="H74" s="89" t="s">
        <v>328</v>
      </c>
      <c r="I74" s="89" t="s">
        <v>328</v>
      </c>
    </row>
    <row r="75" spans="1:19" ht="47.25" hidden="1">
      <c r="A75" s="130" t="s">
        <v>414</v>
      </c>
      <c r="B75" s="88" t="s">
        <v>415</v>
      </c>
      <c r="C75" s="89" t="s">
        <v>413</v>
      </c>
      <c r="D75" s="89">
        <v>0</v>
      </c>
      <c r="E75" s="89">
        <v>0</v>
      </c>
      <c r="F75" s="89">
        <v>0</v>
      </c>
      <c r="G75" s="89" t="s">
        <v>328</v>
      </c>
      <c r="H75" s="89" t="s">
        <v>328</v>
      </c>
      <c r="I75" s="89" t="s">
        <v>328</v>
      </c>
    </row>
    <row r="76" spans="1:19" ht="47.25" hidden="1">
      <c r="A76" s="130" t="s">
        <v>416</v>
      </c>
      <c r="B76" s="88" t="s">
        <v>417</v>
      </c>
      <c r="C76" s="89" t="s">
        <v>418</v>
      </c>
      <c r="D76" s="89">
        <v>0</v>
      </c>
      <c r="E76" s="106">
        <f>F76+G76+H76+I76</f>
        <v>18884</v>
      </c>
      <c r="F76" s="115">
        <v>18582</v>
      </c>
      <c r="G76" s="115">
        <v>2</v>
      </c>
      <c r="H76" s="115">
        <v>21</v>
      </c>
      <c r="I76" s="115">
        <v>279</v>
      </c>
    </row>
    <row r="77" spans="1:19" ht="47.25" hidden="1">
      <c r="A77" s="130" t="s">
        <v>419</v>
      </c>
      <c r="B77" s="88" t="s">
        <v>420</v>
      </c>
      <c r="C77" s="89" t="s">
        <v>418</v>
      </c>
      <c r="D77" s="89">
        <v>0</v>
      </c>
      <c r="E77" s="89">
        <v>0</v>
      </c>
      <c r="F77" s="89">
        <v>0</v>
      </c>
      <c r="G77" s="89">
        <v>0</v>
      </c>
      <c r="H77" s="89">
        <v>0</v>
      </c>
      <c r="I77" s="89">
        <v>0</v>
      </c>
      <c r="N77" s="117"/>
      <c r="O77" s="117"/>
      <c r="P77" s="117"/>
    </row>
    <row r="78" spans="1:19">
      <c r="A78" s="74"/>
      <c r="B78" s="132"/>
      <c r="C78" s="133"/>
      <c r="D78" s="133"/>
      <c r="E78" s="134"/>
      <c r="F78" s="133"/>
      <c r="G78" s="133"/>
      <c r="H78" s="133"/>
      <c r="I78" s="133"/>
      <c r="N78" s="117"/>
      <c r="O78" s="117"/>
      <c r="P78" s="117"/>
    </row>
    <row r="79" spans="1:19">
      <c r="A79" s="74"/>
      <c r="B79" s="132"/>
      <c r="C79" s="133"/>
      <c r="D79" s="133"/>
      <c r="E79" s="134"/>
      <c r="F79" s="133"/>
      <c r="G79" s="133"/>
      <c r="H79" s="133"/>
      <c r="I79" s="133"/>
      <c r="N79" s="692"/>
      <c r="O79" s="117"/>
      <c r="P79" s="117"/>
    </row>
    <row r="80" spans="1:19">
      <c r="A80" s="74"/>
      <c r="B80" s="178" t="e">
        <f>#REF!</f>
        <v>#REF!</v>
      </c>
      <c r="C80" s="75"/>
      <c r="D80" s="75" t="s">
        <v>99</v>
      </c>
      <c r="E80" s="135"/>
      <c r="F80" s="75"/>
      <c r="G80" s="693" t="e">
        <f>#REF!</f>
        <v>#REF!</v>
      </c>
      <c r="H80" s="693"/>
      <c r="I80" s="693"/>
      <c r="N80" s="692"/>
      <c r="O80" s="117"/>
      <c r="P80" s="117"/>
    </row>
    <row r="81" spans="1:16">
      <c r="A81" s="74"/>
      <c r="B81" s="136" t="s">
        <v>421</v>
      </c>
      <c r="C81" s="75"/>
      <c r="D81" s="681" t="s">
        <v>80</v>
      </c>
      <c r="E81" s="681"/>
      <c r="F81" s="75"/>
      <c r="G81" s="681" t="s">
        <v>422</v>
      </c>
      <c r="H81" s="681"/>
      <c r="I81" s="681"/>
      <c r="N81" s="117"/>
      <c r="O81" s="117"/>
      <c r="P81" s="117"/>
    </row>
    <row r="82" spans="1:16">
      <c r="A82" s="74"/>
      <c r="B82" s="137"/>
      <c r="C82" s="75"/>
      <c r="D82" s="75"/>
      <c r="E82" s="79"/>
      <c r="F82" s="75"/>
      <c r="G82" s="75"/>
      <c r="H82" s="75"/>
      <c r="I82" s="75"/>
    </row>
    <row r="83" spans="1:16">
      <c r="A83" s="74"/>
      <c r="B83" s="138"/>
      <c r="C83" s="75"/>
      <c r="D83" s="75"/>
      <c r="E83" s="79"/>
      <c r="F83" s="75"/>
      <c r="G83" s="75"/>
      <c r="H83" s="75"/>
      <c r="I83" s="75"/>
    </row>
    <row r="84" spans="1:16" ht="29.25" customHeight="1">
      <c r="A84" s="139" t="s">
        <v>423</v>
      </c>
      <c r="B84" s="140"/>
      <c r="C84" s="140"/>
      <c r="D84" s="140"/>
      <c r="E84" s="140"/>
      <c r="F84" s="140"/>
      <c r="G84" s="140"/>
      <c r="H84" s="140"/>
      <c r="I84" s="140"/>
    </row>
    <row r="85" spans="1:16" ht="13.5" customHeight="1">
      <c r="A85" s="682" t="s">
        <v>424</v>
      </c>
      <c r="B85" s="682"/>
      <c r="C85" s="682"/>
      <c r="D85" s="682"/>
      <c r="E85" s="682"/>
      <c r="F85" s="682"/>
      <c r="G85" s="682"/>
      <c r="H85" s="682"/>
      <c r="I85" s="682"/>
    </row>
    <row r="86" spans="1:16" ht="13.5" customHeight="1">
      <c r="A86" s="141"/>
      <c r="B86" s="141"/>
      <c r="C86" s="141"/>
      <c r="D86" s="141"/>
      <c r="E86" s="142"/>
      <c r="F86" s="141"/>
      <c r="G86" s="141"/>
      <c r="H86" s="141"/>
      <c r="I86" s="141"/>
    </row>
    <row r="87" spans="1:16" ht="14.25" customHeight="1">
      <c r="A87" s="74"/>
      <c r="B87" s="143"/>
      <c r="C87" s="75"/>
      <c r="D87" s="75"/>
      <c r="E87" s="79"/>
      <c r="F87" s="75"/>
      <c r="G87" s="75"/>
      <c r="H87" s="75"/>
      <c r="I87" s="75"/>
    </row>
    <row r="88" spans="1:16">
      <c r="A88" s="683"/>
      <c r="B88" s="683"/>
      <c r="C88" s="75"/>
      <c r="D88" s="75"/>
      <c r="E88" s="79"/>
      <c r="F88" s="75"/>
      <c r="G88" s="75"/>
      <c r="H88" s="75"/>
      <c r="I88" s="75"/>
    </row>
    <row r="89" spans="1:16">
      <c r="A89" s="683"/>
      <c r="B89" s="683"/>
      <c r="C89" s="75"/>
      <c r="D89" s="75"/>
      <c r="E89" s="79"/>
      <c r="F89" s="75"/>
      <c r="G89" s="75"/>
      <c r="H89" s="144"/>
      <c r="I89" s="75"/>
    </row>
  </sheetData>
  <mergeCells count="19">
    <mergeCell ref="A9:A10"/>
    <mergeCell ref="B9:B10"/>
    <mergeCell ref="C9:C10"/>
    <mergeCell ref="F1:I1"/>
    <mergeCell ref="H2:I2"/>
    <mergeCell ref="H3:I3"/>
    <mergeCell ref="B4:I4"/>
    <mergeCell ref="B5:I5"/>
    <mergeCell ref="F9:I9"/>
    <mergeCell ref="C18:I18"/>
    <mergeCell ref="C29:I29"/>
    <mergeCell ref="C61:C64"/>
    <mergeCell ref="N79:N80"/>
    <mergeCell ref="G80:I80"/>
    <mergeCell ref="D81:E81"/>
    <mergeCell ref="G81:I81"/>
    <mergeCell ref="A85:I85"/>
    <mergeCell ref="A88:B88"/>
    <mergeCell ref="A89:B89"/>
  </mergeCells>
  <pageMargins left="0.70866141732283472" right="0.70866141732283472" top="0.74803149606299213" bottom="0.74803149606299213"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Д12</vt:lpstr>
      <vt:lpstr>Д12 _ДАНІ (фінал)</vt:lpstr>
      <vt:lpstr>Reestr</vt:lpstr>
      <vt:lpstr>Структура</vt:lpstr>
      <vt:lpstr>ТЕ_2ст_вих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2020-10-05T09:12:42Z</dcterms:modified>
</cp:coreProperties>
</file>